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3-DEPOSE/384-B-LEONCE-CVL(45)-CLINERIE-SCICulardière-OuzouerSurTrézée-10,2ha/"/>
    </mc:Choice>
  </mc:AlternateContent>
  <xr:revisionPtr revIDLastSave="0" documentId="13_ncr:1_{B889AF74-1762-D646-8B83-0ADA35CAEFC3}" xr6:coauthVersionLast="47" xr6:coauthVersionMax="47" xr10:uidLastSave="{00000000-0000-0000-0000-000000000000}"/>
  <bookViews>
    <workbookView xWindow="0" yWindow="760" windowWidth="30240" windowHeight="1888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1" i="6" l="1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X7" i="2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HH21" i="2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EC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I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I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HG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I113" i="2"/>
  <c r="EX113" i="2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HH130" i="2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R140" i="2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HI150" i="2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Y154" i="2"/>
  <c r="HH155" i="2"/>
  <c r="EA155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DH156" i="2"/>
  <c r="EX156" i="2"/>
  <c r="EB156" i="2"/>
  <c r="HH156" i="2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CN156" i="2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W158" i="2"/>
  <c r="HH158" i="2"/>
  <c r="EC158" i="2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H160" i="2"/>
  <c r="EY159" i="2"/>
  <c r="HG160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X161" i="2"/>
  <c r="ED160" i="2"/>
  <c r="EA161" i="2"/>
  <c r="AB161" i="2"/>
  <c r="EB161" i="2"/>
  <c r="HH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W162" i="2"/>
  <c r="EC162" i="2"/>
  <c r="DI161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V163" i="2"/>
  <c r="HI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V164" i="2"/>
  <c r="EY163" i="2"/>
  <c r="DI163" i="2"/>
  <c r="FS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G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B168" i="2"/>
  <c r="DG168" i="2"/>
  <c r="EV168" i="2"/>
  <c r="EC168" i="2"/>
  <c r="DI167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EX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A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ED172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ED177" i="2"/>
  <c r="EW178" i="2"/>
  <c r="EA178" i="2"/>
  <c r="FS178" i="2"/>
  <c r="HH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V179" i="2"/>
  <c r="ED178" i="2"/>
  <c r="HH179" i="2"/>
  <c r="DF179" i="2"/>
  <c r="EB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G180" i="2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EY182" i="2" s="1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ED182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V185" i="2"/>
  <c r="EB185" i="2"/>
  <c r="EA185" i="2"/>
  <c r="HH185" i="2"/>
  <c r="HG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D185" i="2"/>
  <c r="HH186" i="2"/>
  <c r="FS186" i="2"/>
  <c r="EB186" i="2"/>
  <c r="FR186" i="2"/>
  <c r="EW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EV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V190" i="2"/>
  <c r="EB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HI192" i="2"/>
  <c r="EY191" i="2"/>
  <c r="EC192" i="2"/>
  <c r="EB192" i="2"/>
  <c r="EV192" i="2"/>
  <c r="HH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X193" i="2"/>
  <c r="DI192" i="2"/>
  <c r="FQ193" i="2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CN193" i="2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Y194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HH197" i="2"/>
  <c r="AA197" i="2"/>
  <c r="FS197" i="2"/>
  <c r="HG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HH199" i="2"/>
  <c r="HG199" i="2"/>
  <c r="HJ199" i="2" s="1"/>
  <c r="EA199" i="2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FS201" i="2"/>
  <c r="EB201" i="2"/>
  <c r="HG201" i="2"/>
  <c r="HH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I202" i="2" l="1"/>
  <c r="EX202" i="2"/>
  <c r="EY201" i="2"/>
  <c r="ED201" i="2"/>
  <c r="EW202" i="2"/>
  <c r="HH202" i="2"/>
  <c r="FR202" i="2"/>
  <c r="HG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65" i="2" a="1"/>
  <c r="BC65" i="2" s="1"/>
  <c r="BC181" i="2" a="1"/>
  <c r="BC181" i="2" s="1"/>
  <c r="BC117" i="2" a="1"/>
  <c r="BC117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4" i="2" a="1"/>
  <c r="FD64" i="2" s="1"/>
  <c r="FD43" i="2" a="1"/>
  <c r="FD43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91" i="2" a="1"/>
  <c r="GT191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DN187" i="2" a="1"/>
  <c r="DN187" i="2" s="1"/>
  <c r="HJ202" i="2"/>
  <c r="AX200" i="2"/>
  <c r="CS129" i="2" l="1" a="1"/>
  <c r="CS129" i="2" s="1"/>
  <c r="CS52" i="2" a="1"/>
  <c r="CS52" i="2" s="1"/>
  <c r="CS38" i="2" a="1"/>
  <c r="CS38" i="2" s="1"/>
  <c r="CS161" i="2" a="1"/>
  <c r="CS161" i="2" s="1"/>
  <c r="CS105" i="2" a="1"/>
  <c r="CS105" i="2" s="1"/>
  <c r="CS77" i="2" a="1"/>
  <c r="CS77" i="2" s="1"/>
  <c r="CS72" i="2" a="1"/>
  <c r="CS72" i="2" s="1"/>
  <c r="CS66" i="2" a="1"/>
  <c r="CS66" i="2" s="1"/>
  <c r="GT190" i="2" a="1"/>
  <c r="GT190" i="2" s="1"/>
  <c r="GT122" i="2" a="1"/>
  <c r="GT122" i="2" s="1"/>
  <c r="GT68" i="2" a="1"/>
  <c r="GT68" i="2" s="1"/>
  <c r="GT126" i="2" a="1"/>
  <c r="GT126" i="2" s="1"/>
  <c r="GT11" i="2" a="1"/>
  <c r="GT11" i="2" s="1"/>
  <c r="GT181" i="2" a="1"/>
  <c r="GT181" i="2" s="1"/>
  <c r="GT51" i="2" a="1"/>
  <c r="GT51" i="2" s="1"/>
  <c r="GT74" i="2" a="1"/>
  <c r="GT74" i="2" s="1"/>
  <c r="GT102" i="2" a="1"/>
  <c r="GT102" i="2" s="1"/>
  <c r="GT184" i="2" a="1"/>
  <c r="GT184" i="2" s="1"/>
  <c r="GT38" i="2" a="1"/>
  <c r="GT38" i="2" s="1"/>
  <c r="GT178" i="2" a="1"/>
  <c r="GT178" i="2" s="1"/>
  <c r="GT147" i="2" a="1"/>
  <c r="GT147" i="2" s="1"/>
  <c r="GT115" i="2" a="1"/>
  <c r="GT115" i="2" s="1"/>
  <c r="GT15" i="2" a="1"/>
  <c r="GT15" i="2" s="1"/>
  <c r="GT189" i="2" a="1"/>
  <c r="GT189" i="2" s="1"/>
  <c r="GT152" i="2" a="1"/>
  <c r="GT152" i="2" s="1"/>
  <c r="GT138" i="2" a="1"/>
  <c r="GT138" i="2" s="1"/>
  <c r="GT198" i="2" a="1"/>
  <c r="GT198" i="2" s="1"/>
  <c r="GT33" i="2" a="1"/>
  <c r="GT33" i="2" s="1"/>
  <c r="HG203" i="2"/>
  <c r="GT107" i="2" a="1"/>
  <c r="GT107" i="2" s="1"/>
  <c r="GT21" i="2" a="1"/>
  <c r="GT21" i="2" s="1"/>
  <c r="GT133" i="2" a="1"/>
  <c r="GT133" i="2" s="1"/>
  <c r="GT174" i="2" a="1"/>
  <c r="GT174" i="2" s="1"/>
  <c r="GT12" i="2" a="1"/>
  <c r="GT12" i="2" s="1"/>
  <c r="GT121" i="2" a="1"/>
  <c r="GT121" i="2" s="1"/>
  <c r="FD137" i="2" a="1"/>
  <c r="FD137" i="2" s="1"/>
  <c r="FD131" i="2" a="1"/>
  <c r="FD131" i="2" s="1"/>
  <c r="FD194" i="2" a="1"/>
  <c r="FD194" i="2" s="1"/>
  <c r="FD189" i="2" a="1"/>
  <c r="FD189" i="2" s="1"/>
  <c r="FD19" i="2" a="1"/>
  <c r="FD19" i="2" s="1"/>
  <c r="FD14" i="2" a="1"/>
  <c r="FD14" i="2" s="1"/>
  <c r="FD160" i="2" a="1"/>
  <c r="FD160" i="2" s="1"/>
  <c r="FD48" i="2" a="1"/>
  <c r="FD48" i="2" s="1"/>
  <c r="FD59" i="2" a="1"/>
  <c r="FD59" i="2" s="1"/>
  <c r="FD44" i="2" a="1"/>
  <c r="FD44" i="2" s="1"/>
  <c r="FD144" i="2" a="1"/>
  <c r="FD144" i="2" s="1"/>
  <c r="FD159" i="2" a="1"/>
  <c r="FD159" i="2" s="1"/>
  <c r="FD21" i="2" a="1"/>
  <c r="FD21" i="2" s="1"/>
  <c r="FD107" i="2" a="1"/>
  <c r="FD107" i="2" s="1"/>
  <c r="FD60" i="2" a="1"/>
  <c r="FD60" i="2" s="1"/>
  <c r="FR203" i="2"/>
  <c r="FD188" i="2" a="1"/>
  <c r="FD188" i="2" s="1"/>
  <c r="FD82" i="2" a="1"/>
  <c r="FD82" i="2" s="1"/>
  <c r="FD167" i="2" a="1"/>
  <c r="FD167" i="2" s="1"/>
  <c r="CS120" i="2" a="1"/>
  <c r="CS120" i="2" s="1"/>
  <c r="CS137" i="2" a="1"/>
  <c r="CS137" i="2" s="1"/>
  <c r="CS134" i="2" a="1"/>
  <c r="CS134" i="2" s="1"/>
  <c r="CS116" i="2" a="1"/>
  <c r="CS116" i="2" s="1"/>
  <c r="BX107" i="2" a="1"/>
  <c r="BX107" i="2" s="1"/>
  <c r="BP203" i="2"/>
  <c r="BC114" i="2" a="1"/>
  <c r="BC114" i="2" s="1"/>
  <c r="BC126" i="2" a="1"/>
  <c r="BC126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AH92" i="2" a="1"/>
  <c r="AH92" i="2" s="1"/>
  <c r="DN56" i="2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DI203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Y24" i="2" l="1"/>
  <c r="CY134" i="2"/>
  <c r="CY161" i="2"/>
  <c r="CY183" i="2"/>
  <c r="CY30" i="2"/>
  <c r="CY34" i="2"/>
  <c r="CY75" i="2"/>
  <c r="CY86" i="2"/>
  <c r="CY104" i="2"/>
  <c r="CY168" i="2"/>
  <c r="CY114" i="2"/>
  <c r="CY185" i="2"/>
  <c r="CY14" i="2"/>
  <c r="CY198" i="2"/>
  <c r="CY186" i="2"/>
  <c r="CY48" i="2"/>
  <c r="CY35" i="2"/>
  <c r="CY67" i="2"/>
  <c r="CY11" i="2"/>
  <c r="CY180" i="2"/>
  <c r="CY53" i="2"/>
  <c r="CY50" i="2"/>
  <c r="CY111" i="2"/>
  <c r="CY137" i="2"/>
  <c r="CY179" i="2"/>
  <c r="CY37" i="2"/>
  <c r="CY21" i="2"/>
  <c r="CY49" i="2"/>
  <c r="CY44" i="2"/>
  <c r="CY58" i="2"/>
  <c r="CY93" i="2"/>
  <c r="CY77" i="2"/>
  <c r="CY112" i="2"/>
  <c r="CY71" i="2"/>
  <c r="CY172" i="2"/>
  <c r="CY84" i="2"/>
  <c r="CY62" i="2"/>
  <c r="CY5" i="2"/>
  <c r="CY47" i="2"/>
  <c r="CY165" i="2"/>
  <c r="CY162" i="2"/>
  <c r="CY147" i="2"/>
  <c r="CY122" i="2"/>
  <c r="CY184" i="2"/>
  <c r="CY43" i="2"/>
  <c r="CY89" i="2"/>
  <c r="CY105" i="2"/>
  <c r="CY17" i="2"/>
  <c r="CY163" i="2"/>
  <c r="CY73" i="2"/>
  <c r="CY18" i="2"/>
  <c r="CY4" i="2"/>
  <c r="CY29" i="2"/>
  <c r="CY42" i="2"/>
  <c r="CY196" i="2"/>
  <c r="CY128" i="2"/>
  <c r="CY9" i="2"/>
  <c r="CY12" i="2"/>
  <c r="CY178" i="2"/>
  <c r="CY110" i="2"/>
  <c r="CY131" i="2"/>
  <c r="CY13" i="2"/>
  <c r="CY135" i="2"/>
  <c r="CY182" i="2"/>
  <c r="CY156" i="2"/>
  <c r="CY70" i="2"/>
  <c r="CY150" i="2"/>
  <c r="CY96" i="2"/>
  <c r="CY92" i="2"/>
  <c r="CY119" i="2"/>
  <c r="CY190" i="2"/>
  <c r="CY65" i="2"/>
  <c r="CY19" i="2"/>
  <c r="CY31" i="2"/>
  <c r="CY7" i="2"/>
  <c r="CY153" i="2"/>
  <c r="CY94" i="2"/>
  <c r="CY146" i="2"/>
  <c r="CY124" i="2"/>
  <c r="CY90" i="2"/>
  <c r="CY171" i="2"/>
  <c r="CY32" i="2"/>
  <c r="CY97" i="2"/>
  <c r="CY181" i="2"/>
  <c r="CY25" i="2"/>
  <c r="CY76" i="2"/>
  <c r="CY10" i="2"/>
  <c r="CY138" i="2"/>
  <c r="CY95" i="2"/>
  <c r="CY195" i="2"/>
  <c r="CY141" i="2"/>
  <c r="CY41" i="2"/>
  <c r="CY101" i="2"/>
  <c r="CY28" i="2"/>
  <c r="CY121" i="2"/>
  <c r="CY27" i="2"/>
  <c r="CY72" i="2"/>
  <c r="CY54" i="2"/>
  <c r="CY143" i="2"/>
  <c r="CY40" i="2"/>
  <c r="CY160" i="2"/>
  <c r="CY193" i="2"/>
  <c r="CY115" i="2"/>
  <c r="CY113" i="2"/>
  <c r="CY51" i="2"/>
  <c r="CY3" i="2"/>
  <c r="C10" i="4" s="1"/>
  <c r="E10" i="4" s="1"/>
  <c r="F10" i="4" s="1"/>
  <c r="G10" i="4" s="1"/>
  <c r="L10" i="4" s="1"/>
  <c r="CY52" i="2"/>
  <c r="CY103" i="2"/>
  <c r="CY155" i="2"/>
  <c r="CY36" i="2"/>
  <c r="CY57" i="2"/>
  <c r="CY106" i="2"/>
  <c r="CY199" i="2"/>
  <c r="CY129" i="2"/>
  <c r="CY125" i="2"/>
  <c r="CY61" i="2"/>
  <c r="CY102" i="2"/>
  <c r="CY55" i="2"/>
  <c r="CY45" i="2"/>
  <c r="CY82" i="2"/>
  <c r="CY38" i="2"/>
  <c r="CY98" i="2"/>
  <c r="CY132" i="2"/>
  <c r="CY203" i="2"/>
  <c r="CY6" i="2"/>
  <c r="CY169" i="2"/>
  <c r="CY8" i="2"/>
  <c r="CY107" i="2"/>
  <c r="CY80" i="2"/>
  <c r="CY68" i="2"/>
  <c r="CY175" i="2"/>
  <c r="CY66" i="2"/>
  <c r="CY167" i="2"/>
  <c r="CY126" i="2"/>
  <c r="CY91" i="2"/>
  <c r="CY130" i="2"/>
  <c r="CY26" i="2"/>
  <c r="CY159" i="2"/>
  <c r="CY99" i="2"/>
  <c r="CY46" i="2"/>
  <c r="CY87" i="2"/>
  <c r="CY118" i="2"/>
  <c r="CY202" i="2"/>
  <c r="CY78" i="2"/>
  <c r="CY56" i="2"/>
  <c r="CY120" i="2"/>
  <c r="CY164" i="2"/>
  <c r="CY189" i="2"/>
  <c r="CY140" i="2"/>
  <c r="CY127" i="2"/>
  <c r="CY142" i="2"/>
  <c r="CY188" i="2"/>
  <c r="CY69" i="2"/>
  <c r="CY74" i="2"/>
  <c r="CY200" i="2"/>
  <c r="CY136" i="2"/>
  <c r="CY100" i="2"/>
  <c r="CY194" i="2"/>
  <c r="CY83" i="2"/>
  <c r="CY158" i="2"/>
  <c r="CY85" i="2"/>
  <c r="CY22" i="2"/>
  <c r="CY174" i="2"/>
  <c r="CY166" i="2"/>
  <c r="CY149" i="2"/>
  <c r="CY133" i="2"/>
  <c r="CY170" i="2"/>
  <c r="CY79" i="2"/>
  <c r="CY59" i="2"/>
  <c r="CY191" i="2"/>
  <c r="CY15" i="2"/>
  <c r="CY109" i="2"/>
  <c r="CY177" i="2"/>
  <c r="CY152" i="2"/>
  <c r="CY157" i="2"/>
  <c r="CY154" i="2"/>
  <c r="CY33" i="2"/>
  <c r="CY176" i="2"/>
  <c r="CY145" i="2"/>
  <c r="CY187" i="2"/>
  <c r="CY88" i="2"/>
  <c r="CY173" i="2"/>
  <c r="CY20" i="2"/>
  <c r="CY201" i="2"/>
  <c r="CY151" i="2"/>
  <c r="CY108" i="2"/>
  <c r="CY123" i="2"/>
  <c r="CY16" i="2"/>
  <c r="CY60" i="2"/>
  <c r="CY81" i="2"/>
  <c r="CY23" i="2"/>
  <c r="CY144" i="2"/>
  <c r="CY192" i="2"/>
  <c r="CY63" i="2"/>
  <c r="CY139" i="2"/>
  <c r="CY64" i="2"/>
  <c r="CY116" i="2"/>
  <c r="CY148" i="2"/>
  <c r="CY197" i="2"/>
  <c r="CY39" i="2"/>
  <c r="CY117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J198" i="2" l="1"/>
  <c r="FJ18" i="2"/>
  <c r="FJ193" i="2"/>
  <c r="FJ84" i="2"/>
  <c r="FJ169" i="2"/>
  <c r="FJ133" i="2"/>
  <c r="FJ101" i="2"/>
  <c r="FJ191" i="2"/>
  <c r="FJ32" i="2"/>
  <c r="FJ134" i="2"/>
  <c r="FJ128" i="2"/>
  <c r="FJ19" i="2"/>
  <c r="FJ59" i="2"/>
  <c r="FJ163" i="2"/>
  <c r="FJ142" i="2"/>
  <c r="FJ118" i="2"/>
  <c r="FJ75" i="2"/>
  <c r="FJ187" i="2"/>
  <c r="FJ195" i="2"/>
  <c r="FJ83" i="2"/>
  <c r="FJ180" i="2"/>
  <c r="FJ130" i="2"/>
  <c r="FJ86" i="2"/>
  <c r="FJ153" i="2"/>
  <c r="FJ159" i="2"/>
  <c r="FJ94" i="2"/>
  <c r="FJ88" i="2"/>
  <c r="FJ179" i="2"/>
  <c r="FJ67" i="2"/>
  <c r="FJ71" i="2"/>
  <c r="FJ21" i="2"/>
  <c r="FJ126" i="2"/>
  <c r="FJ9" i="2"/>
  <c r="FJ17" i="2"/>
  <c r="FJ89" i="2"/>
  <c r="FJ36" i="2"/>
  <c r="FJ175" i="2"/>
  <c r="FJ144" i="2"/>
  <c r="FJ80" i="2"/>
  <c r="FJ45" i="2"/>
  <c r="FJ164" i="2"/>
  <c r="FJ38" i="2"/>
  <c r="FJ154" i="2"/>
  <c r="FJ48" i="2"/>
  <c r="FJ53" i="2"/>
  <c r="FJ47" i="2"/>
  <c r="FJ168" i="2"/>
  <c r="FJ57" i="2"/>
  <c r="FJ183" i="2"/>
  <c r="FJ156" i="2"/>
  <c r="FJ148" i="2"/>
  <c r="FJ114" i="2"/>
  <c r="FJ188" i="2"/>
  <c r="FJ161" i="2"/>
  <c r="FJ56" i="2"/>
  <c r="FJ150" i="2"/>
  <c r="FJ76" i="2"/>
  <c r="FJ158" i="2"/>
  <c r="FJ131" i="2"/>
  <c r="FJ35" i="2"/>
  <c r="FJ199" i="2"/>
  <c r="FJ160" i="2"/>
  <c r="FJ49" i="2"/>
  <c r="FJ66" i="2"/>
  <c r="FJ33" i="2"/>
  <c r="FJ100" i="2"/>
  <c r="FJ185" i="2"/>
  <c r="FJ74" i="2"/>
  <c r="FJ91" i="2"/>
  <c r="FJ97" i="2"/>
  <c r="FJ137" i="2"/>
  <c r="FJ79" i="2"/>
  <c r="FJ60" i="2"/>
  <c r="FJ11" i="2"/>
  <c r="FJ93" i="2"/>
  <c r="FJ125" i="2"/>
  <c r="FJ43" i="2"/>
  <c r="FJ102" i="2"/>
  <c r="FJ72" i="2"/>
  <c r="FJ61" i="2"/>
  <c r="FJ117" i="2"/>
  <c r="FJ90" i="2"/>
  <c r="FJ138" i="2"/>
  <c r="FJ30" i="2"/>
  <c r="FJ202" i="2"/>
  <c r="FJ176" i="2"/>
  <c r="FJ113" i="2"/>
  <c r="FJ29" i="2"/>
  <c r="FJ107" i="2"/>
  <c r="FJ31" i="2"/>
  <c r="FJ143" i="2"/>
  <c r="FJ46" i="2"/>
  <c r="FJ27" i="2"/>
  <c r="FJ171" i="2"/>
  <c r="FJ115" i="2"/>
  <c r="FJ14" i="2"/>
  <c r="FJ7" i="2"/>
  <c r="FJ82" i="2"/>
  <c r="FJ78" i="2"/>
  <c r="FJ73" i="2"/>
  <c r="FJ197" i="2"/>
  <c r="FJ178" i="2"/>
  <c r="FJ98" i="2"/>
  <c r="FJ81" i="2"/>
  <c r="FJ42" i="2"/>
  <c r="FJ165" i="2"/>
  <c r="FJ40" i="2"/>
  <c r="FJ5" i="2"/>
  <c r="FJ70" i="2"/>
  <c r="FJ99" i="2"/>
  <c r="FJ162" i="2"/>
  <c r="FJ10" i="2"/>
  <c r="FJ54" i="2"/>
  <c r="FJ34" i="2"/>
  <c r="FJ52" i="2"/>
  <c r="FJ192" i="2"/>
  <c r="FJ139" i="2"/>
  <c r="FJ15" i="2"/>
  <c r="FJ6" i="2"/>
  <c r="FJ37" i="2"/>
  <c r="FJ177" i="2"/>
  <c r="FJ96" i="2"/>
  <c r="FJ147" i="2"/>
  <c r="FJ140" i="2"/>
  <c r="FJ3" i="2"/>
  <c r="C13" i="4" s="1"/>
  <c r="E13" i="4" s="1"/>
  <c r="F13" i="4" s="1"/>
  <c r="G13" i="4" s="1"/>
  <c r="L13" i="4" s="1"/>
  <c r="FJ181" i="2"/>
  <c r="FJ64" i="2"/>
  <c r="FJ105" i="2"/>
  <c r="FJ55" i="2"/>
  <c r="FJ69" i="2"/>
  <c r="FJ122" i="2"/>
  <c r="FJ121" i="2"/>
  <c r="FJ39" i="2"/>
  <c r="FJ103" i="2"/>
  <c r="FJ184" i="2"/>
  <c r="FJ129" i="2"/>
  <c r="FJ63" i="2"/>
  <c r="FJ51" i="2"/>
  <c r="FJ120" i="2"/>
  <c r="FJ132" i="2"/>
  <c r="FJ8" i="2"/>
  <c r="FJ194" i="2"/>
  <c r="FJ44" i="2"/>
  <c r="FJ22" i="2"/>
  <c r="FJ127" i="2"/>
  <c r="FJ135" i="2"/>
  <c r="FJ26" i="2"/>
  <c r="FJ119" i="2"/>
  <c r="FJ196" i="2"/>
  <c r="FJ146" i="2"/>
  <c r="FJ23" i="2"/>
  <c r="FJ108" i="2"/>
  <c r="FJ92" i="2"/>
  <c r="FJ20" i="2"/>
  <c r="FJ24" i="2"/>
  <c r="FJ41" i="2"/>
  <c r="FJ116" i="2"/>
  <c r="FJ112" i="2"/>
  <c r="FJ85" i="2"/>
  <c r="FJ62" i="2"/>
  <c r="FJ190" i="2"/>
  <c r="FJ170" i="2"/>
  <c r="FJ12" i="2"/>
  <c r="FJ172" i="2"/>
  <c r="FJ111" i="2"/>
  <c r="FJ110" i="2"/>
  <c r="FJ189" i="2"/>
  <c r="FJ166" i="2"/>
  <c r="FJ65" i="2"/>
  <c r="FJ200" i="2"/>
  <c r="FJ109" i="2"/>
  <c r="FJ95" i="2"/>
  <c r="FJ77" i="2"/>
  <c r="FJ167" i="2"/>
  <c r="FJ157" i="2"/>
  <c r="FJ155" i="2"/>
  <c r="FJ124" i="2"/>
  <c r="FJ182" i="2"/>
  <c r="FJ58" i="2"/>
  <c r="FJ28" i="2"/>
  <c r="FJ68" i="2"/>
  <c r="FJ13" i="2"/>
  <c r="FJ141" i="2"/>
  <c r="FJ104" i="2"/>
  <c r="FJ149" i="2"/>
  <c r="FJ50" i="2"/>
  <c r="FJ173" i="2"/>
  <c r="FJ87" i="2"/>
  <c r="FJ16" i="2"/>
  <c r="FJ186" i="2"/>
  <c r="FJ136" i="2"/>
  <c r="FJ123" i="2"/>
  <c r="FJ145" i="2"/>
  <c r="FJ174" i="2"/>
  <c r="FJ201" i="2"/>
  <c r="FJ25" i="2"/>
  <c r="FJ106" i="2"/>
  <c r="FJ152" i="2"/>
  <c r="FJ4" i="2"/>
  <c r="FJ203" i="2"/>
  <c r="FJ151" i="2"/>
  <c r="CD177" i="2"/>
  <c r="CD60" i="2"/>
  <c r="CD110" i="2"/>
  <c r="CD101" i="2"/>
  <c r="CD136" i="2"/>
  <c r="CD185" i="2"/>
  <c r="CD75" i="2"/>
  <c r="CD133" i="2"/>
  <c r="CD72" i="2"/>
  <c r="CD54" i="2"/>
  <c r="CD4" i="2"/>
  <c r="CD166" i="2"/>
  <c r="CD168" i="2"/>
  <c r="CD198" i="2"/>
  <c r="CD78" i="2"/>
  <c r="CD13" i="2"/>
  <c r="CD87" i="2"/>
  <c r="CD190" i="2"/>
  <c r="CD5" i="2"/>
  <c r="CD61" i="2"/>
  <c r="CD66" i="2"/>
  <c r="CD167" i="2"/>
  <c r="CD202" i="2"/>
  <c r="CD158" i="2"/>
  <c r="CD33" i="2"/>
  <c r="CD16" i="2"/>
  <c r="CD149" i="2"/>
  <c r="CD49" i="2"/>
  <c r="CD147" i="2"/>
  <c r="CD193" i="2"/>
  <c r="CD112" i="2"/>
  <c r="CD119" i="2"/>
  <c r="CD27" i="2"/>
  <c r="CD127" i="2"/>
  <c r="CD41" i="2"/>
  <c r="CD73" i="2"/>
  <c r="CD51" i="2"/>
  <c r="CD195" i="2"/>
  <c r="CD8" i="2"/>
  <c r="CD150" i="2"/>
  <c r="CD88" i="2"/>
  <c r="CD117" i="2"/>
  <c r="CD151" i="2"/>
  <c r="CD144" i="2"/>
  <c r="CD173" i="2"/>
  <c r="CD174" i="2"/>
  <c r="CD100" i="2"/>
  <c r="CD31" i="2"/>
  <c r="CD188" i="2"/>
  <c r="CD115" i="2"/>
  <c r="CD194" i="2"/>
  <c r="CD85" i="2"/>
  <c r="CD67" i="2"/>
  <c r="CD46" i="2"/>
  <c r="CD113" i="2"/>
  <c r="CD183" i="2"/>
  <c r="CD154" i="2"/>
  <c r="CD179" i="2"/>
  <c r="CD130" i="2"/>
  <c r="CD187" i="2"/>
  <c r="CD24" i="2"/>
  <c r="CD134" i="2"/>
  <c r="CD152" i="2"/>
  <c r="CD22" i="2"/>
  <c r="CD55" i="2"/>
  <c r="CD77" i="2"/>
  <c r="CD121" i="2"/>
  <c r="CD65" i="2"/>
  <c r="CD69" i="2"/>
  <c r="CD79" i="2"/>
  <c r="CD104" i="2"/>
  <c r="CD118" i="2"/>
  <c r="CD7" i="2"/>
  <c r="CD123" i="2"/>
  <c r="CD161" i="2"/>
  <c r="CD160" i="2"/>
  <c r="CD19" i="2"/>
  <c r="CD11" i="2"/>
  <c r="CD141" i="2"/>
  <c r="CD176" i="2"/>
  <c r="CD37" i="2"/>
  <c r="CD50" i="2"/>
  <c r="CD153" i="2"/>
  <c r="CD182" i="2"/>
  <c r="CD122" i="2"/>
  <c r="CD93" i="2"/>
  <c r="CD68" i="2"/>
  <c r="CD162" i="2"/>
  <c r="CD129" i="2"/>
  <c r="CD163" i="2"/>
  <c r="CD125" i="2"/>
  <c r="CD184" i="2"/>
  <c r="CD44" i="2"/>
  <c r="CD81" i="2"/>
  <c r="CD159" i="2"/>
  <c r="CD36" i="2"/>
  <c r="CD42" i="2"/>
  <c r="CD59" i="2"/>
  <c r="CD45" i="2"/>
  <c r="CD200" i="2"/>
  <c r="CD107" i="2"/>
  <c r="CD132" i="2"/>
  <c r="CD128" i="2"/>
  <c r="CD71" i="2"/>
  <c r="CD114" i="2"/>
  <c r="CD170" i="2"/>
  <c r="CD38" i="2"/>
  <c r="CD175" i="2"/>
  <c r="CD157" i="2"/>
  <c r="CD21" i="2"/>
  <c r="CD89" i="2"/>
  <c r="CD52" i="2"/>
  <c r="CD189" i="2"/>
  <c r="CD131" i="2"/>
  <c r="CD30" i="2"/>
  <c r="CD84" i="2"/>
  <c r="CD97" i="2"/>
  <c r="CD108" i="2"/>
  <c r="CD62" i="2"/>
  <c r="CD169" i="2"/>
  <c r="CD3" i="2"/>
  <c r="C9" i="4" s="1"/>
  <c r="E9" i="4" s="1"/>
  <c r="F9" i="4" s="1"/>
  <c r="G9" i="4" s="1"/>
  <c r="L9" i="4" s="1"/>
  <c r="CD34" i="2"/>
  <c r="CD156" i="2"/>
  <c r="CD111" i="2"/>
  <c r="CD180" i="2"/>
  <c r="CD139" i="2"/>
  <c r="CD192" i="2"/>
  <c r="CD146" i="2"/>
  <c r="CD64" i="2"/>
  <c r="CD12" i="2"/>
  <c r="CD20" i="2"/>
  <c r="CD94" i="2"/>
  <c r="CD39" i="2"/>
  <c r="CD197" i="2"/>
  <c r="CD116" i="2"/>
  <c r="CD58" i="2"/>
  <c r="CD143" i="2"/>
  <c r="CD83" i="2"/>
  <c r="CD171" i="2"/>
  <c r="CD15" i="2"/>
  <c r="CD92" i="2"/>
  <c r="CD40" i="2"/>
  <c r="CD48" i="2"/>
  <c r="CD86" i="2"/>
  <c r="CD47" i="2"/>
  <c r="CD103" i="2"/>
  <c r="CD80" i="2"/>
  <c r="CD63" i="2"/>
  <c r="CD90" i="2"/>
  <c r="CD14" i="2"/>
  <c r="CD74" i="2"/>
  <c r="CD120" i="2"/>
  <c r="CD164" i="2"/>
  <c r="CD82" i="2"/>
  <c r="CD105" i="2"/>
  <c r="CD53" i="2"/>
  <c r="CD178" i="2"/>
  <c r="CD186" i="2"/>
  <c r="CD10" i="2"/>
  <c r="CD70" i="2"/>
  <c r="CD191" i="2"/>
  <c r="CD99" i="2"/>
  <c r="CD6" i="2"/>
  <c r="CD181" i="2"/>
  <c r="CD43" i="2"/>
  <c r="CD199" i="2"/>
  <c r="CD76" i="2"/>
  <c r="CD203" i="2"/>
  <c r="CD124" i="2"/>
  <c r="CD135" i="2"/>
  <c r="CD165" i="2"/>
  <c r="CD18" i="2"/>
  <c r="CD196" i="2"/>
  <c r="CD23" i="2"/>
  <c r="CD102" i="2"/>
  <c r="CD145" i="2"/>
  <c r="CD137" i="2"/>
  <c r="CD9" i="2"/>
  <c r="CD95" i="2"/>
  <c r="CD28" i="2"/>
  <c r="CD91" i="2"/>
  <c r="CD109" i="2"/>
  <c r="CD155" i="2"/>
  <c r="CD172" i="2"/>
  <c r="CD57" i="2"/>
  <c r="CD140" i="2"/>
  <c r="CD142" i="2"/>
  <c r="CD56" i="2"/>
  <c r="CD17" i="2"/>
  <c r="CD148" i="2"/>
  <c r="CD106" i="2"/>
  <c r="CD138" i="2"/>
  <c r="CD32" i="2"/>
  <c r="CD35" i="2"/>
  <c r="CD126" i="2"/>
  <c r="CD96" i="2"/>
  <c r="CD26" i="2"/>
  <c r="CD98" i="2"/>
  <c r="CD29" i="2"/>
  <c r="CD201" i="2"/>
  <c r="CD2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21" i="2" l="1"/>
  <c r="BI123" i="2"/>
  <c r="BI102" i="2"/>
  <c r="BI18" i="2"/>
  <c r="BI15" i="2"/>
  <c r="BI136" i="2"/>
  <c r="BI89" i="2"/>
  <c r="BI109" i="2"/>
  <c r="BI90" i="2"/>
  <c r="BI81" i="2"/>
  <c r="BI152" i="2"/>
  <c r="BI82" i="2"/>
  <c r="BI43" i="2"/>
  <c r="BI38" i="2"/>
  <c r="BI173" i="2"/>
  <c r="BI22" i="2"/>
  <c r="BI175" i="2"/>
  <c r="BI99" i="2"/>
  <c r="BI31" i="2"/>
  <c r="BI44" i="2"/>
  <c r="BI60" i="2"/>
  <c r="BI34" i="2"/>
  <c r="BI184" i="2"/>
  <c r="BI79" i="2"/>
  <c r="BI7" i="2"/>
  <c r="BI115" i="2"/>
  <c r="BI198" i="2"/>
  <c r="BI125" i="2"/>
  <c r="BI45" i="2"/>
  <c r="BI187" i="2"/>
  <c r="BI35" i="2"/>
  <c r="BI96" i="2"/>
  <c r="BI107" i="2"/>
  <c r="BI113" i="2"/>
  <c r="BI25" i="2"/>
  <c r="BI192" i="2"/>
  <c r="BI193" i="2"/>
  <c r="BI13" i="2"/>
  <c r="BI14" i="2"/>
  <c r="BI112" i="2"/>
  <c r="BI124" i="2"/>
  <c r="BI199" i="2"/>
  <c r="BI100" i="2"/>
  <c r="BI92" i="2"/>
  <c r="BI46" i="2"/>
  <c r="BI142" i="2"/>
  <c r="BI6" i="2"/>
  <c r="BI145" i="2"/>
  <c r="BI67" i="2"/>
  <c r="BI146" i="2"/>
  <c r="BI188" i="2"/>
  <c r="BI154" i="2"/>
  <c r="BI66" i="2"/>
  <c r="BI23" i="2"/>
  <c r="BI196" i="2"/>
  <c r="BI174" i="2"/>
  <c r="BI41" i="2"/>
  <c r="BI108" i="2"/>
  <c r="BI88" i="2"/>
  <c r="BI47" i="2"/>
  <c r="BI186" i="2"/>
  <c r="BI85" i="2"/>
  <c r="BI144" i="2"/>
  <c r="BI74" i="2"/>
  <c r="BI95" i="2"/>
  <c r="BI126" i="2"/>
  <c r="BI135" i="2"/>
  <c r="BI159" i="2"/>
  <c r="BI30" i="2"/>
  <c r="BI58" i="2"/>
  <c r="BI54" i="2"/>
  <c r="BI36" i="2"/>
  <c r="BI76" i="2"/>
  <c r="BI127" i="2"/>
  <c r="BI68" i="2"/>
  <c r="BI189" i="2"/>
  <c r="BI29" i="2"/>
  <c r="BI93" i="2"/>
  <c r="BI98" i="2"/>
  <c r="BI10" i="2"/>
  <c r="BI32" i="2"/>
  <c r="BI170" i="2"/>
  <c r="BI48" i="2"/>
  <c r="BI165" i="2"/>
  <c r="BI138" i="2"/>
  <c r="BI169" i="2"/>
  <c r="BI5" i="2"/>
  <c r="BI97" i="2"/>
  <c r="BI133" i="2"/>
  <c r="BI166" i="2"/>
  <c r="BI158" i="2"/>
  <c r="BI61" i="2"/>
  <c r="BI57" i="2"/>
  <c r="BI26" i="2"/>
  <c r="BI156" i="2"/>
  <c r="BI161" i="2"/>
  <c r="BI195" i="2"/>
  <c r="BI4" i="2"/>
  <c r="BI77" i="2"/>
  <c r="BI117" i="2"/>
  <c r="BI122" i="2"/>
  <c r="BI71" i="2"/>
  <c r="BI168" i="2"/>
  <c r="BI17" i="2"/>
  <c r="BI73" i="2"/>
  <c r="BI104" i="2"/>
  <c r="BI185" i="2"/>
  <c r="BI201" i="2"/>
  <c r="BI181" i="2"/>
  <c r="BI24" i="2"/>
  <c r="BI28" i="2"/>
  <c r="BI80" i="2"/>
  <c r="BI190" i="2"/>
  <c r="BI51" i="2"/>
  <c r="BI131" i="2"/>
  <c r="BI202" i="2"/>
  <c r="BI157" i="2"/>
  <c r="BI86" i="2"/>
  <c r="BI147" i="2"/>
  <c r="BI130" i="2"/>
  <c r="BI162" i="2"/>
  <c r="BI52" i="2"/>
  <c r="BI20" i="2"/>
  <c r="BI106" i="2"/>
  <c r="BI9" i="2"/>
  <c r="BI3" i="2"/>
  <c r="C8" i="4" s="1"/>
  <c r="E8" i="4" s="1"/>
  <c r="F8" i="4" s="1"/>
  <c r="G8" i="4" s="1"/>
  <c r="L8" i="4" s="1"/>
  <c r="BI53" i="2"/>
  <c r="BI140" i="2"/>
  <c r="BI8" i="2"/>
  <c r="BI55" i="2"/>
  <c r="BI27" i="2"/>
  <c r="BI167" i="2"/>
  <c r="BI200" i="2"/>
  <c r="BI134" i="2"/>
  <c r="BI59" i="2"/>
  <c r="BI203" i="2"/>
  <c r="BI139" i="2"/>
  <c r="BI75" i="2"/>
  <c r="BI172" i="2"/>
  <c r="BI129" i="2"/>
  <c r="BI163" i="2"/>
  <c r="BI94" i="2"/>
  <c r="BI39" i="2"/>
  <c r="BI37" i="2"/>
  <c r="BI111" i="2"/>
  <c r="BI183" i="2"/>
  <c r="BI91" i="2"/>
  <c r="BI121" i="2"/>
  <c r="BI101" i="2"/>
  <c r="BI164" i="2"/>
  <c r="BI197" i="2"/>
  <c r="BI16" i="2"/>
  <c r="BI56" i="2"/>
  <c r="BI33" i="2"/>
  <c r="BI180" i="2"/>
  <c r="BI64" i="2"/>
  <c r="BI119" i="2"/>
  <c r="BI178" i="2"/>
  <c r="BI70" i="2"/>
  <c r="BI176" i="2"/>
  <c r="BI194" i="2"/>
  <c r="BI150" i="2"/>
  <c r="BI143" i="2"/>
  <c r="BI19" i="2"/>
  <c r="BI12" i="2"/>
  <c r="BI83" i="2"/>
  <c r="BI149" i="2"/>
  <c r="BI11" i="2"/>
  <c r="BI62" i="2"/>
  <c r="BI137" i="2"/>
  <c r="BI50" i="2"/>
  <c r="BI116" i="2"/>
  <c r="BI63" i="2"/>
  <c r="BI153" i="2"/>
  <c r="BI78" i="2"/>
  <c r="BI128" i="2"/>
  <c r="BI120" i="2"/>
  <c r="BI132" i="2"/>
  <c r="BI171" i="2"/>
  <c r="BI155" i="2"/>
  <c r="BI40" i="2"/>
  <c r="BI105" i="2"/>
  <c r="BI87" i="2"/>
  <c r="BI110" i="2"/>
  <c r="BI182" i="2"/>
  <c r="BI118" i="2"/>
  <c r="BI160" i="2"/>
  <c r="BI65" i="2"/>
  <c r="BI191" i="2"/>
  <c r="BI179" i="2"/>
  <c r="BI177" i="2"/>
  <c r="BI141" i="2"/>
  <c r="BI148" i="2"/>
  <c r="BI69" i="2"/>
  <c r="BI84" i="2"/>
  <c r="BI49" i="2"/>
  <c r="BI151" i="2"/>
  <c r="BI103" i="2"/>
  <c r="BI42" i="2"/>
  <c r="BI114" i="2"/>
  <c r="BI7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<sst xmlns="http://schemas.openxmlformats.org/spreadsheetml/2006/main" count="1185" uniqueCount="329">
  <si>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</si>
  <si>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</si>
  <si>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</si>
  <si>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</si>
  <si>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</si>
  <si>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</si>
  <si>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</si>
  <si>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</si>
  <si>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</si>
  <si>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</si>
  <si>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</si>
  <si>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</si>
  <si>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</si>
  <si>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</si>
  <si>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</si>
  <si>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</si>
  <si>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</si>
  <si>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</si>
  <si>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</si>
  <si>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</si>
  <si>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</si>
  <si>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</si>
  <si>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</si>
  <si>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</si>
  <si>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</si>
  <si>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</si>
  <si>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</si>
  <si>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</si>
  <si>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</si>
  <si>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</si>
  <si>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</si>
  <si>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</si>
  <si>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</si>
  <si>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</si>
  <si>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</si>
  <si>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</si>
  <si>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</si>
  <si>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</si>
  <si>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</si>
  <si>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</si>
  <si>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</si>
  <si>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</si>
  <si>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</si>
  <si>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</si>
  <si>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</si>
  <si>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</si>
  <si>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</si>
  <si>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</si>
  <si>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</si>
  <si>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</si>
  <si>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</si>
  <si>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</si>
  <si>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</si>
  <si>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</si>
  <si>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</si>
  <si>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</si>
  <si>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</si>
  <si>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</si>
  <si>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</si>
  <si>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</si>
  <si>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</si>
  <si>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</si>
  <si>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</si>
  <si>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</si>
  <si>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</si>
  <si>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</si>
  <si>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</si>
  <si>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</si>
  <si>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</si>
  <si>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</si>
  <si>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</si>
  <si>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</si>
  <si>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</si>
  <si>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</si>
  <si>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</si>
  <si>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</si>
  <si>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</si>
  <si>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</si>
  <si>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</si>
  <si>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</si>
  <si>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</si>
  <si>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</si>
  <si>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</si>
  <si>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</si>
  <si>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</si>
  <si>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</si>
  <si>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</si>
  <si>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</si>
  <si>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</si>
  <si>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</si>
  <si>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</si>
  <si>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</si>
  <si>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</si>
  <si>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</si>
  <si>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</si>
  <si>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</si>
  <si>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</si>
  <si>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</si>
  <si>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</si>
  <si>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</si>
  <si>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</si>
  <si>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</si>
  <si>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</si>
  <si>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</si>
  <si>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</si>
  <si>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</si>
  <si>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</si>
  <si>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</si>
  <si>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</si>
  <si>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</si>
  <si>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</si>
  <si>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</si>
  <si>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</si>
  <si>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</si>
  <si>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</si>
  <si>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</si>
  <si>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</si>
  <si>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</si>
  <si>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</si>
  <si>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</si>
  <si>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</si>
  <si>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</si>
  <si>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</si>
  <si>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</si>
  <si>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</si>
  <si>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</si>
  <si>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</si>
  <si>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</si>
  <si>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</si>
  <si>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</si>
  <si>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</si>
  <si>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</si>
  <si>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</si>
  <si>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</si>
  <si>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</si>
  <si>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</si>
  <si>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</si>
  <si>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</si>
  <si>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</si>
  <si>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</si>
  <si>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</si>
  <si>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</si>
  <si>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</si>
  <si>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</si>
  <si>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</si>
  <si>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</si>
  <si>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</si>
  <si>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</si>
  <si>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</si>
  <si>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</si>
  <si>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</si>
  <si>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</si>
  <si>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</si>
  <si>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</si>
  <si>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</si>
  <si>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</si>
  <si>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</si>
  <si>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</si>
  <si>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</si>
  <si>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</si>
  <si>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</si>
  <si>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</si>
  <si>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</si>
  <si>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</si>
  <si>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</si>
  <si>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</si>
  <si>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</si>
  <si>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</si>
  <si>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</si>
  <si>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</si>
  <si>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</si>
  <si>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</si>
  <si>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</si>
  <si>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</si>
  <si>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</si>
  <si>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</si>
  <si>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</si>
  <si>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</si>
  <si>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</si>
  <si>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</si>
  <si>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</si>
  <si>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</si>
  <si>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</si>
  <si>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</si>
  <si>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</si>
  <si>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</si>
  <si>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</si>
  <si>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</si>
  <si>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</si>
  <si>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</si>
  <si>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</si>
  <si>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</si>
  <si>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</si>
  <si>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</si>
  <si>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</si>
  <si>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</si>
  <si>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</si>
  <si>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</si>
  <si>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</si>
  <si>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</si>
  <si>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</si>
  <si>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</si>
  <si>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</si>
  <si>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</si>
  <si>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</si>
  <si>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</si>
  <si>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</si>
  <si>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</si>
  <si>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</si>
  <si>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</si>
  <si>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</si>
  <si>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</si>
  <si>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</si>
  <si>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</si>
  <si>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</si>
  <si>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</si>
  <si>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</si>
  <si>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</si>
  <si>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</si>
  <si>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</si>
  <si>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</si>
  <si>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</si>
  <si>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</si>
  <si>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</si>
  <si>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</si>
  <si>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</si>
  <si>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</si>
  <si>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</si>
  <si>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</si>
  <si>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</si>
  <si>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</si>
  <si>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</si>
  <si>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</si>
  <si>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</si>
  <si>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</si>
  <si>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</si>
  <si>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</si>
  <si>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</si>
  <si>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</si>
  <si>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</si>
  <si>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</si>
  <si>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</si>
  <si>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</si>
  <si>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</si>
  <si>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</si>
  <si>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</si>
  <si>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</si>
  <si>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</si>
  <si>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</si>
  <si>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</si>
  <si>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</si>
  <si>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</si>
  <si>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</si>
  <si>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</si>
  <si>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</si>
  <si>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</si>
  <si>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</si>
  <si>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</si>
  <si>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</si>
  <si>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</si>
  <si>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</si>
  <si>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</si>
  <si>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</si>
  <si>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</si>
  <si>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</si>
  <si>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</si>
  <si>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</si>
  <si>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</si>
  <si>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</si>
  <si>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</si>
  <si>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</si>
  <si>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</si>
  <si>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</si>
  <si>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</si>
  <si>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</si>
  <si>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</si>
  <si>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</si>
  <si>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</si>
  <si>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</si>
  <si>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</si>
  <si>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</si>
  <si>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</si>
  <si>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</si>
  <si>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</si>
  <si>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</si>
  <si>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</si>
  <si>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</si>
  <si>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</si>
  <si>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</si>
  <si>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</si>
  <si>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</si>
  <si>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</si>
  <si>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</si>
  <si>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</si>
  <si>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</si>
  <si>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</si>
  <si>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</si>
  <si>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</si>
  <si>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</si>
  <si>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</si>
  <si>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</si>
  <si>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</si>
  <si>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</si>
  <si>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</si>
  <si>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</si>
  <si>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</si>
  <si>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</si>
  <si>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</si>
  <si>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</si>
  <si>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</si>
  <si>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</si>
  <si>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</si>
  <si>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</si>
  <si>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</si>
  <si>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</si>
  <si>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</si>
  <si>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</si>
  <si>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</si>
  <si>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</si>
  <si>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</si>
  <si>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</si>
  <si>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</si>
  <si>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</si>
  <si>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</si>
  <si>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Pommier</t>
  </si>
  <si>
    <t>Poirier</t>
  </si>
  <si>
    <t>non valorisé</t>
  </si>
  <si>
    <t>Pommier sauvage non valorisé</t>
  </si>
  <si>
    <t>Poirier sauvage non valorisé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</si>
</sst>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1.9829605481590298</c:v>
                </c:pt>
                <c:pt idx="2">
                  <c:v>2.5355588777979912</c:v>
                </c:pt>
                <c:pt idx="3">
                  <c:v>3.2427700574650582</c:v>
                </c:pt>
                <c:pt idx="4">
                  <c:v>4.1480169179114386</c:v>
                </c:pt>
                <c:pt idx="5">
                  <c:v>5.3069604993060517</c:v>
                </c:pt>
                <c:pt idx="6">
                  <c:v>6.7909605032023883</c:v>
                </c:pt>
                <c:pt idx="7">
                  <c:v>8.6915171549065775</c:v>
                </c:pt>
                <c:pt idx="8">
                  <c:v>11.125973576865023</c:v>
                </c:pt>
                <c:pt idx="9">
                  <c:v>14.244837344922145</c:v>
                </c:pt>
                <c:pt idx="10">
                  <c:v>18.241182207576891</c:v>
                </c:pt>
                <c:pt idx="11">
                  <c:v>23.362722503944415</c:v>
                </c:pt>
                <c:pt idx="12">
                  <c:v>29.927321996743171</c:v>
                </c:pt>
                <c:pt idx="13">
                  <c:v>38.342916424072889</c:v>
                </c:pt>
                <c:pt idx="14">
                  <c:v>49.133108944839641</c:v>
                </c:pt>
                <c:pt idx="15">
                  <c:v>62.970057669105302</c:v>
                </c:pt>
                <c:pt idx="16">
                  <c:v>80.716737618977461</c:v>
                </c:pt>
                <c:pt idx="17">
                  <c:v>103.48125535748945</c:v>
                </c:pt>
                <c:pt idx="18">
                  <c:v>132.68666126010359</c:v>
                </c:pt>
                <c:pt idx="19">
                  <c:v>170.16069105127073</c:v>
                </c:pt>
                <c:pt idx="20">
                  <c:v>135.53069857495038</c:v>
                </c:pt>
                <c:pt idx="21">
                  <c:v>161.15012092979916</c:v>
                </c:pt>
                <c:pt idx="22">
                  <c:v>186.67293481199212</c:v>
                </c:pt>
                <c:pt idx="23">
                  <c:v>212.11422506599504</c:v>
                </c:pt>
                <c:pt idx="24">
                  <c:v>237.48514992227561</c:v>
                </c:pt>
                <c:pt idx="25">
                  <c:v>206.53161528161434</c:v>
                </c:pt>
                <c:pt idx="26">
                  <c:v>233.40713942060134</c:v>
                </c:pt>
                <c:pt idx="27">
                  <c:v>260.21198168451195</c:v>
                </c:pt>
                <c:pt idx="28">
                  <c:v>286.9544450254437</c:v>
                </c:pt>
                <c:pt idx="29">
                  <c:v>313.64115705254318</c:v>
                </c:pt>
                <c:pt idx="30">
                  <c:v>340.27752501668789</c:v>
                </c:pt>
                <c:pt idx="31">
                  <c:v>280.87120172097963</c:v>
                </c:pt>
                <c:pt idx="32">
                  <c:v>307.23239527284721</c:v>
                </c:pt>
                <c:pt idx="33">
                  <c:v>333.54333753060683</c:v>
                </c:pt>
                <c:pt idx="34">
                  <c:v>359.80854661791369</c:v>
                </c:pt>
                <c:pt idx="35">
                  <c:v>386.03182733513495</c:v>
                </c:pt>
                <c:pt idx="36">
                  <c:v>412.21642559656016</c:v>
                </c:pt>
                <c:pt idx="37">
                  <c:v>438.36514154393285</c:v>
                </c:pt>
                <c:pt idx="38">
                  <c:v>394.86218431460662</c:v>
                </c:pt>
                <c:pt idx="39">
                  <c:v>420.83865329101536</c:v>
                </c:pt>
                <c:pt idx="40">
                  <c:v>446.78060318925992</c:v>
                </c:pt>
                <c:pt idx="41">
                  <c:v>472.69031801972392</c:v>
                </c:pt>
                <c:pt idx="42">
                  <c:v>498.56981119605592</c:v>
                </c:pt>
                <c:pt idx="43">
                  <c:v>524.42087025895296</c:v>
                </c:pt>
                <c:pt idx="44">
                  <c:v>550.24509232420291</c:v>
                </c:pt>
                <c:pt idx="45">
                  <c:v>576.04391253225162</c:v>
                </c:pt>
                <c:pt idx="46">
                  <c:v>601.81862713859334</c:v>
                </c:pt>
                <c:pt idx="47">
                  <c:v>506.67866168846348</c:v>
                </c:pt>
                <c:pt idx="48">
                  <c:v>529.2802503871311</c:v>
                </c:pt>
                <c:pt idx="49">
                  <c:v>551.86153159582489</c:v>
                </c:pt>
                <c:pt idx="50">
                  <c:v>574.42345234122934</c:v>
                </c:pt>
                <c:pt idx="51">
                  <c:v>596.96687926354946</c:v>
                </c:pt>
                <c:pt idx="52">
                  <c:v>619.49260827885348</c:v>
                </c:pt>
                <c:pt idx="53">
                  <c:v>642.00137276399425</c:v>
                </c:pt>
                <c:pt idx="54">
                  <c:v>664.49385053489107</c:v>
                </c:pt>
                <c:pt idx="55">
                  <c:v>686.97066983166678</c:v>
                </c:pt>
                <c:pt idx="56">
                  <c:v>709.43241448048047</c:v>
                </c:pt>
                <c:pt idx="57">
                  <c:v>631.67236927414172</c:v>
                </c:pt>
                <c:pt idx="58">
                  <c:v>651.3330869379339</c:v>
                </c:pt>
                <c:pt idx="59">
                  <c:v>670.98157399988816</c:v>
                </c:pt>
                <c:pt idx="60">
                  <c:v>690.61823868278464</c:v>
                </c:pt>
                <c:pt idx="61">
                  <c:v>710.24346412590251</c:v>
                </c:pt>
                <c:pt idx="62">
                  <c:v>729.85761059078425</c:v>
                </c:pt>
                <c:pt idx="63">
                  <c:v>749.46101741779523</c:v>
                </c:pt>
                <c:pt idx="64">
                  <c:v>769.05400476753857</c:v>
                </c:pt>
                <c:pt idx="65">
                  <c:v>788.63687517576818</c:v>
                </c:pt>
                <c:pt idx="66">
                  <c:v>808.20991494600219</c:v>
                </c:pt>
                <c:pt idx="67">
                  <c:v>714.1161227767725</c:v>
                </c:pt>
                <c:pt idx="68">
                  <c:v>730.33767734111404</c:v>
                </c:pt>
                <c:pt idx="69">
                  <c:v>746.55189111234506</c:v>
                </c:pt>
                <c:pt idx="70">
                  <c:v>762.75894584283617</c:v>
                </c:pt>
                <c:pt idx="71">
                  <c:v>778.95901493852716</c:v>
                </c:pt>
                <c:pt idx="72">
                  <c:v>795.15226401136772</c:v>
                </c:pt>
                <c:pt idx="73">
                  <c:v>811.33885138445942</c:v>
                </c:pt>
                <c:pt idx="74">
                  <c:v>827.51892855483277</c:v>
                </c:pt>
                <c:pt idx="75">
                  <c:v>843.69264061818376</c:v>
                </c:pt>
                <c:pt idx="76">
                  <c:v>859.86012665938733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11.20539188542012</c:v>
                </c:pt>
                <c:pt idx="2">
                  <c:v>21.927523777049117</c:v>
                </c:pt>
                <c:pt idx="3">
                  <c:v>32.493586948817772</c:v>
                </c:pt>
                <c:pt idx="4">
                  <c:v>42.963445730345995</c:v>
                </c:pt>
                <c:pt idx="5">
                  <c:v>53.364232598299985</c:v>
                </c:pt>
                <c:pt idx="6">
                  <c:v>63.71142505018269</c:v>
                </c:pt>
                <c:pt idx="7">
                  <c:v>74.015000830188157</c:v>
                </c:pt>
                <c:pt idx="8">
                  <c:v>84.28190983106856</c:v>
                </c:pt>
                <c:pt idx="9">
                  <c:v>94.517260312406492</c:v>
                </c:pt>
                <c:pt idx="10">
                  <c:v>104.7249587701631</c:v>
                </c:pt>
                <c:pt idx="11">
                  <c:v>114.90808518941105</c:v>
                </c:pt>
                <c:pt idx="12">
                  <c:v>125.0691274383351</c:v>
                </c:pt>
                <c:pt idx="13">
                  <c:v>135.21013509563227</c:v>
                </c:pt>
                <c:pt idx="14">
                  <c:v>145.33282450800652</c:v>
                </c:pt>
                <c:pt idx="15">
                  <c:v>155.43865293601846</c:v>
                </c:pt>
                <c:pt idx="16">
                  <c:v>165.52887234629307</c:v>
                </c:pt>
                <c:pt idx="17">
                  <c:v>175.60456936445431</c:v>
                </c:pt>
                <c:pt idx="18">
                  <c:v>185.66669555613839</c:v>
                </c:pt>
                <c:pt idx="19">
                  <c:v>195.71609078597473</c:v>
                </c:pt>
                <c:pt idx="20">
                  <c:v>205.75350151859661</c:v>
                </c:pt>
                <c:pt idx="21">
                  <c:v>215.779595355433</c:v>
                </c:pt>
                <c:pt idx="22">
                  <c:v>225.79497272413494</c:v>
                </c:pt>
                <c:pt idx="23">
                  <c:v>235.80017638257266</c:v>
                </c:pt>
                <c:pt idx="24">
                  <c:v>245.79569922332504</c:v>
                </c:pt>
                <c:pt idx="25">
                  <c:v>255.78199074076778</c:v>
                </c:pt>
                <c:pt idx="26">
                  <c:v>265.75946243430144</c:v>
                </c:pt>
                <c:pt idx="27">
                  <c:v>275.72849235693155</c:v>
                </c:pt>
                <c:pt idx="28">
                  <c:v>285.68942897104239</c:v>
                </c:pt>
                <c:pt idx="29">
                  <c:v>295.64259443786659</c:v>
                </c:pt>
                <c:pt idx="30">
                  <c:v>305.58828744048856</c:v>
                </c:pt>
                <c:pt idx="31">
                  <c:v>315.52678561987216</c:v>
                </c:pt>
                <c:pt idx="32">
                  <c:v>325.4583476877346</c:v>
                </c:pt>
                <c:pt idx="33">
                  <c:v>335.38321526789008</c:v>
                </c:pt>
                <c:pt idx="34">
                  <c:v>345.30161450813017</c:v>
                </c:pt>
                <c:pt idx="35">
                  <c:v>355.21375749714207</c:v>
                </c:pt>
                <c:pt idx="36">
                  <c:v>365.1198435149422</c:v>
                </c:pt>
                <c:pt idx="37">
                  <c:v>375.02006014046651</c:v>
                </c:pt>
                <c:pt idx="38">
                  <c:v>384.91458423605405</c:v>
                </c:pt>
                <c:pt idx="39">
                  <c:v>394.80358282538549</c:v>
                </c:pt>
                <c:pt idx="40">
                  <c:v>404.6872138788429</c:v>
                </c:pt>
                <c:pt idx="41">
                  <c:v>414.56562701812322</c:v>
                </c:pt>
                <c:pt idx="42">
                  <c:v>424.43896415017292</c:v>
                </c:pt>
                <c:pt idx="43">
                  <c:v>260.23313016156169</c:v>
                </c:pt>
                <c:pt idx="44">
                  <c:v>278.44681281239997</c:v>
                </c:pt>
                <c:pt idx="45">
                  <c:v>296.63377132490763</c:v>
                </c:pt>
                <c:pt idx="46">
                  <c:v>314.79587436452249</c:v>
                </c:pt>
                <c:pt idx="47">
                  <c:v>332.9347573633475</c:v>
                </c:pt>
                <c:pt idx="48">
                  <c:v>351.05186301791537</c:v>
                </c:pt>
                <c:pt idx="49">
                  <c:v>369.14847298502383</c:v>
                </c:pt>
                <c:pt idx="50">
                  <c:v>285.89441593904411</c:v>
                </c:pt>
                <c:pt idx="51">
                  <c:v>302.88566086690889</c:v>
                </c:pt>
                <c:pt idx="52">
                  <c:v>319.85570298158433</c:v>
                </c:pt>
                <c:pt idx="53">
                  <c:v>336.80582532791021</c:v>
                </c:pt>
                <c:pt idx="54">
                  <c:v>353.7371712740657</c:v>
                </c:pt>
                <c:pt idx="55">
                  <c:v>370.650765814566</c:v>
                </c:pt>
                <c:pt idx="56">
                  <c:v>387.54753278046701</c:v>
                </c:pt>
                <c:pt idx="57">
                  <c:v>324.84229047858202</c:v>
                </c:pt>
                <c:pt idx="58">
                  <c:v>341.43839219104871</c:v>
                </c:pt>
                <c:pt idx="59">
                  <c:v>358.01676189115318</c:v>
                </c:pt>
                <c:pt idx="60">
                  <c:v>374.57833607948623</c:v>
                </c:pt>
                <c:pt idx="61">
                  <c:v>391.12396169935806</c:v>
                </c:pt>
                <c:pt idx="62">
                  <c:v>407.6544082061323</c:v>
                </c:pt>
                <c:pt idx="63">
                  <c:v>424.17037757659017</c:v>
                </c:pt>
                <c:pt idx="64">
                  <c:v>361.34408218599697</c:v>
                </c:pt>
                <c:pt idx="65">
                  <c:v>377.35815934709927</c:v>
                </c:pt>
                <c:pt idx="66">
                  <c:v>393.35744559771814</c:v>
                </c:pt>
                <c:pt idx="67">
                  <c:v>409.34262709633504</c:v>
                </c:pt>
                <c:pt idx="68">
                  <c:v>425.31433205072511</c:v>
                </c:pt>
                <c:pt idx="69">
                  <c:v>441.27313764989566</c:v>
                </c:pt>
                <c:pt idx="70">
                  <c:v>457.21957594103316</c:v>
                </c:pt>
                <c:pt idx="71">
                  <c:v>473.15413884394314</c:v>
                </c:pt>
                <c:pt idx="72">
                  <c:v>397.90541663949875</c:v>
                </c:pt>
                <c:pt idx="73">
                  <c:v>412.95607714276122</c:v>
                </c:pt>
                <c:pt idx="74">
                  <c:v>427.99490547956322</c:v>
                </c:pt>
                <c:pt idx="75">
                  <c:v>443.02237586841375</c:v>
                </c:pt>
                <c:pt idx="76">
                  <c:v>458.03892773940169</c:v>
                </c:pt>
                <c:pt idx="77">
                  <c:v>473.0449693668516</c:v>
                </c:pt>
                <c:pt idx="78">
                  <c:v>488.04088101709573</c:v>
                </c:pt>
                <c:pt idx="79">
                  <c:v>503.02701768929575</c:v>
                </c:pt>
                <c:pt idx="80">
                  <c:v>429.78258246574592</c:v>
                </c:pt>
                <c:pt idx="81">
                  <c:v>443.91184644806668</c:v>
                </c:pt>
                <c:pt idx="82">
                  <c:v>458.03147922778635</c:v>
                </c:pt>
                <c:pt idx="83">
                  <c:v>472.141819469442</c:v>
                </c:pt>
                <c:pt idx="84">
                  <c:v>486.24318394824201</c:v>
                </c:pt>
                <c:pt idx="85">
                  <c:v>500.33586957190164</c:v>
                </c:pt>
                <c:pt idx="86">
                  <c:v>514.42015516287267</c:v>
                </c:pt>
                <c:pt idx="87">
                  <c:v>528.49630303527977</c:v>
                </c:pt>
                <c:pt idx="88">
                  <c:v>453.66372147844731</c:v>
                </c:pt>
                <c:pt idx="89">
                  <c:v>466.73207202169948</c:v>
                </c:pt>
                <c:pt idx="90">
                  <c:v>479.79262513581756</c:v>
                </c:pt>
                <c:pt idx="91">
                  <c:v>492.84562295362815</c:v>
                </c:pt>
                <c:pt idx="92">
                  <c:v>505.89129373820555</c:v>
                </c:pt>
                <c:pt idx="93">
                  <c:v>518.92985302204045</c:v>
                </c:pt>
                <c:pt idx="94">
                  <c:v>531.96150462578419</c:v>
                </c:pt>
                <c:pt idx="95">
                  <c:v>544.98644157199533</c:v>
                </c:pt>
                <c:pt idx="96">
                  <c:v>286.04163182227154</c:v>
                </c:pt>
                <c:pt idx="97">
                  <c:v>294.78943542966084</c:v>
                </c:pt>
                <c:pt idx="98">
                  <c:v>303.53144827169496</c:v>
                </c:pt>
                <c:pt idx="99">
                  <c:v>312.26786078543915</c:v>
                </c:pt>
                <c:pt idx="100">
                  <c:v>320.99885187362952</c:v>
                </c:pt>
                <c:pt idx="101">
                  <c:v>329.72458990487462</c:v>
                </c:pt>
                <c:pt idx="102">
                  <c:v>338.44523360238071</c:v>
                </c:pt>
                <c:pt idx="103">
                  <c:v>347.1609328362394</c:v>
                </c:pt>
                <c:pt idx="104">
                  <c:v>355.87182933195271</c:v>
                </c:pt>
                <c:pt idx="105">
                  <c:v>364.57805730592491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2.7470453469353902</c:v>
                </c:pt>
                <c:pt idx="2">
                  <c:v>3.1112675048520493</c:v>
                </c:pt>
                <c:pt idx="3">
                  <c:v>3.5239512711667977</c:v>
                </c:pt>
                <c:pt idx="4">
                  <c:v>3.9915661588372999</c:v>
                </c:pt>
                <c:pt idx="5">
                  <c:v>4.5214480343918737</c:v>
                </c:pt>
                <c:pt idx="6">
                  <c:v>5.1219154700207277</c:v>
                </c:pt>
                <c:pt idx="7">
                  <c:v>5.802401763688315</c:v>
                </c:pt>
                <c:pt idx="8">
                  <c:v>6.5736047423229671</c:v>
                </c:pt>
                <c:pt idx="9">
                  <c:v>7.4476567492987824</c:v>
                </c:pt>
                <c:pt idx="10">
                  <c:v>8.4383175423790053</c:v>
                </c:pt>
                <c:pt idx="11">
                  <c:v>9.5611931973096311</c:v>
                </c:pt>
                <c:pt idx="12">
                  <c:v>10.833984531322855</c:v>
                </c:pt>
                <c:pt idx="13">
                  <c:v>12.276769036733318</c:v>
                </c:pt>
                <c:pt idx="14">
                  <c:v>13.912320855312787</c:v>
                </c:pt>
                <c:pt idx="15">
                  <c:v>15.766473937989028</c:v>
                </c:pt>
                <c:pt idx="16">
                  <c:v>17.868534231606215</c:v>
                </c:pt>
                <c:pt idx="17">
                  <c:v>20.251747526339248</c:v>
                </c:pt>
                <c:pt idx="18">
                  <c:v>22.953830496747287</c:v>
                </c:pt>
                <c:pt idx="19">
                  <c:v>26.017573491013199</c:v>
                </c:pt>
                <c:pt idx="20">
                  <c:v>29.491524783266243</c:v>
                </c:pt>
                <c:pt idx="21">
                  <c:v>33.430767321913699</c:v>
                </c:pt>
                <c:pt idx="22">
                  <c:v>37.897800504074212</c:v>
                </c:pt>
                <c:pt idx="23">
                  <c:v>42.963541206898469</c:v>
                </c:pt>
                <c:pt idx="24">
                  <c:v>48.708460238493302</c:v>
                </c:pt>
                <c:pt idx="25">
                  <c:v>55.223872565823626</c:v>
                </c:pt>
                <c:pt idx="26">
                  <c:v>62.6134021701371</c:v>
                </c:pt>
                <c:pt idx="27">
                  <c:v>70.994645212806404</c:v>
                </c:pt>
                <c:pt idx="28">
                  <c:v>80.501058412224211</c:v>
                </c:pt>
                <c:pt idx="29">
                  <c:v>91.284103188037378</c:v>
                </c:pt>
                <c:pt idx="30">
                  <c:v>103.51568028225273</c:v>
                </c:pt>
                <c:pt idx="31">
                  <c:v>117.39089428541861</c:v>
                </c:pt>
                <c:pt idx="32">
                  <c:v>133.1311928572722</c:v>
                </c:pt>
                <c:pt idx="33">
                  <c:v>150.98793152255908</c:v>
                </c:pt>
                <c:pt idx="34">
                  <c:v>171.24642184374727</c:v>
                </c:pt>
                <c:pt idx="35">
                  <c:v>194.23052863625435</c:v>
                </c:pt>
                <c:pt idx="36">
                  <c:v>191.76011104412336</c:v>
                </c:pt>
                <c:pt idx="37">
                  <c:v>213.96841435895217</c:v>
                </c:pt>
                <c:pt idx="38">
                  <c:v>236.12362808635768</c:v>
                </c:pt>
                <c:pt idx="39">
                  <c:v>258.23143377259919</c:v>
                </c:pt>
                <c:pt idx="40">
                  <c:v>280.29645986683084</c:v>
                </c:pt>
                <c:pt idx="41">
                  <c:v>264.77349292047239</c:v>
                </c:pt>
                <c:pt idx="42">
                  <c:v>283.97008437611527</c:v>
                </c:pt>
                <c:pt idx="43">
                  <c:v>303.13762323931275</c:v>
                </c:pt>
                <c:pt idx="44">
                  <c:v>322.27820438106761</c:v>
                </c:pt>
                <c:pt idx="45">
                  <c:v>341.39365353317527</c:v>
                </c:pt>
                <c:pt idx="46">
                  <c:v>318.20790325308366</c:v>
                </c:pt>
                <c:pt idx="47">
                  <c:v>335.70221902604521</c:v>
                </c:pt>
                <c:pt idx="48">
                  <c:v>353.17646115055004</c:v>
                </c:pt>
                <c:pt idx="49">
                  <c:v>370.63176230848973</c:v>
                </c:pt>
                <c:pt idx="50">
                  <c:v>388.0691398068202</c:v>
                </c:pt>
                <c:pt idx="51">
                  <c:v>357.64353127694955</c:v>
                </c:pt>
                <c:pt idx="52">
                  <c:v>373.87725393504803</c:v>
                </c:pt>
                <c:pt idx="53">
                  <c:v>390.09562155502164</c:v>
                </c:pt>
                <c:pt idx="54">
                  <c:v>406.29936224395647</c:v>
                </c:pt>
                <c:pt idx="55">
                  <c:v>422.48914130810198</c:v>
                </c:pt>
                <c:pt idx="56">
                  <c:v>389.28505634766822</c:v>
                </c:pt>
                <c:pt idx="57">
                  <c:v>404.67962697044459</c:v>
                </c:pt>
                <c:pt idx="58">
                  <c:v>420.06153993571371</c:v>
                </c:pt>
                <c:pt idx="59">
                  <c:v>435.4313239064258</c:v>
                </c:pt>
                <c:pt idx="60">
                  <c:v>450.78946718843309</c:v>
                </c:pt>
                <c:pt idx="61">
                  <c:v>415.20542827129862</c:v>
                </c:pt>
                <c:pt idx="62">
                  <c:v>430.17457368980769</c:v>
                </c:pt>
                <c:pt idx="63">
                  <c:v>445.13252883817296</c:v>
                </c:pt>
                <c:pt idx="64">
                  <c:v>460.07972261531586</c:v>
                </c:pt>
                <c:pt idx="65">
                  <c:v>475.01655378575691</c:v>
                </c:pt>
                <c:pt idx="66">
                  <c:v>436.64422599689254</c:v>
                </c:pt>
                <c:pt idx="67">
                  <c:v>450.78946718843309</c:v>
                </c:pt>
                <c:pt idx="68">
                  <c:v>464.92521721380876</c:v>
                </c:pt>
                <c:pt idx="69">
                  <c:v>479.05180523598898</c:v>
                </c:pt>
                <c:pt idx="70">
                  <c:v>493.16953942583194</c:v>
                </c:pt>
                <c:pt idx="71">
                  <c:v>454.42526728096954</c:v>
                </c:pt>
                <c:pt idx="72">
                  <c:v>468.15494792329127</c:v>
                </c:pt>
                <c:pt idx="73">
                  <c:v>481.87605086617668</c:v>
                </c:pt>
                <c:pt idx="74">
                  <c:v>495.58885471345189</c:v>
                </c:pt>
                <c:pt idx="75">
                  <c:v>509.2936213972045</c:v>
                </c:pt>
                <c:pt idx="76">
                  <c:v>468.15494792329127</c:v>
                </c:pt>
                <c:pt idx="77">
                  <c:v>481.47260879367838</c:v>
                </c:pt>
                <c:pt idx="78">
                  <c:v>494.7824441592341</c:v>
                </c:pt>
                <c:pt idx="79">
                  <c:v>508.08469414781183</c:v>
                </c:pt>
                <c:pt idx="80">
                  <c:v>521.37958529087575</c:v>
                </c:pt>
                <c:pt idx="81">
                  <c:v>480.26223943969467</c:v>
                </c:pt>
                <c:pt idx="82">
                  <c:v>493.57277607855082</c:v>
                </c:pt>
                <c:pt idx="83">
                  <c:v>506.87570609003575</c:v>
                </c:pt>
                <c:pt idx="84">
                  <c:v>520.17125719416072</c:v>
                </c:pt>
                <c:pt idx="85">
                  <c:v>533.45964452335932</c:v>
                </c:pt>
                <c:pt idx="86">
                  <c:v>493.16953942583194</c:v>
                </c:pt>
                <c:pt idx="87">
                  <c:v>505.26362713560314</c:v>
                </c:pt>
                <c:pt idx="88">
                  <c:v>517.3515944862055</c:v>
                </c:pt>
                <c:pt idx="89">
                  <c:v>529.4336046151526</c:v>
                </c:pt>
                <c:pt idx="90">
                  <c:v>541.50981260805463</c:v>
                </c:pt>
                <c:pt idx="91">
                  <c:v>501.23295290548816</c:v>
                </c:pt>
                <c:pt idx="92">
                  <c:v>513.32294183422596</c:v>
                </c:pt>
                <c:pt idx="93">
                  <c:v>525.40692008667054</c:v>
                </c:pt>
                <c:pt idx="94">
                  <c:v>537.48504536608027</c:v>
                </c:pt>
                <c:pt idx="95">
                  <c:v>549.55746771122097</c:v>
                </c:pt>
                <c:pt idx="96">
                  <c:v>509.29362139720428</c:v>
                </c:pt>
                <c:pt idx="97">
                  <c:v>521.37958529087575</c:v>
                </c:pt>
                <c:pt idx="98">
                  <c:v>533.45964452335932</c:v>
                </c:pt>
                <c:pt idx="99">
                  <c:v>545.53395162610911</c:v>
                </c:pt>
                <c:pt idx="100">
                  <c:v>557.60265182924775</c:v>
                </c:pt>
                <c:pt idx="101">
                  <c:v>518.15724540668009</c:v>
                </c:pt>
                <c:pt idx="102">
                  <c:v>529.03096526266233</c:v>
                </c:pt>
                <c:pt idx="103">
                  <c:v>539.89998139729244</c:v>
                </c:pt>
                <c:pt idx="104">
                  <c:v>550.76440184545675</c:v>
                </c:pt>
                <c:pt idx="105">
                  <c:v>561.62433003260378</c:v>
                </c:pt>
                <c:pt idx="106">
                  <c:v>522.58785434745266</c:v>
                </c:pt>
                <c:pt idx="107">
                  <c:v>533.86221327471151</c:v>
                </c:pt>
                <c:pt idx="108">
                  <c:v>545.13156584292358</c:v>
                </c:pt>
                <c:pt idx="109">
                  <c:v>556.39603012297312</c:v>
                </c:pt>
                <c:pt idx="110">
                  <c:v>567.65571901573026</c:v>
                </c:pt>
                <c:pt idx="111">
                  <c:v>529.83623752151573</c:v>
                </c:pt>
                <c:pt idx="112">
                  <c:v>540.30244864194128</c:v>
                </c:pt>
                <c:pt idx="113">
                  <c:v>550.76440184545675</c:v>
                </c:pt>
                <c:pt idx="114">
                  <c:v>561.22218941009498</c:v>
                </c:pt>
                <c:pt idx="115">
                  <c:v>571.67589989466626</c:v>
                </c:pt>
                <c:pt idx="116">
                  <c:v>535.06988124028692</c:v>
                </c:pt>
                <c:pt idx="117">
                  <c:v>544.72917382522485</c:v>
                </c:pt>
                <c:pt idx="118">
                  <c:v>554.38487206772731</c:v>
                </c:pt>
                <c:pt idx="119">
                  <c:v>564.03704739751993</c:v>
                </c:pt>
                <c:pt idx="120">
                  <c:v>573.68576860024848</c:v>
                </c:pt>
                <c:pt idx="121">
                  <c:v>537.48504536608027</c:v>
                </c:pt>
                <c:pt idx="122">
                  <c:v>547.54578720789482</c:v>
                </c:pt>
                <c:pt idx="123">
                  <c:v>557.60265182924775</c:v>
                </c:pt>
                <c:pt idx="124">
                  <c:v>567.65571901573026</c:v>
                </c:pt>
                <c:pt idx="125">
                  <c:v>577.70506549663105</c:v>
                </c:pt>
                <c:pt idx="126">
                  <c:v>542.71712003460141</c:v>
                </c:pt>
                <c:pt idx="127">
                  <c:v>551.97128052407265</c:v>
                </c:pt>
                <c:pt idx="128">
                  <c:v>561.22218941009544</c:v>
                </c:pt>
                <c:pt idx="129">
                  <c:v>570.46990784967477</c:v>
                </c:pt>
                <c:pt idx="130">
                  <c:v>579.71449485526762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9.1345733897721697</c:v>
                </c:pt>
                <c:pt idx="2">
                  <c:v>17.868166431040844</c:v>
                </c:pt>
                <c:pt idx="3">
                  <c:v>26.472262947697264</c:v>
                </c:pt>
                <c:pt idx="4">
                  <c:v>34.996534793530941</c:v>
                </c:pt>
                <c:pt idx="5">
                  <c:v>43.4634948810303</c:v>
                </c:pt>
                <c:pt idx="6">
                  <c:v>51.885985515419122</c:v>
                </c:pt>
                <c:pt idx="7">
                  <c:v>60.272285634320177</c:v>
                </c:pt>
                <c:pt idx="8">
                  <c:v>68.62816184463999</c:v>
                </c:pt>
                <c:pt idx="9">
                  <c:v>76.957852675812049</c:v>
                </c:pt>
                <c:pt idx="10">
                  <c:v>85.264599505421899</c:v>
                </c:pt>
                <c:pt idx="11">
                  <c:v>93.550957921566507</c:v>
                </c:pt>
                <c:pt idx="12">
                  <c:v>101.81899220902953</c:v>
                </c:pt>
                <c:pt idx="13">
                  <c:v>110.07040298609256</c:v>
                </c:pt>
                <c:pt idx="14">
                  <c:v>118.30661437498453</c:v>
                </c:pt>
                <c:pt idx="15">
                  <c:v>126.52883552368996</c:v>
                </c:pt>
                <c:pt idx="16">
                  <c:v>134.73810523951758</c:v>
                </c:pt>
                <c:pt idx="17">
                  <c:v>142.9353251396652</c:v>
                </c:pt>
                <c:pt idx="18">
                  <c:v>151.12128477659996</c:v>
                </c:pt>
                <c:pt idx="19">
                  <c:v>159.2966810199494</c:v>
                </c:pt>
                <c:pt idx="20">
                  <c:v>167.46213324158907</c:v>
                </c:pt>
                <c:pt idx="21">
                  <c:v>175.61819537740678</c:v>
                </c:pt>
                <c:pt idx="22">
                  <c:v>183.76536562649167</c:v>
                </c:pt>
                <c:pt idx="23">
                  <c:v>191.90409433698508</c:v>
                </c:pt>
                <c:pt idx="24">
                  <c:v>200.03479048178065</c:v>
                </c:pt>
                <c:pt idx="25">
                  <c:v>208.15782702452887</c:v>
                </c:pt>
                <c:pt idx="26">
                  <c:v>216.2735454029137</c:v>
                </c:pt>
                <c:pt idx="27">
                  <c:v>224.38225930279336</c:v>
                </c:pt>
                <c:pt idx="28">
                  <c:v>232.48425785749177</c:v>
                </c:pt>
                <c:pt idx="29">
                  <c:v>240.57980837720436</c:v>
                </c:pt>
                <c:pt idx="30">
                  <c:v>248.66915869135769</c:v>
                </c:pt>
                <c:pt idx="31">
                  <c:v>256.75253916988112</c:v>
                </c:pt>
                <c:pt idx="32">
                  <c:v>264.8301644763423</c:v>
                </c:pt>
                <c:pt idx="33">
                  <c:v>272.9022350957855</c:v>
                </c:pt>
                <c:pt idx="34">
                  <c:v>280.96893867217358</c:v>
                </c:pt>
                <c:pt idx="35">
                  <c:v>289.0304511840622</c:v>
                </c:pt>
                <c:pt idx="36">
                  <c:v>297.08693798213511</c:v>
                </c:pt>
                <c:pt idx="37">
                  <c:v>305.13855470821676</c:v>
                </c:pt>
                <c:pt idx="38">
                  <c:v>313.18544811213798</c:v>
                </c:pt>
                <c:pt idx="39">
                  <c:v>321.22775678019707</c:v>
                </c:pt>
                <c:pt idx="40">
                  <c:v>329.26561178680475</c:v>
                </c:pt>
                <c:pt idx="41">
                  <c:v>337.29913727913015</c:v>
                </c:pt>
                <c:pt idx="42">
                  <c:v>345.32845100310215</c:v>
                </c:pt>
                <c:pt idx="43">
                  <c:v>275.28003133804344</c:v>
                </c:pt>
                <c:pt idx="44">
                  <c:v>294.71506550762314</c:v>
                </c:pt>
                <c:pt idx="45">
                  <c:v>314.12151218525787</c:v>
                </c:pt>
                <c:pt idx="46">
                  <c:v>333.50138533341101</c:v>
                </c:pt>
                <c:pt idx="47">
                  <c:v>352.85644576964478</c:v>
                </c:pt>
                <c:pt idx="48">
                  <c:v>372.18824541529494</c:v>
                </c:pt>
                <c:pt idx="49">
                  <c:v>391.49816186611287</c:v>
                </c:pt>
                <c:pt idx="50">
                  <c:v>410.78742578412863</c:v>
                </c:pt>
                <c:pt idx="51">
                  <c:v>357.16467817261235</c:v>
                </c:pt>
                <c:pt idx="52">
                  <c:v>376.86765017059088</c:v>
                </c:pt>
                <c:pt idx="53">
                  <c:v>396.54820076087543</c:v>
                </c:pt>
                <c:pt idx="54">
                  <c:v>416.20759865976305</c:v>
                </c:pt>
                <c:pt idx="55">
                  <c:v>435.84698300589872</c:v>
                </c:pt>
                <c:pt idx="56">
                  <c:v>455.46738195661436</c:v>
                </c:pt>
                <c:pt idx="57">
                  <c:v>475.06972791319322</c:v>
                </c:pt>
                <c:pt idx="58">
                  <c:v>494.6548701027786</c:v>
                </c:pt>
                <c:pt idx="59">
                  <c:v>421.42577622956969</c:v>
                </c:pt>
                <c:pt idx="60">
                  <c:v>440.44120348739995</c:v>
                </c:pt>
                <c:pt idx="61">
                  <c:v>459.43903650115499</c:v>
                </c:pt>
                <c:pt idx="62">
                  <c:v>478.42010474182621</c:v>
                </c:pt>
                <c:pt idx="63">
                  <c:v>497.38516653309392</c:v>
                </c:pt>
                <c:pt idx="64">
                  <c:v>516.33491768947522</c:v>
                </c:pt>
                <c:pt idx="65">
                  <c:v>535.26999882081486</c:v>
                </c:pt>
                <c:pt idx="66">
                  <c:v>554.19100154984289</c:v>
                </c:pt>
                <c:pt idx="67">
                  <c:v>470.14706756965666</c:v>
                </c:pt>
                <c:pt idx="68">
                  <c:v>488.32734241285874</c:v>
                </c:pt>
                <c:pt idx="69">
                  <c:v>506.49326009097769</c:v>
                </c:pt>
                <c:pt idx="70">
                  <c:v>524.64540770819303</c:v>
                </c:pt>
                <c:pt idx="71">
                  <c:v>542.78432845485679</c:v>
                </c:pt>
                <c:pt idx="72">
                  <c:v>560.91052627987881</c:v>
                </c:pt>
                <c:pt idx="73">
                  <c:v>579.02446992802072</c:v>
                </c:pt>
                <c:pt idx="74">
                  <c:v>597.12659644598352</c:v>
                </c:pt>
                <c:pt idx="75">
                  <c:v>517.97676869167117</c:v>
                </c:pt>
                <c:pt idx="76">
                  <c:v>535.73334829581881</c:v>
                </c:pt>
                <c:pt idx="77">
                  <c:v>553.47755899013487</c:v>
                </c:pt>
                <c:pt idx="78">
                  <c:v>571.20985288289546</c:v>
                </c:pt>
                <c:pt idx="79">
                  <c:v>588.93065174286789</c:v>
                </c:pt>
                <c:pt idx="80">
                  <c:v>606.64034990559333</c:v>
                </c:pt>
                <c:pt idx="81">
                  <c:v>624.33931682285095</c:v>
                </c:pt>
                <c:pt idx="82">
                  <c:v>642.02789930818994</c:v>
                </c:pt>
                <c:pt idx="83">
                  <c:v>659.70642352229788</c:v>
                </c:pt>
                <c:pt idx="84">
                  <c:v>677.37519673465192</c:v>
                </c:pt>
                <c:pt idx="85">
                  <c:v>568.92780793833413</c:v>
                </c:pt>
                <c:pt idx="86">
                  <c:v>585.86192170082245</c:v>
                </c:pt>
                <c:pt idx="87">
                  <c:v>602.78583992874633</c:v>
                </c:pt>
                <c:pt idx="88">
                  <c:v>619.69988898865984</c:v>
                </c:pt>
                <c:pt idx="89">
                  <c:v>636.60437599161821</c:v>
                </c:pt>
                <c:pt idx="90">
                  <c:v>653.4995904208547</c:v>
                </c:pt>
                <c:pt idx="91">
                  <c:v>670.38580558250044</c:v>
                </c:pt>
                <c:pt idx="92">
                  <c:v>687.26327990264235</c:v>
                </c:pt>
                <c:pt idx="93">
                  <c:v>704.13225809045025</c:v>
                </c:pt>
                <c:pt idx="94">
                  <c:v>720.9929721841354</c:v>
                </c:pt>
                <c:pt idx="95">
                  <c:v>611.42462215563842</c:v>
                </c:pt>
                <c:pt idx="96">
                  <c:v>627.83625949627674</c:v>
                </c:pt>
                <c:pt idx="97">
                  <c:v>644.23902260642501</c:v>
                </c:pt>
                <c:pt idx="98">
                  <c:v>660.63316909069977</c:v>
                </c:pt>
                <c:pt idx="99">
                  <c:v>677.01894273555968</c:v>
                </c:pt>
                <c:pt idx="100">
                  <c:v>693.39657457387193</c:v>
                </c:pt>
                <c:pt idx="101">
                  <c:v>709.76628384375397</c:v>
                </c:pt>
                <c:pt idx="102">
                  <c:v>726.12827885442675</c:v>
                </c:pt>
                <c:pt idx="103">
                  <c:v>742.48275777003767</c:v>
                </c:pt>
                <c:pt idx="104">
                  <c:v>758.8299093208924</c:v>
                </c:pt>
                <c:pt idx="105">
                  <c:v>652.54004075686078</c:v>
                </c:pt>
                <c:pt idx="106">
                  <c:v>668.70185771457261</c:v>
                </c:pt>
                <c:pt idx="107">
                  <c:v>684.85564540449479</c:v>
                </c:pt>
                <c:pt idx="108">
                  <c:v>701.00161974495734</c:v>
                </c:pt>
                <c:pt idx="109">
                  <c:v>717.13998590495532</c:v>
                </c:pt>
                <c:pt idx="110">
                  <c:v>733.2709390741071</c:v>
                </c:pt>
                <c:pt idx="111">
                  <c:v>749.39466516139635</c:v>
                </c:pt>
                <c:pt idx="112">
                  <c:v>765.51134143070556</c:v>
                </c:pt>
                <c:pt idx="113">
                  <c:v>781.62113708009417</c:v>
                </c:pt>
                <c:pt idx="114">
                  <c:v>797.72421377088347</c:v>
                </c:pt>
                <c:pt idx="115">
                  <c:v>700.04955608788043</c:v>
                </c:pt>
                <c:pt idx="116">
                  <c:v>716.30426933159345</c:v>
                </c:pt>
                <c:pt idx="117">
                  <c:v>732.55145267138971</c:v>
                </c:pt>
                <c:pt idx="118">
                  <c:v>748.79129649432252</c:v>
                </c:pt>
                <c:pt idx="119">
                  <c:v>765.02398226321839</c:v>
                </c:pt>
                <c:pt idx="120">
                  <c:v>781.24968311934356</c:v>
                </c:pt>
                <c:pt idx="121">
                  <c:v>797.46856443244951</c:v>
                </c:pt>
                <c:pt idx="122">
                  <c:v>813.68078430378785</c:v>
                </c:pt>
                <c:pt idx="123">
                  <c:v>829.8864940269923</c:v>
                </c:pt>
                <c:pt idx="124">
                  <c:v>846.08583851112826</c:v>
                </c:pt>
                <c:pt idx="125">
                  <c:v>755.88482662893102</c:v>
                </c:pt>
                <c:pt idx="126">
                  <c:v>772.27280239944514</c:v>
                </c:pt>
                <c:pt idx="127">
                  <c:v>788.65373250384312</c:v>
                </c:pt>
                <c:pt idx="128">
                  <c:v>805.02778376166316</c:v>
                </c:pt>
                <c:pt idx="129">
                  <c:v>821.39511565972941</c:v>
                </c:pt>
                <c:pt idx="130">
                  <c:v>837.75588081713613</c:v>
                </c:pt>
                <c:pt idx="131">
                  <c:v>854.11022541205978</c:v>
                </c:pt>
                <c:pt idx="132">
                  <c:v>870.45828957421656</c:v>
                </c:pt>
                <c:pt idx="133">
                  <c:v>886.80020774633806</c:v>
                </c:pt>
                <c:pt idx="134">
                  <c:v>903.13610901764775</c:v>
                </c:pt>
                <c:pt idx="135">
                  <c:v>808.33220895313741</c:v>
                </c:pt>
                <c:pt idx="136">
                  <c:v>824.87865887987221</c:v>
                </c:pt>
                <c:pt idx="137">
                  <c:v>841.41842875981195</c:v>
                </c:pt>
                <c:pt idx="138">
                  <c:v>857.95166826350953</c:v>
                </c:pt>
                <c:pt idx="139">
                  <c:v>874.47852082893996</c:v>
                </c:pt>
                <c:pt idx="140">
                  <c:v>890.99912403631481</c:v>
                </c:pt>
                <c:pt idx="141">
                  <c:v>907.51360995368759</c:v>
                </c:pt>
                <c:pt idx="142">
                  <c:v>924.02210545612218</c:v>
                </c:pt>
                <c:pt idx="143">
                  <c:v>940.52473252089715</c:v>
                </c:pt>
                <c:pt idx="144">
                  <c:v>957.02160850093696</c:v>
                </c:pt>
                <c:pt idx="145">
                  <c:v>860.52256778285062</c:v>
                </c:pt>
                <c:pt idx="146">
                  <c:v>877.38460364696311</c:v>
                </c:pt>
                <c:pt idx="147">
                  <c:v>894.24015784139544</c:v>
                </c:pt>
                <c:pt idx="148">
                  <c:v>911.08936961083464</c:v>
                </c:pt>
                <c:pt idx="149">
                  <c:v>927.93237263586946</c:v>
                </c:pt>
                <c:pt idx="150">
                  <c:v>944.76929535432998</c:v>
                </c:pt>
                <c:pt idx="151">
                  <c:v>961.6002612585612</c:v>
                </c:pt>
                <c:pt idx="152">
                  <c:v>978.42538917082777</c:v>
                </c:pt>
                <c:pt idx="153">
                  <c:v>995.24479349881619</c:v>
                </c:pt>
                <c:pt idx="154">
                  <c:v>1012.0585844729879</c:v>
                </c:pt>
                <c:pt idx="155">
                  <c:v>917.69175016011229</c:v>
                </c:pt>
                <c:pt idx="156">
                  <c:v>934.77101299445985</c:v>
                </c:pt>
                <c:pt idx="157">
                  <c:v>951.84407410442907</c:v>
                </c:pt>
                <c:pt idx="158">
                  <c:v>968.91106026278305</c:v>
                </c:pt>
                <c:pt idx="159">
                  <c:v>985.97209341770815</c:v>
                </c:pt>
                <c:pt idx="160">
                  <c:v>1003.0272909584129</c:v>
                </c:pt>
                <c:pt idx="161">
                  <c:v>1020.0767659617509</c:v>
                </c:pt>
                <c:pt idx="162">
                  <c:v>1037.1206274215183</c:v>
                </c:pt>
                <c:pt idx="163">
                  <c:v>1054.1589804619205</c:v>
                </c:pt>
                <c:pt idx="164">
                  <c:v>1071.1919265365345</c:v>
                </c:pt>
                <c:pt idx="165">
                  <c:v>968.15112777582817</c:v>
                </c:pt>
                <c:pt idx="166">
                  <c:v>985.42052572739613</c:v>
                </c:pt>
                <c:pt idx="167">
                  <c:v>1002.6839409861069</c:v>
                </c:pt>
                <c:pt idx="168">
                  <c:v>1019.9414909328767</c:v>
                </c:pt>
                <c:pt idx="169">
                  <c:v>1037.1932886578995</c:v>
                </c:pt>
                <c:pt idx="170">
                  <c:v>1054.4394431876869</c:v>
                </c:pt>
                <c:pt idx="171">
                  <c:v>1071.6800596965038</c:v>
                </c:pt>
                <c:pt idx="172">
                  <c:v>1088.9152397035102</c:v>
                </c:pt>
                <c:pt idx="173">
                  <c:v>1106.1450812567903</c:v>
                </c:pt>
                <c:pt idx="174">
                  <c:v>1123.369679105341</c:v>
                </c:pt>
                <c:pt idx="175">
                  <c:v>699.59114561774857</c:v>
                </c:pt>
                <c:pt idx="176">
                  <c:v>710.54792404908528</c:v>
                </c:pt>
                <c:pt idx="177">
                  <c:v>721.50125029262847</c:v>
                </c:pt>
                <c:pt idx="178">
                  <c:v>493.09065406114672</c:v>
                </c:pt>
                <c:pt idx="179">
                  <c:v>499.76345864506885</c:v>
                </c:pt>
                <c:pt idx="180">
                  <c:v>506.43437723439791</c:v>
                </c:pt>
                <c:pt idx="181">
                  <c:v>350.68297454801086</c:v>
                </c:pt>
                <c:pt idx="182">
                  <c:v>354.71488774261428</c:v>
                </c:pt>
                <c:pt idx="183">
                  <c:v>358.7457969798034</c:v>
                </c:pt>
                <c:pt idx="184">
                  <c:v>1.1032467653906121E-11</c:v>
                </c:pt>
                <c:pt idx="185">
                  <c:v>1.1032467653906121E-11</c:v>
                </c:pt>
                <c:pt idx="186">
                  <c:v>1.1032467653906121E-11</c:v>
                </c:pt>
                <c:pt idx="187">
                  <c:v>1.1032467653906121E-11</c:v>
                </c:pt>
                <c:pt idx="188">
                  <c:v>1.1032467653906121E-11</c:v>
                </c:pt>
                <c:pt idx="189">
                  <c:v>1.1032467653906121E-11</c:v>
                </c:pt>
                <c:pt idx="190">
                  <c:v>1.1032467653906121E-11</c:v>
                </c:pt>
                <c:pt idx="191">
                  <c:v>1.1032467653906121E-11</c:v>
                </c:pt>
                <c:pt idx="192">
                  <c:v>1.1032467653906121E-11</c:v>
                </c:pt>
                <c:pt idx="193">
                  <c:v>1.1032467653906121E-11</c:v>
                </c:pt>
                <c:pt idx="194">
                  <c:v>1.1032467653906121E-11</c:v>
                </c:pt>
                <c:pt idx="195">
                  <c:v>1.1032467653906121E-11</c:v>
                </c:pt>
                <c:pt idx="196">
                  <c:v>1.1032467653906121E-11</c:v>
                </c:pt>
                <c:pt idx="197">
                  <c:v>1.1032467653906121E-11</c:v>
                </c:pt>
                <c:pt idx="198">
                  <c:v>1.1032467653906121E-11</c:v>
                </c:pt>
                <c:pt idx="199">
                  <c:v>1.1032467653906121E-11</c:v>
                </c:pt>
                <c:pt idx="200">
                  <c:v>1.1032467653906121E-11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13" zoomScale="80" zoomScaleNormal="80" workbookViewId="0">
      <selection activeCell="N147" sqref="N147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10.199999999999999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35</v>
      </c>
      <c r="C9" s="32">
        <v>0.22550600000000001</v>
      </c>
      <c r="D9" s="33">
        <f t="shared" ref="D9:D18" si="0">C9*$C$5</f>
        <v>2.3001611999999998</v>
      </c>
      <c r="E9" s="34">
        <v>76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164</v>
      </c>
      <c r="C10" s="32">
        <v>0.25491999999999998</v>
      </c>
      <c r="D10" s="33">
        <f t="shared" si="0"/>
        <v>2.6001839999999996</v>
      </c>
      <c r="E10" s="34">
        <v>105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14</v>
      </c>
      <c r="C11" s="32">
        <v>0.20785799999999999</v>
      </c>
      <c r="D11" s="33">
        <f t="shared" si="0"/>
        <v>2.1201515999999998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12</v>
      </c>
      <c r="C12" s="32">
        <v>0.155893</v>
      </c>
      <c r="D12" s="33">
        <f t="shared" si="0"/>
        <v>1.5901086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6</v>
      </c>
      <c r="C13" s="32">
        <v>0.129911</v>
      </c>
      <c r="D13" s="33">
        <f t="shared" si="0"/>
        <v>1.3250921999999998</v>
      </c>
      <c r="E13" s="34">
        <v>130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1</v>
      </c>
      <c r="C14" s="32">
        <v>0</v>
      </c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G14" s="23" t="s">
        <v>324</v>
      </c>
      <c r="H14" s="23" t="s">
        <v>326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1</v>
      </c>
      <c r="C15" s="32">
        <v>0</v>
      </c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G15" s="23" t="s">
        <v>325</v>
      </c>
      <c r="H15" s="23" t="s">
        <v>326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1</v>
      </c>
      <c r="C16" s="32">
        <v>1.0364999999999999E-2</v>
      </c>
      <c r="D16" s="33">
        <f t="shared" si="0"/>
        <v>0.10572299999999998</v>
      </c>
      <c r="E16" s="34">
        <v>183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0.98445299999999991</v>
      </c>
      <c r="D19" s="38">
        <f>SUM(D9:D18)</f>
        <v>10.041420599999999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laricio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19</v>
      </c>
      <c r="B36" s="60">
        <v>127.82</v>
      </c>
      <c r="C36" s="60">
        <v>1</v>
      </c>
      <c r="D36" s="60">
        <v>46.3</v>
      </c>
      <c r="E36" s="51">
        <v>0.3</v>
      </c>
      <c r="F36" s="51">
        <v>0.39</v>
      </c>
      <c r="G36" s="51">
        <v>0.31</v>
      </c>
      <c r="H36" s="51"/>
      <c r="I36" s="49">
        <f>IFERROR(B36/A36,"")</f>
        <v>6.7273684210526312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24</v>
      </c>
      <c r="B37" s="60">
        <v>179.92</v>
      </c>
      <c r="C37" s="60">
        <v>2</v>
      </c>
      <c r="D37" s="60">
        <v>44.84</v>
      </c>
      <c r="E37" s="51">
        <v>0.4</v>
      </c>
      <c r="F37" s="51">
        <v>0.34</v>
      </c>
      <c r="G37" s="51">
        <v>0.26</v>
      </c>
      <c r="H37" s="51"/>
      <c r="I37" s="53">
        <f t="shared" ref="I37:I55" si="1">IF(A37&lt;&gt;0,(B37-(B36-D36))/(A37-A36),"")</f>
        <v>19.68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260.10000000000002</v>
      </c>
      <c r="C38" s="60">
        <v>3</v>
      </c>
      <c r="D38" s="60">
        <v>66.989999999999995</v>
      </c>
      <c r="E38" s="51">
        <v>0.5</v>
      </c>
      <c r="F38" s="51">
        <v>0.28000000000000003</v>
      </c>
      <c r="G38" s="51">
        <v>0.22</v>
      </c>
      <c r="H38" s="51"/>
      <c r="I38" s="53">
        <f t="shared" si="1"/>
        <v>20.836666666666673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37</v>
      </c>
      <c r="B39" s="60">
        <v>337.12</v>
      </c>
      <c r="C39" s="60">
        <v>4</v>
      </c>
      <c r="D39" s="60">
        <v>54.63</v>
      </c>
      <c r="E39" s="51">
        <v>0.6</v>
      </c>
      <c r="F39" s="51">
        <v>0.22</v>
      </c>
      <c r="G39" s="51">
        <v>0.18</v>
      </c>
      <c r="H39" s="51"/>
      <c r="I39" s="49">
        <f t="shared" si="1"/>
        <v>20.572857142857142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46</v>
      </c>
      <c r="B40" s="60">
        <v>466.26</v>
      </c>
      <c r="C40" s="60">
        <v>5</v>
      </c>
      <c r="D40" s="60">
        <v>93.13</v>
      </c>
      <c r="E40" s="51">
        <v>0.7</v>
      </c>
      <c r="F40" s="51">
        <v>0.17</v>
      </c>
      <c r="G40" s="51">
        <v>0.13</v>
      </c>
      <c r="H40" s="51"/>
      <c r="I40" s="49">
        <f t="shared" si="1"/>
        <v>20.418888888888887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56</v>
      </c>
      <c r="B41" s="60">
        <v>551.70000000000005</v>
      </c>
      <c r="C41" s="60">
        <v>6</v>
      </c>
      <c r="D41" s="60">
        <v>77.37</v>
      </c>
      <c r="E41" s="51">
        <v>0.8</v>
      </c>
      <c r="F41" s="51">
        <v>0.11</v>
      </c>
      <c r="G41" s="51">
        <v>0.09</v>
      </c>
      <c r="H41" s="51"/>
      <c r="I41" s="53">
        <f t="shared" si="1"/>
        <v>17.857000000000006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66</v>
      </c>
      <c r="B42" s="60">
        <v>630.36</v>
      </c>
      <c r="C42" s="60">
        <v>7</v>
      </c>
      <c r="D42" s="60">
        <v>87.84</v>
      </c>
      <c r="E42" s="51">
        <v>0.8</v>
      </c>
      <c r="F42" s="51">
        <v>0.11</v>
      </c>
      <c r="G42" s="51">
        <v>0.09</v>
      </c>
      <c r="H42" s="51"/>
      <c r="I42" s="53">
        <f t="shared" si="1"/>
        <v>15.602999999999998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76</v>
      </c>
      <c r="B43" s="60">
        <v>671.57</v>
      </c>
      <c r="C43" s="60">
        <v>8</v>
      </c>
      <c r="D43" s="60">
        <v>671.57</v>
      </c>
      <c r="E43" s="51">
        <v>0.8</v>
      </c>
      <c r="F43" s="51">
        <v>0.11</v>
      </c>
      <c r="G43" s="51">
        <v>0.09</v>
      </c>
      <c r="H43" s="51"/>
      <c r="I43" s="49">
        <f t="shared" si="1"/>
        <v>12.905000000000006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Cèdre de l'Atlas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42</v>
      </c>
      <c r="B62" s="60">
        <v>416.76</v>
      </c>
      <c r="C62" s="60">
        <v>1</v>
      </c>
      <c r="D62" s="60">
        <v>182.39</v>
      </c>
      <c r="E62" s="51">
        <v>0.4</v>
      </c>
      <c r="F62" s="51">
        <v>0.34</v>
      </c>
      <c r="G62" s="51">
        <v>0.26</v>
      </c>
      <c r="H62" s="51"/>
      <c r="I62" s="53">
        <f>IFERROR(B62/A62,"")</f>
        <v>9.9228571428571435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49</v>
      </c>
      <c r="B63" s="60">
        <v>361.26</v>
      </c>
      <c r="C63" s="60">
        <v>2</v>
      </c>
      <c r="D63" s="60">
        <v>100.16</v>
      </c>
      <c r="E63" s="51">
        <v>0.5</v>
      </c>
      <c r="F63" s="51">
        <v>0.28000000000000003</v>
      </c>
      <c r="G63" s="51">
        <v>0.22</v>
      </c>
      <c r="H63" s="51"/>
      <c r="I63" s="49">
        <f>IF(A63&lt;&gt;0,(B63-(B62-D62))/(A63-A62),"")</f>
        <v>18.127142857142854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56</v>
      </c>
      <c r="B64" s="60">
        <v>379.71</v>
      </c>
      <c r="C64" s="60">
        <v>3</v>
      </c>
      <c r="D64" s="60">
        <v>79.39</v>
      </c>
      <c r="E64" s="51">
        <v>0.6</v>
      </c>
      <c r="F64" s="51">
        <v>0.22</v>
      </c>
      <c r="G64" s="51">
        <v>0.18</v>
      </c>
      <c r="H64" s="51"/>
      <c r="I64" s="49">
        <f>IF(A64&lt;&gt;0,(B64-(B63-D63))/(A64-A63),"")</f>
        <v>16.944285714285709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63</v>
      </c>
      <c r="B65" s="60">
        <v>416.49</v>
      </c>
      <c r="C65" s="60">
        <v>4</v>
      </c>
      <c r="D65" s="60">
        <v>79.099999999999994</v>
      </c>
      <c r="E65" s="51">
        <v>0.7</v>
      </c>
      <c r="F65" s="51">
        <v>0.17</v>
      </c>
      <c r="G65" s="51">
        <v>0.13</v>
      </c>
      <c r="H65" s="51"/>
      <c r="I65" s="49">
        <f>IF(A65&lt;&gt;0,(B65-(B64-D64))/(A65-A64),"")</f>
        <v>16.595714285714287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71</v>
      </c>
      <c r="B66" s="60">
        <v>465.79</v>
      </c>
      <c r="C66" s="60">
        <v>5</v>
      </c>
      <c r="D66" s="60">
        <v>90.8</v>
      </c>
      <c r="E66" s="51">
        <v>0.8</v>
      </c>
      <c r="F66" s="51">
        <v>0.11</v>
      </c>
      <c r="G66" s="51">
        <v>0.09</v>
      </c>
      <c r="H66" s="51"/>
      <c r="I66" s="49">
        <f t="shared" ref="I66:I81" si="2">IF(A66&lt;&gt;0,(B66-(B65-D65))/(A66-A65),"")</f>
        <v>16.050000000000004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79</v>
      </c>
      <c r="B67" s="60">
        <v>495.91</v>
      </c>
      <c r="C67" s="60">
        <v>6</v>
      </c>
      <c r="D67" s="60">
        <v>87.99</v>
      </c>
      <c r="E67" s="51">
        <v>0.8</v>
      </c>
      <c r="F67" s="51">
        <v>0.11</v>
      </c>
      <c r="G67" s="51">
        <v>0.09</v>
      </c>
      <c r="H67" s="51"/>
      <c r="I67" s="49">
        <f t="shared" si="2"/>
        <v>15.115000000000002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87</v>
      </c>
      <c r="B68" s="60">
        <v>521.62</v>
      </c>
      <c r="C68" s="60">
        <v>7</v>
      </c>
      <c r="D68" s="60">
        <v>88.62</v>
      </c>
      <c r="E68" s="51">
        <v>0.8</v>
      </c>
      <c r="F68" s="51">
        <v>0.11</v>
      </c>
      <c r="G68" s="51">
        <v>0.09</v>
      </c>
      <c r="H68" s="51"/>
      <c r="I68" s="49">
        <f t="shared" si="2"/>
        <v>14.212499999999999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95</v>
      </c>
      <c r="B69" s="50">
        <v>538.28</v>
      </c>
      <c r="C69" s="50">
        <v>8</v>
      </c>
      <c r="D69" s="50">
        <v>268.81</v>
      </c>
      <c r="E69" s="51">
        <v>0.8</v>
      </c>
      <c r="F69" s="51">
        <v>0.11</v>
      </c>
      <c r="G69" s="51">
        <v>0.09</v>
      </c>
      <c r="H69" s="51"/>
      <c r="I69" s="49">
        <f t="shared" si="2"/>
        <v>13.159999999999997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105</v>
      </c>
      <c r="B70" s="50">
        <v>356.68</v>
      </c>
      <c r="C70" s="50">
        <v>9</v>
      </c>
      <c r="D70" s="50">
        <v>356.68</v>
      </c>
      <c r="E70" s="51">
        <v>0.8</v>
      </c>
      <c r="F70" s="51">
        <v>0.11</v>
      </c>
      <c r="G70" s="51">
        <v>0.09</v>
      </c>
      <c r="H70" s="51"/>
      <c r="I70" s="49">
        <f t="shared" si="2"/>
        <v>8.7210000000000036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Chêne sessile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42</v>
      </c>
      <c r="B88" s="60">
        <v>163.26</v>
      </c>
      <c r="C88" s="60">
        <v>1</v>
      </c>
      <c r="D88" s="60">
        <v>43.21</v>
      </c>
      <c r="E88" s="51">
        <v>0.2</v>
      </c>
      <c r="F88" s="51"/>
      <c r="G88" s="51"/>
      <c r="H88" s="87">
        <v>0.8</v>
      </c>
      <c r="I88" s="53">
        <f>IFERROR(B88/A88,"")</f>
        <v>3.887142857142857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50</v>
      </c>
      <c r="B89" s="60">
        <v>195.02</v>
      </c>
      <c r="C89" s="60">
        <v>2</v>
      </c>
      <c r="D89" s="60">
        <v>35.58</v>
      </c>
      <c r="E89" s="51">
        <v>0.2</v>
      </c>
      <c r="F89" s="51"/>
      <c r="G89" s="51"/>
      <c r="H89" s="87">
        <v>0.8</v>
      </c>
      <c r="I89" s="53">
        <f t="shared" ref="I89:I107" si="3">IF(A89&lt;&gt;0,(B89-(B88-D88))/(A89-A88),"")</f>
        <v>9.3712500000000034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58</v>
      </c>
      <c r="B90" s="60">
        <v>235.87</v>
      </c>
      <c r="C90" s="60">
        <v>3</v>
      </c>
      <c r="D90" s="60">
        <v>44.93</v>
      </c>
      <c r="E90" s="87">
        <v>0.2</v>
      </c>
      <c r="F90" s="87"/>
      <c r="G90" s="87"/>
      <c r="H90" s="87">
        <v>0.8</v>
      </c>
      <c r="I90" s="53">
        <f t="shared" si="3"/>
        <v>9.5537500000000009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66</v>
      </c>
      <c r="B91" s="60">
        <v>264.95999999999998</v>
      </c>
      <c r="C91" s="60">
        <v>4</v>
      </c>
      <c r="D91" s="60">
        <v>49.91</v>
      </c>
      <c r="E91" s="87">
        <v>0.3</v>
      </c>
      <c r="F91" s="87"/>
      <c r="G91" s="87"/>
      <c r="H91" s="87">
        <v>0.7</v>
      </c>
      <c r="I91" s="53">
        <f t="shared" si="3"/>
        <v>9.2524999999999977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74</v>
      </c>
      <c r="B92" s="60">
        <v>285.98</v>
      </c>
      <c r="C92" s="60">
        <v>5</v>
      </c>
      <c r="D92" s="60">
        <v>47.4</v>
      </c>
      <c r="E92" s="87">
        <v>0.4</v>
      </c>
      <c r="F92" s="87"/>
      <c r="G92" s="87"/>
      <c r="H92" s="87">
        <v>0.6</v>
      </c>
      <c r="I92" s="53">
        <f t="shared" si="3"/>
        <v>8.8662500000000044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84</v>
      </c>
      <c r="B93" s="60">
        <v>325.35000000000002</v>
      </c>
      <c r="C93" s="60">
        <v>6</v>
      </c>
      <c r="D93" s="60">
        <v>61.47</v>
      </c>
      <c r="E93" s="87">
        <v>0.4</v>
      </c>
      <c r="F93" s="87"/>
      <c r="G93" s="87"/>
      <c r="H93" s="87">
        <v>0.6</v>
      </c>
      <c r="I93" s="53">
        <f t="shared" si="3"/>
        <v>8.6770000000000014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94</v>
      </c>
      <c r="B94" s="60">
        <v>346.79</v>
      </c>
      <c r="C94" s="60">
        <v>7</v>
      </c>
      <c r="D94" s="60">
        <v>61.85</v>
      </c>
      <c r="E94" s="87">
        <v>0.5</v>
      </c>
      <c r="F94" s="87"/>
      <c r="G94" s="87"/>
      <c r="H94" s="87">
        <v>0.5</v>
      </c>
      <c r="I94" s="53">
        <f t="shared" si="3"/>
        <v>8.2910000000000021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104</v>
      </c>
      <c r="B95" s="60">
        <v>365.41</v>
      </c>
      <c r="C95" s="60">
        <v>8</v>
      </c>
      <c r="D95" s="60">
        <v>60.19</v>
      </c>
      <c r="E95" s="87">
        <v>0.5</v>
      </c>
      <c r="F95" s="87"/>
      <c r="G95" s="87"/>
      <c r="H95" s="87">
        <v>0.5</v>
      </c>
      <c r="I95" s="53">
        <f t="shared" si="3"/>
        <v>8.0470000000000024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114</v>
      </c>
      <c r="B96" s="60">
        <v>384.57</v>
      </c>
      <c r="C96" s="60">
        <v>9</v>
      </c>
      <c r="D96" s="60">
        <v>56.07</v>
      </c>
      <c r="E96" s="87">
        <v>0.6</v>
      </c>
      <c r="F96" s="87"/>
      <c r="G96" s="87"/>
      <c r="H96" s="87">
        <v>0.4</v>
      </c>
      <c r="I96" s="53">
        <f t="shared" si="3"/>
        <v>7.9349999999999969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124</v>
      </c>
      <c r="B97" s="60">
        <v>408.42</v>
      </c>
      <c r="C97" s="60">
        <v>10</v>
      </c>
      <c r="D97" s="60">
        <v>52.53</v>
      </c>
      <c r="E97" s="87">
        <v>0.7</v>
      </c>
      <c r="F97" s="87"/>
      <c r="G97" s="87"/>
      <c r="H97" s="87">
        <v>0.3</v>
      </c>
      <c r="I97" s="53">
        <f t="shared" si="3"/>
        <v>7.9920000000000018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>
        <v>134</v>
      </c>
      <c r="B98" s="60">
        <v>436.59</v>
      </c>
      <c r="C98" s="60">
        <v>11</v>
      </c>
      <c r="D98" s="60">
        <v>54.95</v>
      </c>
      <c r="E98" s="87">
        <v>0.7</v>
      </c>
      <c r="F98" s="87"/>
      <c r="G98" s="87"/>
      <c r="H98" s="87">
        <v>0.3</v>
      </c>
      <c r="I98" s="53">
        <f t="shared" si="3"/>
        <v>8.0699999999999985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>
        <v>144</v>
      </c>
      <c r="B99" s="60">
        <v>463.23</v>
      </c>
      <c r="C99" s="60">
        <v>12</v>
      </c>
      <c r="D99" s="60">
        <v>56.01</v>
      </c>
      <c r="E99" s="87">
        <v>0.7</v>
      </c>
      <c r="F99" s="87"/>
      <c r="G99" s="87"/>
      <c r="H99" s="87">
        <v>0.3</v>
      </c>
      <c r="I99" s="53">
        <f t="shared" si="3"/>
        <v>8.1590000000000025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>
        <v>154</v>
      </c>
      <c r="B100" s="60">
        <v>490.47</v>
      </c>
      <c r="C100" s="60">
        <v>13</v>
      </c>
      <c r="D100" s="60">
        <v>55.13</v>
      </c>
      <c r="E100" s="65">
        <v>0.7</v>
      </c>
      <c r="F100" s="65"/>
      <c r="G100" s="65"/>
      <c r="H100" s="65">
        <v>0.3</v>
      </c>
      <c r="I100" s="53">
        <f t="shared" si="3"/>
        <v>8.3249999999999993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>
        <v>164</v>
      </c>
      <c r="B101" s="60">
        <v>519.77</v>
      </c>
      <c r="C101" s="60">
        <v>14</v>
      </c>
      <c r="D101" s="60">
        <v>59.58</v>
      </c>
      <c r="E101" s="65">
        <v>0.8</v>
      </c>
      <c r="F101" s="65"/>
      <c r="G101" s="65"/>
      <c r="H101" s="65">
        <v>0.2</v>
      </c>
      <c r="I101" s="53">
        <f t="shared" si="3"/>
        <v>8.4429999999999943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>
        <v>174</v>
      </c>
      <c r="B102" s="50">
        <v>545.65</v>
      </c>
      <c r="C102" s="60">
        <v>15</v>
      </c>
      <c r="D102" s="50">
        <v>214.77</v>
      </c>
      <c r="E102" s="54">
        <v>0.8</v>
      </c>
      <c r="F102" s="54"/>
      <c r="G102" s="54"/>
      <c r="H102" s="54">
        <v>0.2</v>
      </c>
      <c r="I102" s="53">
        <f t="shared" si="3"/>
        <v>8.5459999999999976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>
        <v>177</v>
      </c>
      <c r="B103" s="50">
        <v>347.04</v>
      </c>
      <c r="C103" s="60">
        <v>16</v>
      </c>
      <c r="D103" s="50">
        <v>115.19</v>
      </c>
      <c r="E103" s="54">
        <v>0.8</v>
      </c>
      <c r="F103" s="54"/>
      <c r="G103" s="54"/>
      <c r="H103" s="54">
        <v>0.2</v>
      </c>
      <c r="I103" s="53">
        <f t="shared" si="3"/>
        <v>5.3866666666666747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>
        <v>180</v>
      </c>
      <c r="B104" s="50">
        <v>241.62</v>
      </c>
      <c r="C104" s="60">
        <v>17</v>
      </c>
      <c r="D104" s="50">
        <v>77.72</v>
      </c>
      <c r="E104" s="54">
        <v>0.8</v>
      </c>
      <c r="F104" s="54"/>
      <c r="G104" s="54"/>
      <c r="H104" s="54">
        <v>0.2</v>
      </c>
      <c r="I104" s="53">
        <f t="shared" si="3"/>
        <v>3.2566666666666606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>
        <v>183</v>
      </c>
      <c r="B105" s="50">
        <v>169.76</v>
      </c>
      <c r="C105" s="50">
        <v>18</v>
      </c>
      <c r="D105" s="50">
        <v>169.76</v>
      </c>
      <c r="E105" s="54">
        <v>0.8</v>
      </c>
      <c r="F105" s="54"/>
      <c r="G105" s="54"/>
      <c r="H105" s="54">
        <v>0.2</v>
      </c>
      <c r="I105" s="53">
        <f t="shared" si="3"/>
        <v>1.9533333333333285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Chêne pubescent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42</v>
      </c>
      <c r="B114" s="60">
        <v>163.26</v>
      </c>
      <c r="C114" s="50">
        <v>1</v>
      </c>
      <c r="D114" s="60">
        <v>43.21</v>
      </c>
      <c r="E114" s="51">
        <v>0.2</v>
      </c>
      <c r="F114" s="51"/>
      <c r="G114" s="51"/>
      <c r="H114" s="51">
        <v>0.8</v>
      </c>
      <c r="I114" s="53">
        <f>IFERROR(B114/A114,"")</f>
        <v>3.887142857142857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50</v>
      </c>
      <c r="B115" s="60">
        <v>195.02</v>
      </c>
      <c r="C115" s="50">
        <v>2</v>
      </c>
      <c r="D115" s="60">
        <v>35.58</v>
      </c>
      <c r="E115" s="51">
        <v>0.2</v>
      </c>
      <c r="F115" s="51"/>
      <c r="G115" s="51"/>
      <c r="H115" s="51">
        <v>0.8</v>
      </c>
      <c r="I115" s="53">
        <f t="shared" ref="I115:I133" si="4">IF(A115&lt;&gt;0,(B115-(B114-D114))/(A115-A114),"")</f>
        <v>9.3712500000000034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58</v>
      </c>
      <c r="B116" s="60">
        <v>235.87</v>
      </c>
      <c r="C116" s="50">
        <v>3</v>
      </c>
      <c r="D116" s="60">
        <v>44.93</v>
      </c>
      <c r="E116" s="51">
        <v>0.2</v>
      </c>
      <c r="F116" s="51"/>
      <c r="G116" s="51"/>
      <c r="H116" s="51">
        <v>0.8</v>
      </c>
      <c r="I116" s="53">
        <f t="shared" si="4"/>
        <v>9.5537500000000009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66</v>
      </c>
      <c r="B117" s="60">
        <v>264.95999999999998</v>
      </c>
      <c r="C117" s="50">
        <v>4</v>
      </c>
      <c r="D117" s="60">
        <v>49.91</v>
      </c>
      <c r="E117" s="51">
        <v>0.3</v>
      </c>
      <c r="F117" s="51"/>
      <c r="G117" s="51"/>
      <c r="H117" s="51">
        <v>0.7</v>
      </c>
      <c r="I117" s="53">
        <f t="shared" si="4"/>
        <v>9.2524999999999977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74</v>
      </c>
      <c r="B118" s="60">
        <v>285.98</v>
      </c>
      <c r="C118" s="50">
        <v>5</v>
      </c>
      <c r="D118" s="60">
        <v>47.4</v>
      </c>
      <c r="E118" s="51">
        <v>0.4</v>
      </c>
      <c r="F118" s="51"/>
      <c r="G118" s="51"/>
      <c r="H118" s="51">
        <v>0.6</v>
      </c>
      <c r="I118" s="53">
        <f t="shared" si="4"/>
        <v>8.8662500000000044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84</v>
      </c>
      <c r="B119" s="60">
        <v>325.35000000000002</v>
      </c>
      <c r="C119" s="50">
        <v>6</v>
      </c>
      <c r="D119" s="60">
        <v>61.47</v>
      </c>
      <c r="E119" s="51">
        <v>0.4</v>
      </c>
      <c r="F119" s="51"/>
      <c r="G119" s="51"/>
      <c r="H119" s="51">
        <v>0.6</v>
      </c>
      <c r="I119" s="53">
        <f t="shared" si="4"/>
        <v>8.6770000000000014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94</v>
      </c>
      <c r="B120" s="60">
        <v>346.79</v>
      </c>
      <c r="C120" s="60">
        <v>7</v>
      </c>
      <c r="D120" s="60">
        <v>61.85</v>
      </c>
      <c r="E120" s="87">
        <v>0.5</v>
      </c>
      <c r="F120" s="87"/>
      <c r="G120" s="87"/>
      <c r="H120" s="87">
        <v>0.5</v>
      </c>
      <c r="I120" s="53">
        <f t="shared" si="4"/>
        <v>8.2910000000000021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104</v>
      </c>
      <c r="B121" s="60">
        <v>365.41</v>
      </c>
      <c r="C121" s="60">
        <v>8</v>
      </c>
      <c r="D121" s="60">
        <v>60.19</v>
      </c>
      <c r="E121" s="87">
        <v>0.5</v>
      </c>
      <c r="F121" s="87"/>
      <c r="G121" s="87"/>
      <c r="H121" s="87">
        <v>0.5</v>
      </c>
      <c r="I121" s="53">
        <f t="shared" si="4"/>
        <v>8.0470000000000024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114</v>
      </c>
      <c r="B122" s="60">
        <v>384.57</v>
      </c>
      <c r="C122" s="60">
        <v>9</v>
      </c>
      <c r="D122" s="60">
        <v>56.07</v>
      </c>
      <c r="E122" s="87">
        <v>0.6</v>
      </c>
      <c r="F122" s="87"/>
      <c r="G122" s="87"/>
      <c r="H122" s="87">
        <v>0.4</v>
      </c>
      <c r="I122" s="53">
        <f t="shared" si="4"/>
        <v>7.9349999999999969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124</v>
      </c>
      <c r="B123" s="60">
        <v>408.42</v>
      </c>
      <c r="C123" s="60">
        <v>10</v>
      </c>
      <c r="D123" s="60">
        <v>52.53</v>
      </c>
      <c r="E123" s="87">
        <v>0.7</v>
      </c>
      <c r="F123" s="87"/>
      <c r="G123" s="87"/>
      <c r="H123" s="87">
        <v>0.3</v>
      </c>
      <c r="I123" s="53">
        <f t="shared" si="4"/>
        <v>7.9920000000000018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134</v>
      </c>
      <c r="B124" s="60">
        <v>436.59</v>
      </c>
      <c r="C124" s="60">
        <v>11</v>
      </c>
      <c r="D124" s="60">
        <v>54.95</v>
      </c>
      <c r="E124" s="87">
        <v>0.7</v>
      </c>
      <c r="F124" s="87"/>
      <c r="G124" s="87"/>
      <c r="H124" s="87">
        <v>0.3</v>
      </c>
      <c r="I124" s="53">
        <f t="shared" si="4"/>
        <v>8.0699999999999985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>
        <v>144</v>
      </c>
      <c r="B125" s="60">
        <v>463.23</v>
      </c>
      <c r="C125" s="60">
        <v>12</v>
      </c>
      <c r="D125" s="60">
        <v>56.01</v>
      </c>
      <c r="E125" s="87">
        <v>0.7</v>
      </c>
      <c r="F125" s="87"/>
      <c r="G125" s="87"/>
      <c r="H125" s="87">
        <v>0.3</v>
      </c>
      <c r="I125" s="53">
        <f t="shared" si="4"/>
        <v>8.1590000000000025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>
        <v>154</v>
      </c>
      <c r="B126" s="60">
        <v>490.47</v>
      </c>
      <c r="C126" s="60">
        <v>13</v>
      </c>
      <c r="D126" s="60">
        <v>55.13</v>
      </c>
      <c r="E126" s="65">
        <v>0.7</v>
      </c>
      <c r="F126" s="65"/>
      <c r="G126" s="65"/>
      <c r="H126" s="65">
        <v>0.3</v>
      </c>
      <c r="I126" s="53">
        <f t="shared" si="4"/>
        <v>8.3249999999999993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>
        <v>164</v>
      </c>
      <c r="B127" s="60">
        <v>519.77</v>
      </c>
      <c r="C127" s="60">
        <v>14</v>
      </c>
      <c r="D127" s="60">
        <v>59.58</v>
      </c>
      <c r="E127" s="65">
        <v>0.8</v>
      </c>
      <c r="F127" s="65"/>
      <c r="G127" s="65"/>
      <c r="H127" s="65">
        <v>0.2</v>
      </c>
      <c r="I127" s="53">
        <f t="shared" si="4"/>
        <v>8.4429999999999943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>
        <v>174</v>
      </c>
      <c r="B128" s="50">
        <v>545.65</v>
      </c>
      <c r="C128" s="50">
        <v>15</v>
      </c>
      <c r="D128" s="50">
        <v>214.77</v>
      </c>
      <c r="E128" s="54">
        <v>0.8</v>
      </c>
      <c r="F128" s="54"/>
      <c r="G128" s="54"/>
      <c r="H128" s="54">
        <v>0.2</v>
      </c>
      <c r="I128" s="53">
        <f t="shared" si="4"/>
        <v>8.5459999999999976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>
        <v>177</v>
      </c>
      <c r="B129" s="50">
        <v>347.04</v>
      </c>
      <c r="C129" s="50">
        <v>16</v>
      </c>
      <c r="D129" s="50">
        <v>115.19</v>
      </c>
      <c r="E129" s="54">
        <v>0.8</v>
      </c>
      <c r="F129" s="54"/>
      <c r="G129" s="54"/>
      <c r="H129" s="54">
        <v>0.2</v>
      </c>
      <c r="I129" s="53">
        <f t="shared" si="4"/>
        <v>5.3866666666666747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>
        <v>180</v>
      </c>
      <c r="B130" s="50">
        <v>241.62</v>
      </c>
      <c r="C130" s="50">
        <v>17</v>
      </c>
      <c r="D130" s="50">
        <v>77.72</v>
      </c>
      <c r="E130" s="54">
        <v>0.8</v>
      </c>
      <c r="F130" s="54"/>
      <c r="G130" s="54"/>
      <c r="H130" s="54">
        <v>0.2</v>
      </c>
      <c r="I130" s="53">
        <f t="shared" si="4"/>
        <v>3.2566666666666606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>
        <v>183</v>
      </c>
      <c r="B131" s="50">
        <v>169.76</v>
      </c>
      <c r="C131" s="50">
        <v>18</v>
      </c>
      <c r="D131" s="50">
        <v>169.76</v>
      </c>
      <c r="E131" s="54">
        <v>0.8</v>
      </c>
      <c r="F131" s="54"/>
      <c r="G131" s="54"/>
      <c r="H131" s="54">
        <v>0.2</v>
      </c>
      <c r="I131" s="53">
        <f t="shared" si="4"/>
        <v>1.9533333333333285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Charme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35</v>
      </c>
      <c r="B140" s="60">
        <v>92</v>
      </c>
      <c r="C140" s="50">
        <v>1</v>
      </c>
      <c r="D140" s="60">
        <v>12</v>
      </c>
      <c r="E140" s="51">
        <v>0.2</v>
      </c>
      <c r="F140" s="51"/>
      <c r="G140" s="51"/>
      <c r="H140" s="51">
        <v>0.8</v>
      </c>
      <c r="I140" s="57">
        <f>IFERROR(B140/A140,"")</f>
        <v>2.6285714285714286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40</v>
      </c>
      <c r="B141" s="60">
        <v>134</v>
      </c>
      <c r="C141" s="50">
        <v>2</v>
      </c>
      <c r="D141" s="60">
        <v>17</v>
      </c>
      <c r="E141" s="51">
        <v>0.2</v>
      </c>
      <c r="F141" s="51"/>
      <c r="G141" s="51"/>
      <c r="H141" s="51">
        <v>0.8</v>
      </c>
      <c r="I141" s="57">
        <f t="shared" ref="I141:I159" si="5">IF(A141&lt;&gt;0,(B141-(B140-D140))/(A141-A140),"")</f>
        <v>10.8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45</v>
      </c>
      <c r="B142" s="60">
        <v>164</v>
      </c>
      <c r="C142" s="50">
        <v>3</v>
      </c>
      <c r="D142" s="60">
        <v>20</v>
      </c>
      <c r="E142" s="51">
        <v>0.3</v>
      </c>
      <c r="F142" s="51"/>
      <c r="G142" s="51"/>
      <c r="H142" s="51">
        <v>0.7</v>
      </c>
      <c r="I142" s="57">
        <f t="shared" si="5"/>
        <v>9.4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50</v>
      </c>
      <c r="B143" s="60">
        <v>187</v>
      </c>
      <c r="C143" s="50">
        <v>4</v>
      </c>
      <c r="D143" s="60">
        <v>23</v>
      </c>
      <c r="E143" s="51">
        <v>0.3</v>
      </c>
      <c r="F143" s="51"/>
      <c r="G143" s="51"/>
      <c r="H143" s="51">
        <v>0.7</v>
      </c>
      <c r="I143" s="57">
        <f t="shared" si="5"/>
        <v>8.6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55</v>
      </c>
      <c r="B144" s="60">
        <v>204</v>
      </c>
      <c r="C144" s="50">
        <v>5</v>
      </c>
      <c r="D144" s="60">
        <v>24</v>
      </c>
      <c r="E144" s="51">
        <v>0.4</v>
      </c>
      <c r="F144" s="51"/>
      <c r="G144" s="51"/>
      <c r="H144" s="51">
        <v>0.6</v>
      </c>
      <c r="I144" s="57">
        <f t="shared" si="5"/>
        <v>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60</v>
      </c>
      <c r="B145" s="60">
        <v>218</v>
      </c>
      <c r="C145" s="50">
        <v>6</v>
      </c>
      <c r="D145" s="60">
        <v>25</v>
      </c>
      <c r="E145" s="51">
        <v>0.4</v>
      </c>
      <c r="F145" s="51"/>
      <c r="G145" s="51"/>
      <c r="H145" s="51">
        <v>0.6</v>
      </c>
      <c r="I145" s="57">
        <f t="shared" si="5"/>
        <v>7.6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65</v>
      </c>
      <c r="B146" s="60">
        <v>230</v>
      </c>
      <c r="C146" s="50">
        <v>7</v>
      </c>
      <c r="D146" s="60">
        <v>26</v>
      </c>
      <c r="E146" s="87">
        <v>0.5</v>
      </c>
      <c r="F146" s="87"/>
      <c r="G146" s="87"/>
      <c r="H146" s="87">
        <v>0.5</v>
      </c>
      <c r="I146" s="57">
        <f t="shared" si="5"/>
        <v>7.4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70</v>
      </c>
      <c r="B147" s="60">
        <v>239</v>
      </c>
      <c r="C147" s="50">
        <v>8</v>
      </c>
      <c r="D147" s="60">
        <v>26</v>
      </c>
      <c r="E147" s="87">
        <v>0.5</v>
      </c>
      <c r="F147" s="87"/>
      <c r="G147" s="87"/>
      <c r="H147" s="87">
        <v>0.5</v>
      </c>
      <c r="I147" s="57">
        <f>IF(A147&lt;&gt;0,(B147-(B146-D146))/(A147-A146),"")</f>
        <v>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75</v>
      </c>
      <c r="B148" s="60">
        <v>247</v>
      </c>
      <c r="C148" s="50">
        <v>9</v>
      </c>
      <c r="D148" s="60">
        <v>27</v>
      </c>
      <c r="E148" s="87">
        <v>0.6</v>
      </c>
      <c r="F148" s="87"/>
      <c r="G148" s="87"/>
      <c r="H148" s="87">
        <v>0.4</v>
      </c>
      <c r="I148" s="57">
        <f t="shared" si="5"/>
        <v>6.8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80</v>
      </c>
      <c r="B149" s="60">
        <v>253</v>
      </c>
      <c r="C149" s="50">
        <v>10</v>
      </c>
      <c r="D149" s="60">
        <v>27</v>
      </c>
      <c r="E149" s="87">
        <v>0.6</v>
      </c>
      <c r="F149" s="87"/>
      <c r="G149" s="87"/>
      <c r="H149" s="87">
        <v>0.4</v>
      </c>
      <c r="I149" s="57">
        <f t="shared" si="5"/>
        <v>6.6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85</v>
      </c>
      <c r="B150" s="60">
        <v>259</v>
      </c>
      <c r="C150" s="50">
        <v>11</v>
      </c>
      <c r="D150" s="60">
        <v>26</v>
      </c>
      <c r="E150" s="87">
        <v>0.6</v>
      </c>
      <c r="F150" s="87"/>
      <c r="G150" s="87"/>
      <c r="H150" s="87">
        <v>0.4</v>
      </c>
      <c r="I150" s="57">
        <f t="shared" si="5"/>
        <v>6.6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90</v>
      </c>
      <c r="B151" s="60">
        <v>263</v>
      </c>
      <c r="C151" s="50">
        <v>12</v>
      </c>
      <c r="D151" s="60">
        <v>26</v>
      </c>
      <c r="E151" s="87">
        <v>0.6</v>
      </c>
      <c r="F151" s="87"/>
      <c r="G151" s="87"/>
      <c r="H151" s="87">
        <v>0.4</v>
      </c>
      <c r="I151" s="57">
        <f t="shared" si="5"/>
        <v>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95</v>
      </c>
      <c r="B152" s="60">
        <v>267</v>
      </c>
      <c r="C152" s="50">
        <v>13</v>
      </c>
      <c r="D152" s="60">
        <v>26</v>
      </c>
      <c r="E152" s="87">
        <v>0.7</v>
      </c>
      <c r="F152" s="87"/>
      <c r="G152" s="87"/>
      <c r="H152" s="87">
        <v>0.3</v>
      </c>
      <c r="I152" s="57">
        <f t="shared" si="5"/>
        <v>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100</v>
      </c>
      <c r="B153" s="60">
        <v>271</v>
      </c>
      <c r="C153" s="50">
        <v>14</v>
      </c>
      <c r="D153" s="60">
        <v>25</v>
      </c>
      <c r="E153" s="87">
        <v>0.7</v>
      </c>
      <c r="F153" s="87"/>
      <c r="G153" s="87"/>
      <c r="H153" s="87">
        <v>0.3</v>
      </c>
      <c r="I153" s="57">
        <f t="shared" si="5"/>
        <v>6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>
        <v>105</v>
      </c>
      <c r="B154" s="56">
        <v>273</v>
      </c>
      <c r="C154" s="50">
        <v>15</v>
      </c>
      <c r="D154" s="50">
        <v>25</v>
      </c>
      <c r="E154" s="87">
        <v>0.7</v>
      </c>
      <c r="F154" s="87"/>
      <c r="G154" s="87"/>
      <c r="H154" s="87">
        <v>0.3</v>
      </c>
      <c r="I154" s="57">
        <f t="shared" si="5"/>
        <v>5.4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>
        <v>110</v>
      </c>
      <c r="B155" s="56">
        <v>276</v>
      </c>
      <c r="C155" s="50">
        <v>16</v>
      </c>
      <c r="D155" s="50">
        <v>24</v>
      </c>
      <c r="E155" s="65">
        <v>0.7</v>
      </c>
      <c r="F155" s="65"/>
      <c r="G155" s="65"/>
      <c r="H155" s="65">
        <v>0.3</v>
      </c>
      <c r="I155" s="57">
        <f t="shared" si="5"/>
        <v>5.6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>
        <v>115</v>
      </c>
      <c r="B156" s="56">
        <v>278</v>
      </c>
      <c r="C156" s="50">
        <v>17</v>
      </c>
      <c r="D156" s="50">
        <v>23</v>
      </c>
      <c r="E156" s="54">
        <v>0.8</v>
      </c>
      <c r="F156" s="54"/>
      <c r="G156" s="54"/>
      <c r="H156" s="54">
        <v>0.2</v>
      </c>
      <c r="I156" s="57">
        <f t="shared" si="5"/>
        <v>5.2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>
        <v>120</v>
      </c>
      <c r="B157" s="56">
        <v>279</v>
      </c>
      <c r="C157" s="50">
        <v>18</v>
      </c>
      <c r="D157" s="50">
        <v>23</v>
      </c>
      <c r="E157" s="54">
        <v>0.8</v>
      </c>
      <c r="F157" s="54"/>
      <c r="G157" s="54"/>
      <c r="H157" s="54">
        <v>0.2</v>
      </c>
      <c r="I157" s="57">
        <f t="shared" si="5"/>
        <v>4.8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>
        <v>125</v>
      </c>
      <c r="B158" s="56">
        <v>281</v>
      </c>
      <c r="C158" s="50">
        <v>19</v>
      </c>
      <c r="D158" s="50">
        <v>22</v>
      </c>
      <c r="E158" s="54">
        <v>0.8</v>
      </c>
      <c r="F158" s="54"/>
      <c r="G158" s="54"/>
      <c r="H158" s="54">
        <v>0.2</v>
      </c>
      <c r="I158" s="57">
        <f t="shared" si="5"/>
        <v>5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>
        <v>130</v>
      </c>
      <c r="B159" s="56">
        <v>282</v>
      </c>
      <c r="C159" s="50">
        <v>20</v>
      </c>
      <c r="D159" s="58">
        <v>282</v>
      </c>
      <c r="E159" s="54">
        <v>0.8</v>
      </c>
      <c r="F159" s="54"/>
      <c r="G159" s="54"/>
      <c r="H159" s="54">
        <v>0.2</v>
      </c>
      <c r="I159" s="57">
        <f t="shared" si="5"/>
        <v>4.5999999999999996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Alisier torminal</v>
      </c>
      <c r="D162" s="228" t="s">
        <v>307</v>
      </c>
      <c r="J162" s="23" t="s">
        <v>327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Alisier torminal</v>
      </c>
      <c r="D188" s="228" t="s">
        <v>307</v>
      </c>
      <c r="J188" s="23" t="s">
        <v>328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Alisier torminal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42</v>
      </c>
      <c r="B218" s="60">
        <v>163.26</v>
      </c>
      <c r="C218" s="60">
        <v>1</v>
      </c>
      <c r="D218" s="60">
        <v>43.21</v>
      </c>
      <c r="E218" s="51">
        <v>0.2</v>
      </c>
      <c r="F218" s="51"/>
      <c r="G218" s="51"/>
      <c r="H218" s="87">
        <v>0.8</v>
      </c>
      <c r="I218" s="53">
        <f>IFERROR(B218/A218,"")</f>
        <v>3.887142857142857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50</v>
      </c>
      <c r="B219" s="60">
        <v>195.02</v>
      </c>
      <c r="C219" s="60">
        <v>2</v>
      </c>
      <c r="D219" s="60">
        <v>35.58</v>
      </c>
      <c r="E219" s="51">
        <v>0.2</v>
      </c>
      <c r="F219" s="51"/>
      <c r="G219" s="51"/>
      <c r="H219" s="87">
        <v>0.8</v>
      </c>
      <c r="I219" s="53">
        <f t="shared" ref="I219:I237" si="8">IF(A219&lt;&gt;0,(B219-(B218-D218))/(A219-A218),"")</f>
        <v>9.3712500000000034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58</v>
      </c>
      <c r="B220" s="60">
        <v>235.87</v>
      </c>
      <c r="C220" s="60">
        <v>3</v>
      </c>
      <c r="D220" s="60">
        <v>44.93</v>
      </c>
      <c r="E220" s="87">
        <v>0.2</v>
      </c>
      <c r="F220" s="87"/>
      <c r="G220" s="87"/>
      <c r="H220" s="87">
        <v>0.8</v>
      </c>
      <c r="I220" s="53">
        <f t="shared" si="8"/>
        <v>9.5537500000000009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0">
        <v>66</v>
      </c>
      <c r="B221" s="60">
        <v>264.95999999999998</v>
      </c>
      <c r="C221" s="60">
        <v>4</v>
      </c>
      <c r="D221" s="60">
        <v>49.91</v>
      </c>
      <c r="E221" s="87">
        <v>0.3</v>
      </c>
      <c r="F221" s="87"/>
      <c r="G221" s="87"/>
      <c r="H221" s="87">
        <v>0.7</v>
      </c>
      <c r="I221" s="53">
        <f t="shared" si="8"/>
        <v>9.2524999999999977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0">
        <v>74</v>
      </c>
      <c r="B222" s="60">
        <v>285.98</v>
      </c>
      <c r="C222" s="60">
        <v>5</v>
      </c>
      <c r="D222" s="60">
        <v>47.4</v>
      </c>
      <c r="E222" s="87">
        <v>0.4</v>
      </c>
      <c r="F222" s="87"/>
      <c r="G222" s="87"/>
      <c r="H222" s="87">
        <v>0.6</v>
      </c>
      <c r="I222" s="53">
        <f t="shared" si="8"/>
        <v>8.8662500000000044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0">
        <v>84</v>
      </c>
      <c r="B223" s="60">
        <v>325.35000000000002</v>
      </c>
      <c r="C223" s="60">
        <v>6</v>
      </c>
      <c r="D223" s="60">
        <v>61.47</v>
      </c>
      <c r="E223" s="87">
        <v>0.4</v>
      </c>
      <c r="F223" s="87"/>
      <c r="G223" s="87"/>
      <c r="H223" s="87">
        <v>0.6</v>
      </c>
      <c r="I223" s="53">
        <f t="shared" si="8"/>
        <v>8.6770000000000014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0">
        <v>94</v>
      </c>
      <c r="B224" s="60">
        <v>346.79</v>
      </c>
      <c r="C224" s="60">
        <v>7</v>
      </c>
      <c r="D224" s="60">
        <v>61.85</v>
      </c>
      <c r="E224" s="87">
        <v>0.5</v>
      </c>
      <c r="F224" s="87"/>
      <c r="G224" s="87"/>
      <c r="H224" s="87">
        <v>0.5</v>
      </c>
      <c r="I224" s="53">
        <f t="shared" si="8"/>
        <v>8.2910000000000021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60">
        <v>104</v>
      </c>
      <c r="B225" s="60">
        <v>365.41</v>
      </c>
      <c r="C225" s="60">
        <v>8</v>
      </c>
      <c r="D225" s="60">
        <v>60.19</v>
      </c>
      <c r="E225" s="87">
        <v>0.5</v>
      </c>
      <c r="F225" s="87"/>
      <c r="G225" s="87"/>
      <c r="H225" s="87">
        <v>0.5</v>
      </c>
      <c r="I225" s="53">
        <f t="shared" si="8"/>
        <v>8.0470000000000024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60">
        <v>114</v>
      </c>
      <c r="B226" s="60">
        <v>384.57</v>
      </c>
      <c r="C226" s="60">
        <v>9</v>
      </c>
      <c r="D226" s="60">
        <v>56.07</v>
      </c>
      <c r="E226" s="87">
        <v>0.6</v>
      </c>
      <c r="F226" s="87"/>
      <c r="G226" s="87"/>
      <c r="H226" s="87">
        <v>0.4</v>
      </c>
      <c r="I226" s="53">
        <f t="shared" si="8"/>
        <v>7.9349999999999969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60">
        <v>124</v>
      </c>
      <c r="B227" s="60">
        <v>408.42</v>
      </c>
      <c r="C227" s="60">
        <v>10</v>
      </c>
      <c r="D227" s="60">
        <v>52.53</v>
      </c>
      <c r="E227" s="87">
        <v>0.7</v>
      </c>
      <c r="F227" s="87"/>
      <c r="G227" s="87"/>
      <c r="H227" s="87">
        <v>0.3</v>
      </c>
      <c r="I227" s="53">
        <f t="shared" si="8"/>
        <v>7.9920000000000018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60">
        <v>134</v>
      </c>
      <c r="B228" s="60">
        <v>436.59</v>
      </c>
      <c r="C228" s="60">
        <v>11</v>
      </c>
      <c r="D228" s="60">
        <v>54.95</v>
      </c>
      <c r="E228" s="87">
        <v>0.7</v>
      </c>
      <c r="F228" s="87"/>
      <c r="G228" s="87"/>
      <c r="H228" s="87">
        <v>0.3</v>
      </c>
      <c r="I228" s="53">
        <f t="shared" si="8"/>
        <v>8.0699999999999985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60">
        <v>144</v>
      </c>
      <c r="B229" s="60">
        <v>463.23</v>
      </c>
      <c r="C229" s="60">
        <v>12</v>
      </c>
      <c r="D229" s="60">
        <v>56.01</v>
      </c>
      <c r="E229" s="87">
        <v>0.7</v>
      </c>
      <c r="F229" s="87"/>
      <c r="G229" s="87"/>
      <c r="H229" s="87">
        <v>0.3</v>
      </c>
      <c r="I229" s="53">
        <f t="shared" si="8"/>
        <v>8.1590000000000025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60">
        <v>154</v>
      </c>
      <c r="B230" s="60">
        <v>490.47</v>
      </c>
      <c r="C230" s="60">
        <v>13</v>
      </c>
      <c r="D230" s="60">
        <v>55.13</v>
      </c>
      <c r="E230" s="65">
        <v>0.7</v>
      </c>
      <c r="F230" s="65"/>
      <c r="G230" s="65"/>
      <c r="H230" s="65">
        <v>0.3</v>
      </c>
      <c r="I230" s="53">
        <f t="shared" si="8"/>
        <v>8.3249999999999993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60">
        <v>164</v>
      </c>
      <c r="B231" s="60">
        <v>519.77</v>
      </c>
      <c r="C231" s="60">
        <v>14</v>
      </c>
      <c r="D231" s="60">
        <v>59.58</v>
      </c>
      <c r="E231" s="65">
        <v>0.8</v>
      </c>
      <c r="F231" s="65"/>
      <c r="G231" s="65"/>
      <c r="H231" s="65">
        <v>0.2</v>
      </c>
      <c r="I231" s="53">
        <f t="shared" si="8"/>
        <v>8.4429999999999943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60">
        <v>174</v>
      </c>
      <c r="B232" s="50">
        <v>545.65</v>
      </c>
      <c r="C232" s="60">
        <v>15</v>
      </c>
      <c r="D232" s="50">
        <v>214.77</v>
      </c>
      <c r="E232" s="54">
        <v>0.8</v>
      </c>
      <c r="F232" s="54"/>
      <c r="G232" s="54"/>
      <c r="H232" s="54">
        <v>0.2</v>
      </c>
      <c r="I232" s="53">
        <f t="shared" si="8"/>
        <v>8.5459999999999976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60">
        <v>177</v>
      </c>
      <c r="B233" s="50">
        <v>347.04</v>
      </c>
      <c r="C233" s="60">
        <v>16</v>
      </c>
      <c r="D233" s="50">
        <v>115.19</v>
      </c>
      <c r="E233" s="54">
        <v>0.8</v>
      </c>
      <c r="F233" s="54"/>
      <c r="G233" s="54"/>
      <c r="H233" s="54">
        <v>0.2</v>
      </c>
      <c r="I233" s="53">
        <f t="shared" si="8"/>
        <v>5.3866666666666747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60">
        <v>180</v>
      </c>
      <c r="B234" s="50">
        <v>241.62</v>
      </c>
      <c r="C234" s="60">
        <v>17</v>
      </c>
      <c r="D234" s="50">
        <v>77.72</v>
      </c>
      <c r="E234" s="54">
        <v>0.8</v>
      </c>
      <c r="F234" s="54"/>
      <c r="G234" s="54"/>
      <c r="H234" s="54">
        <v>0.2</v>
      </c>
      <c r="I234" s="53">
        <f t="shared" si="8"/>
        <v>3.2566666666666606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>
        <v>183</v>
      </c>
      <c r="B235" s="50">
        <v>169.76</v>
      </c>
      <c r="C235" s="50">
        <v>18</v>
      </c>
      <c r="D235" s="50">
        <v>169.76</v>
      </c>
      <c r="E235" s="54">
        <v>0.8</v>
      </c>
      <c r="F235" s="54"/>
      <c r="G235" s="54"/>
      <c r="H235" s="54">
        <v>0.2</v>
      </c>
      <c r="I235" s="53">
        <f t="shared" si="8"/>
        <v>1.9533333333333285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51"/>
      <c r="F275" s="51"/>
      <c r="G275" s="51"/>
      <c r="H275" s="51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60"/>
      <c r="B276" s="60"/>
      <c r="C276" s="60"/>
      <c r="D276" s="60"/>
      <c r="E276" s="87"/>
      <c r="F276" s="87"/>
      <c r="G276" s="87"/>
      <c r="H276" s="87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60"/>
      <c r="B277" s="60"/>
      <c r="C277" s="60"/>
      <c r="D277" s="60"/>
      <c r="E277" s="87"/>
      <c r="F277" s="87"/>
      <c r="G277" s="87"/>
      <c r="H277" s="87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60"/>
      <c r="B278" s="60"/>
      <c r="C278" s="60"/>
      <c r="D278" s="60"/>
      <c r="E278" s="87"/>
      <c r="F278" s="87"/>
      <c r="G278" s="87"/>
      <c r="H278" s="87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60"/>
      <c r="B279" s="60"/>
      <c r="C279" s="60"/>
      <c r="D279" s="60"/>
      <c r="E279" s="87"/>
      <c r="F279" s="87"/>
      <c r="G279" s="87"/>
      <c r="H279" s="87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60"/>
      <c r="B280" s="60"/>
      <c r="C280" s="60"/>
      <c r="D280" s="60"/>
      <c r="E280" s="87"/>
      <c r="F280" s="87"/>
      <c r="G280" s="87"/>
      <c r="H280" s="87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60"/>
      <c r="B281" s="60"/>
      <c r="C281" s="60"/>
      <c r="D281" s="60"/>
      <c r="E281" s="87"/>
      <c r="F281" s="87"/>
      <c r="G281" s="87"/>
      <c r="H281" s="87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60"/>
      <c r="B282" s="60"/>
      <c r="C282" s="60"/>
      <c r="D282" s="60"/>
      <c r="E282" s="65"/>
      <c r="F282" s="65"/>
      <c r="G282" s="65"/>
      <c r="H282" s="65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60"/>
      <c r="B283" s="60"/>
      <c r="C283" s="60"/>
      <c r="D283" s="60"/>
      <c r="E283" s="65"/>
      <c r="F283" s="65"/>
      <c r="G283" s="65"/>
      <c r="H283" s="65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4"/>
      <c r="F284" s="54"/>
      <c r="G284" s="54"/>
      <c r="H284" s="54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4"/>
      <c r="F285" s="54"/>
      <c r="G285" s="54"/>
      <c r="H285" s="54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4"/>
      <c r="F286" s="54"/>
      <c r="G286" s="54"/>
      <c r="H286" s="54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4"/>
      <c r="F287" s="54"/>
      <c r="G287" s="54"/>
      <c r="H287" s="54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laricio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Cèdre de l'Atlas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Chêne sessile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Chêne pubescent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Charme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Alisier torminal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>Alisier torminal</v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>Alisier torminal</v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460.88622650237176</v>
      </c>
      <c r="T3" s="59">
        <f>IF('Données projet'!E9&gt;30,$R$33-$H$33,LOOKUP('Données projet'!$E$9,$A$3:$A$203,R3:R203)-LOOKUP('Données projet'!$E$9,$A$3:$A$203,$H$3:$H$203))</f>
        <v>396.05161661639647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387.50901594883317</v>
      </c>
      <c r="AO3" s="59">
        <f>IF('Données projet'!E10&gt;30,$AM$33-$H$33,LOOKUP('Données projet'!$E$10,$A$3:$A$203,AM3:AM203)-LOOKUP('Données projet'!$E$10,$A$3:$A$203,$H$3:$H$203))</f>
        <v>361.3623790401972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627.65081154031589</v>
      </c>
      <c r="BJ3" s="59">
        <f>IF('Données projet'!E11&gt;30,$BH$33-$H$33,LOOKUP('Données projet'!$E$11,$A$3:$A$203,BH3:BH203)-LOOKUP('Données projet'!$E$11,$A$3:$A$203,$H$3:$H$203))</f>
        <v>288.78083487077618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692.2706942067415</v>
      </c>
      <c r="CE3" s="59">
        <f>IF('Données projet'!E12&gt;30,$CC$33-$H$33,LOOKUP('Données projet'!$E$12,$A$3:$A$203,CC3:CC203)-LOOKUP('Données projet'!$E$12,$A$3:$A$203,$H$3:$H$203))</f>
        <v>316.17529091924803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424.5933338095914</v>
      </c>
      <c r="CZ3" s="59">
        <f>IF('Données projet'!E13&gt;30,$CX$33-$H$33,LOOKUP('Données projet'!$E$13,$A$3:$A$203,CX3:CX203)-LOOKUP('Données projet'!$E$13,$A$3:$A$203,$H$3:$H$203))</f>
        <v>159.28977188196134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-18.333333333333343</v>
      </c>
      <c r="DU3" s="59">
        <f>IF('Données projet'!E14&gt;30,$DS$33-$H$33,LOOKUP('Données projet'!$E$14,$A$3:$A$203,DS3:DS203)-LOOKUP('Données projet'!$E$14,$A$3:$A$203,$H$3:$H$203))</f>
        <v>-18.333333333333343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-18.333333333333343</v>
      </c>
      <c r="EP3" s="59">
        <f>IF('Données projet'!E15&gt;30,$EN$33-$H$33,LOOKUP('Données projet'!$E$15,$A$3:$A$203,EN3:EN203)-LOOKUP('Données projet'!$E$15,$A$3:$A$203,$H$3:$H$203))</f>
        <v>-18.333333333333343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664.59451650228573</v>
      </c>
      <c r="FK3" s="59">
        <f>IF('Données projet'!E16&gt;30,$FI$33-$H$33,LOOKUP('Données projet'!$E$16,$A$3:$A$203,FI3:FI203)-LOOKUP('Données projet'!$E$16,$A$3:$A$203,$H$3:$H$203))</f>
        <v>304.44325029106631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6.7273684210526312</v>
      </c>
      <c r="N4" s="13">
        <f>IF('Données projet'!$A$36&gt;35,N3+M4-V3,IF(A4&lt;'Données projet'!$A$36,$K$205^A4,IF(A4='Données projet'!$A$36,'Données projet'!$B$36,N3+M4-V3)))</f>
        <v>1.2908435877572824</v>
      </c>
      <c r="O4" s="13">
        <f>N4*VLOOKUP('Données projet'!$B$9,Paramètres!$A$1:$I$89,3,0)*VLOOKUP('Données projet'!$B$9,Paramètres!$A$1:$I$89,5,0)</f>
        <v>0.77192446547885496</v>
      </c>
      <c r="P4" s="13">
        <f>EXP(-1.0587+0.8836*LN(O4)+0.284)</f>
        <v>0.36661747604786077</v>
      </c>
      <c r="Q4" s="20">
        <f t="shared" ref="Q4:Q34" si="2">(O4+P4)*0.475*44/12</f>
        <v>1.9829605481590298</v>
      </c>
      <c r="R4" s="59">
        <f t="shared" si="0"/>
        <v>169.79539450108288</v>
      </c>
      <c r="S4" s="59">
        <f ca="1">AVERAGE(OFFSET($R$3,0,0,'Données projet'!$E$9+1,1))-AVERAGE(OFFSET($H$3,0,0,'Données projet'!$E$9+1,1))</f>
        <v>460.88622650237176</v>
      </c>
      <c r="T4" s="59">
        <f>$T$3</f>
        <v>396.05161661639647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9.9228571428571435</v>
      </c>
      <c r="AI4" s="13">
        <f>IF('Données projet'!$A$62&gt;35,AI3+AH4-AQ3,IF(A4&lt;'Données projet'!$A$62,$AF$205^A4,IF(A4='Données projet'!$A$62,'Données projet'!$B$62,AI3+AH4-AQ3)))</f>
        <v>9.9228571428571435</v>
      </c>
      <c r="AJ4" s="13">
        <f>AI4*VLOOKUP('Données projet'!$B$10,Paramètres!$A$1:$I$89,3,0)*VLOOKUP('Données projet'!$B$10,Paramètres!$A$1:$I$89,5,0)</f>
        <v>4.6438971428571429</v>
      </c>
      <c r="AK4" s="13">
        <f>EXP(-1.0587+0.8836*LN(AJ4)+0.284)</f>
        <v>1.7898206860922095</v>
      </c>
      <c r="AL4" s="20">
        <f t="shared" ref="AL4:AL67" si="4">(AJ4+AK4)*0.475*44/12</f>
        <v>11.20539188542012</v>
      </c>
      <c r="AM4" s="59">
        <f t="shared" ref="AM4:AM67" si="5">AL4+(AD4+AE4)*44/12</f>
        <v>179.01782583834395</v>
      </c>
      <c r="AN4" s="59">
        <f ca="1">AVERAGE(OFFSET($AM$3,0,0,'Données projet'!$E$10+1,1))-AVERAGE(OFFSET($H$3,0,0,'Données projet'!$E$10+1,1))</f>
        <v>387.50901594883317</v>
      </c>
      <c r="AO4" s="59">
        <f>$AO$3</f>
        <v>361.3623790401972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3.887142857142857</v>
      </c>
      <c r="BD4" s="12">
        <f>IF('Données projet'!$A$88&gt;35,BD3+BC4-BL3,IF(A4&lt;'Données projet'!$A$88,$BA$205^A4,IF(A4='Données projet'!$A$88,'Données projet'!$B$88,BD3+BC4-BL3)))</f>
        <v>3.887142857142857</v>
      </c>
      <c r="BE4" s="13">
        <f>BD4*VLOOKUP('Données projet'!$B$11,Paramètres!$A$1:$I$89,3,0)*VLOOKUP('Données projet'!$B$11,Paramètres!$A$1:$I$89,5,0)</f>
        <v>3.5170868571428571</v>
      </c>
      <c r="BF4" s="13">
        <f>EXP(-1.0587+0.8836*LN(BE4)+0.284)</f>
        <v>1.400101260019349</v>
      </c>
      <c r="BG4" s="20">
        <f t="shared" ref="BG4:BG67" si="7">(BE4+BF4)*0.475*44/12</f>
        <v>8.5641026373908407</v>
      </c>
      <c r="BH4" s="59">
        <f t="shared" ref="BH4:BH67" si="8">BG4+(AY4+AZ4)*44/12</f>
        <v>176.37653659031469</v>
      </c>
      <c r="BI4" s="59">
        <f ca="1">AVERAGE(OFFSET($BH$3,0,0,'Données projet'!$E$11+1,1))-AVERAGE(OFFSET($H$3,0,0,'Données projet'!$E$11+1,1))</f>
        <v>627.65081154031589</v>
      </c>
      <c r="BJ4" s="59">
        <f>$BJ$3</f>
        <v>288.78083487077618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3.887142857142857</v>
      </c>
      <c r="BY4" s="12">
        <f>IF('Données projet'!$A$114&gt;35,BY3+BX4-CG3,IF(A4&lt;'Données projet'!$A$114,$BV$205^A4,IF(A4='Données projet'!$A$114,'Données projet'!$B$114,BY3+BX4-CG3)))</f>
        <v>3.887142857142857</v>
      </c>
      <c r="BZ4" s="13">
        <f>BY4*VLOOKUP('Données projet'!$B$12,Paramètres!$A$1:$I$89,3,0)*VLOOKUP('Données projet'!$B$12,Paramètres!$A$1:$I$89,5,0)</f>
        <v>3.9415628571428569</v>
      </c>
      <c r="CA4" s="13">
        <f>EXP(-1.0587+0.8836*LN(BZ4)+0.284)</f>
        <v>1.5484055284644385</v>
      </c>
      <c r="CB4" s="20">
        <f t="shared" ref="CB4:CB67" si="10">(BZ4+CA4)*0.475*44/12</f>
        <v>9.5616949382660383</v>
      </c>
      <c r="CC4" s="59">
        <f t="shared" ref="CC4:CC67" si="11">CB4+(BT4+BU4)*44/12</f>
        <v>177.37412889118988</v>
      </c>
      <c r="CD4" s="59">
        <f ca="1">AVERAGE(OFFSET($CC$3,0,0,'Données projet'!$E$12+1,1))-AVERAGE(OFFSET($H$3,0,0,'Données projet'!$E$12+1,1))</f>
        <v>692.2706942067415</v>
      </c>
      <c r="CE4" s="59">
        <f>$CE$3</f>
        <v>316.17529091924803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2.6285714285714286</v>
      </c>
      <c r="CT4" s="12">
        <f>IF('Données projet'!$A$140&gt;35,CT3+CS4-DB3,IF(A4&lt;'Données projet'!$A$140,$CQ$205^A4,IF(A4='Données projet'!$A$140,'Données projet'!$B$140,CT3+CS4-DB3)))</f>
        <v>1.1379108111976481</v>
      </c>
      <c r="CU4" s="17">
        <f>CT4*VLOOKUP('Données projet'!$B$13,Paramètres!$A$1:$I$89,3,0)*VLOOKUP('Données projet'!$B$13,Paramètres!$A$1:$I$89,5,0)</f>
        <v>1.0828359279356821</v>
      </c>
      <c r="CV4" s="13">
        <f>EXP(-1.0587+0.8836*LN(CU4)+0.284)</f>
        <v>0.49441498896502023</v>
      </c>
      <c r="CW4" s="20">
        <f t="shared" ref="CW4:CW67" si="13">(CU4+CV4)*0.475*44/12</f>
        <v>2.7470453469353902</v>
      </c>
      <c r="CX4" s="59">
        <f t="shared" ref="CX4:CX67" si="14">CW4+(CO4+CP4)*44/12</f>
        <v>170.55947929985922</v>
      </c>
      <c r="CY4" s="59">
        <f ca="1">AVERAGE(OFFSET($CX$3,0,0,'Données projet'!$E$13+1,1))-AVERAGE(OFFSET($H$3,0,0,'Données projet'!$E$13+1,1))</f>
        <v>424.5933338095914</v>
      </c>
      <c r="CZ4" s="59">
        <f>$CZ$3</f>
        <v>159.28977188196134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>
        <f>DO4*VLOOKUP('Données projet'!$B$14,Paramètres!$A$1:$I$89,3,0)*VLOOKUP('Données projet'!$B$14,Paramètres!$A$1:$I$89,5,0)</f>
        <v>0</v>
      </c>
      <c r="DQ4" s="13" t="e">
        <f>EXP(-1.0587+0.8836*LN(DP4)+0.284)</f>
        <v>#NUM!</v>
      </c>
      <c r="DR4" s="20" t="e">
        <f t="shared" ref="DR4:DR67" si="16">(DP4+DQ4)*0.475*44/12</f>
        <v>#NUM!</v>
      </c>
      <c r="DS4" s="59" t="e">
        <f t="shared" ref="DS4:DS67" si="17">DR4+(DJ4+DK4)*44/12</f>
        <v>#NUM!</v>
      </c>
      <c r="DT4" s="59">
        <f ca="1">AVERAGE(OFFSET($DS$3,0,0,'Données projet'!$E$14+1,1))-AVERAGE(OFFSET($H$3,0,0,'Données projet'!$E$14+1,1))</f>
        <v>-18.333333333333343</v>
      </c>
      <c r="DU4" s="59">
        <f>$DU$3</f>
        <v>-18.333333333333343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>
        <f>EJ4*VLOOKUP('Données projet'!$B$15,Paramètres!$A$1:$I$89,3,0)*VLOOKUP('Données projet'!$B$15,Paramètres!$A$1:$I$89,5,0)</f>
        <v>0</v>
      </c>
      <c r="EL4" s="13" t="e">
        <f>EXP(-1.0587+0.8836*LN(EK4)+0.284)</f>
        <v>#NUM!</v>
      </c>
      <c r="EM4" s="20" t="e">
        <f t="shared" ref="EM4:EM67" si="19">(EK4+EL4)*0.475*44/12</f>
        <v>#NUM!</v>
      </c>
      <c r="EN4" s="59" t="e">
        <f t="shared" ref="EN4:EN67" si="20">EM4+(EE4+EF4)*44/12</f>
        <v>#NUM!</v>
      </c>
      <c r="EO4" s="59">
        <f ca="1">AVERAGE(OFFSET($EN$3,0,0,'Données projet'!$E$15+1,1))-AVERAGE(OFFSET($H$3,0,0,'Données projet'!$E$15+1,1))</f>
        <v>-18.333333333333343</v>
      </c>
      <c r="EP4" s="59">
        <f>$EP$3</f>
        <v>-18.333333333333343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3.887142857142857</v>
      </c>
      <c r="FE4" s="12">
        <f>IF('Données projet'!$A$218&gt;35,FE3+FD4-FM3,IF(A4&lt;'Données projet'!$A$218,$FB$205^A4,IF(A4='Données projet'!$A$218,'Données projet'!$B$218,FE3+FD4-FM3)))</f>
        <v>3.887142857142857</v>
      </c>
      <c r="FF4" s="17">
        <f>FE4*VLOOKUP('Données projet'!$B$16,Paramètres!$A$1:$I$89,3,0)*VLOOKUP('Données projet'!$B$16,Paramètres!$A$1:$I$89,5,0)</f>
        <v>3.7596445714285713</v>
      </c>
      <c r="FG4" s="13">
        <f>EXP(-1.0587+0.8836*LN(FF4)+0.284)</f>
        <v>1.4850865614549704</v>
      </c>
      <c r="FH4" s="20">
        <f t="shared" ref="FH4:FH67" si="22">(FF4+FG4)*0.475*44/12</f>
        <v>9.1345733897721697</v>
      </c>
      <c r="FI4" s="59">
        <f t="shared" ref="FI4:FI67" si="23">FH4+(EZ4+FA4)*44/12</f>
        <v>176.947007342696</v>
      </c>
      <c r="FJ4" s="59">
        <f ca="1">AVERAGE(OFFSET($FI$3,0,0,'Données projet'!$E$16+1,1))-AVERAGE(OFFSET($H$3,0,0,'Données projet'!$E$16+1,1))</f>
        <v>664.59451650228573</v>
      </c>
      <c r="FK4" s="59">
        <f>$FK$3</f>
        <v>304.44325029106631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6.7273684210526312</v>
      </c>
      <c r="N5" s="13">
        <f>IF('Données projet'!$A$36&gt;35,N4+M5-V4,IF(A5&lt;'Données projet'!$A$36,$K$205^A5,IF(A5='Données projet'!$A$36,'Données projet'!$B$36,N4+M5-V4)))</f>
        <v>1.6662771680540926</v>
      </c>
      <c r="O5" s="13">
        <f>N5*VLOOKUP('Données projet'!$B$9,Paramètres!$A$1:$I$89,3,0)*VLOOKUP('Données projet'!$B$9,Paramètres!$A$1:$I$89,5,0)</f>
        <v>0.99643374649634742</v>
      </c>
      <c r="P5" s="13">
        <f t="shared" ref="P5:P68" si="33">EXP(-1.0587+0.8836*LN(O5)+0.284)</f>
        <v>0.45938953262211651</v>
      </c>
      <c r="Q5" s="20">
        <f t="shared" si="2"/>
        <v>2.5355588777979912</v>
      </c>
      <c r="R5" s="59">
        <f t="shared" si="0"/>
        <v>173.13284016529883</v>
      </c>
      <c r="S5" s="59">
        <f ca="1">AVERAGE(OFFSET($R$3,0,0,'Données projet'!$E$9+1,1))-AVERAGE(OFFSET($H$3,0,0,'Données projet'!$E$9+1,1))</f>
        <v>460.88622650237176</v>
      </c>
      <c r="T5" s="59">
        <f t="shared" ref="T5:T68" si="34">$T$3</f>
        <v>396.05161661639647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9.9228571428571435</v>
      </c>
      <c r="AI5" s="13">
        <f>IF('Données projet'!$A$62&gt;35,AI4+AH5-AQ4,IF(A5&lt;'Données projet'!$A$62,$AF$205^A5,IF(A5='Données projet'!$A$62,'Données projet'!$B$62,AI4+AH5-AQ4)))</f>
        <v>19.845714285714287</v>
      </c>
      <c r="AJ5" s="13">
        <f>AI5*VLOOKUP('Données projet'!$B$10,Paramètres!$A$1:$I$89,3,0)*VLOOKUP('Données projet'!$B$10,Paramètres!$A$1:$I$89,5,0)</f>
        <v>9.2877942857142859</v>
      </c>
      <c r="AK5" s="13">
        <f t="shared" ref="AK5:AK68" si="35">EXP(-1.0587+0.8836*LN(AJ5)+0.284)</f>
        <v>3.3021715192899936</v>
      </c>
      <c r="AL5" s="20">
        <f t="shared" si="4"/>
        <v>21.927523777049117</v>
      </c>
      <c r="AM5" s="59">
        <f t="shared" si="5"/>
        <v>192.52480506454995</v>
      </c>
      <c r="AN5" s="59">
        <f ca="1">AVERAGE(OFFSET($AM$3,0,0,'Données projet'!$E$10+1,1))-AVERAGE(OFFSET($H$3,0,0,'Données projet'!$E$10+1,1))</f>
        <v>387.50901594883317</v>
      </c>
      <c r="AO5" s="59">
        <f t="shared" ref="AO5:AO68" si="36">$AO$3</f>
        <v>361.3623790401972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3.887142857142857</v>
      </c>
      <c r="BD5" s="12">
        <f>IF('Données projet'!$A$88&gt;35,BD4+BC5-BL4,IF(A5&lt;'Données projet'!$A$88,$BA$205^A5,IF(A5='Données projet'!$A$88,'Données projet'!$B$88,BD4+BC5-BL4)))</f>
        <v>7.774285714285714</v>
      </c>
      <c r="BE5" s="13">
        <f>BD5*VLOOKUP('Données projet'!$B$11,Paramètres!$A$1:$I$89,3,0)*VLOOKUP('Données projet'!$B$11,Paramètres!$A$1:$I$89,5,0)</f>
        <v>7.0341737142857141</v>
      </c>
      <c r="BF5" s="13">
        <f t="shared" ref="BF5:BF68" si="37">EXP(-1.0587+0.8836*LN(BE5)+0.284)</f>
        <v>2.5831495528484112</v>
      </c>
      <c r="BG5" s="20">
        <f t="shared" si="7"/>
        <v>16.750171356925268</v>
      </c>
      <c r="BH5" s="59">
        <f t="shared" si="8"/>
        <v>187.34745264442611</v>
      </c>
      <c r="BI5" s="59">
        <f ca="1">AVERAGE(OFFSET($BH$3,0,0,'Données projet'!$E$11+1,1))-AVERAGE(OFFSET($H$3,0,0,'Données projet'!$E$11+1,1))</f>
        <v>627.65081154031589</v>
      </c>
      <c r="BJ5" s="59">
        <f t="shared" ref="BJ5:BJ68" si="38">$BJ$3</f>
        <v>288.78083487077618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3.887142857142857</v>
      </c>
      <c r="BY5" s="12">
        <f>IF('Données projet'!$A$114&gt;35,BY4+BX5-CG4,IF(A5&lt;'Données projet'!$A$114,$BV$205^A5,IF(A5='Données projet'!$A$114,'Données projet'!$B$114,BY4+BX5-CG4)))</f>
        <v>7.774285714285714</v>
      </c>
      <c r="BZ5" s="13">
        <f>BY5*VLOOKUP('Données projet'!$B$12,Paramètres!$A$1:$I$89,3,0)*VLOOKUP('Données projet'!$B$12,Paramètres!$A$1:$I$89,5,0)</f>
        <v>7.8831257142857138</v>
      </c>
      <c r="CA5" s="13">
        <f t="shared" ref="CA5:CA68" si="39">EXP(-1.0587+0.8836*LN(BZ5)+0.284)</f>
        <v>2.8567669801437421</v>
      </c>
      <c r="CB5" s="20">
        <f t="shared" si="10"/>
        <v>18.705313109464633</v>
      </c>
      <c r="CC5" s="59">
        <f t="shared" si="11"/>
        <v>189.30259439696547</v>
      </c>
      <c r="CD5" s="59">
        <f ca="1">AVERAGE(OFFSET($CC$3,0,0,'Données projet'!$E$12+1,1))-AVERAGE(OFFSET($H$3,0,0,'Données projet'!$E$12+1,1))</f>
        <v>692.2706942067415</v>
      </c>
      <c r="CE5" s="59">
        <f t="shared" ref="CE5:CE68" si="40">$CE$3</f>
        <v>316.17529091924803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2.6285714285714286</v>
      </c>
      <c r="CT5" s="12">
        <f>IF('Données projet'!$A$140&gt;35,CT4+CS5-DB4,IF(A5&lt;'Données projet'!$A$140,$CQ$205^A5,IF(A5='Données projet'!$A$140,'Données projet'!$B$140,CT4+CS5-DB4)))</f>
        <v>1.2948410142404896</v>
      </c>
      <c r="CU5" s="17">
        <f>CT5*VLOOKUP('Données projet'!$B$13,Paramètres!$A$1:$I$89,3,0)*VLOOKUP('Données projet'!$B$13,Paramètres!$A$1:$I$89,5,0)</f>
        <v>1.2321707091512499</v>
      </c>
      <c r="CV5" s="13">
        <f t="shared" ref="CV5:CV68" si="41">EXP(-1.0587+0.8836*LN(CU5)+0.284)</f>
        <v>0.55420297784514216</v>
      </c>
      <c r="CW5" s="20">
        <f t="shared" si="13"/>
        <v>3.1112675048520493</v>
      </c>
      <c r="CX5" s="59">
        <f t="shared" si="14"/>
        <v>173.70854879235287</v>
      </c>
      <c r="CY5" s="59">
        <f ca="1">AVERAGE(OFFSET($CX$3,0,0,'Données projet'!$E$13+1,1))-AVERAGE(OFFSET($H$3,0,0,'Données projet'!$E$13+1,1))</f>
        <v>424.5933338095914</v>
      </c>
      <c r="CZ5" s="59">
        <f t="shared" ref="CZ5:CZ68" si="42">$CZ$3</f>
        <v>159.28977188196134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>
        <f>DO5*VLOOKUP('Données projet'!$B$14,Paramètres!$A$1:$I$89,3,0)*VLOOKUP('Données projet'!$B$14,Paramètres!$A$1:$I$89,5,0)</f>
        <v>0</v>
      </c>
      <c r="DQ5" s="13" t="e">
        <f t="shared" ref="DQ5:DQ68" si="43">EXP(-1.0587+0.8836*LN(DP5)+0.284)</f>
        <v>#NUM!</v>
      </c>
      <c r="DR5" s="20" t="e">
        <f t="shared" si="16"/>
        <v>#NUM!</v>
      </c>
      <c r="DS5" s="59" t="e">
        <f t="shared" si="17"/>
        <v>#NUM!</v>
      </c>
      <c r="DT5" s="59">
        <f ca="1">AVERAGE(OFFSET($DS$3,0,0,'Données projet'!$E$14+1,1))-AVERAGE(OFFSET($H$3,0,0,'Données projet'!$E$14+1,1))</f>
        <v>-18.333333333333343</v>
      </c>
      <c r="DU5" s="59">
        <f t="shared" ref="DU5:DU68" si="44">$DU$3</f>
        <v>-18.333333333333343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>
        <f>EJ5*VLOOKUP('Données projet'!$B$15,Paramètres!$A$1:$I$89,3,0)*VLOOKUP('Données projet'!$B$15,Paramètres!$A$1:$I$89,5,0)</f>
        <v>0</v>
      </c>
      <c r="EL5" s="13" t="e">
        <f t="shared" ref="EL5:EL68" si="45">EXP(-1.0587+0.8836*LN(EK5)+0.284)</f>
        <v>#NUM!</v>
      </c>
      <c r="EM5" s="20" t="e">
        <f t="shared" si="19"/>
        <v>#NUM!</v>
      </c>
      <c r="EN5" s="59" t="e">
        <f t="shared" si="20"/>
        <v>#NUM!</v>
      </c>
      <c r="EO5" s="59">
        <f ca="1">AVERAGE(OFFSET($EN$3,0,0,'Données projet'!$E$15+1,1))-AVERAGE(OFFSET($H$3,0,0,'Données projet'!$E$15+1,1))</f>
        <v>-18.333333333333343</v>
      </c>
      <c r="EP5" s="59">
        <f t="shared" ref="EP5:EP68" si="46">$EP$3</f>
        <v>-18.333333333333343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3.887142857142857</v>
      </c>
      <c r="FE5" s="12">
        <f>IF('Données projet'!$A$218&gt;35,FE4+FD5-FM4,IF(A5&lt;'Données projet'!$A$218,$FB$205^A5,IF(A5='Données projet'!$A$218,'Données projet'!$B$218,FE4+FD5-FM4)))</f>
        <v>7.774285714285714</v>
      </c>
      <c r="FF5" s="17">
        <f>FE5*VLOOKUP('Données projet'!$B$16,Paramètres!$A$1:$I$89,3,0)*VLOOKUP('Données projet'!$B$16,Paramètres!$A$1:$I$89,5,0)</f>
        <v>7.5192891428571427</v>
      </c>
      <c r="FG5" s="13">
        <f t="shared" ref="FG5:FG68" si="47">EXP(-1.0587+0.8836*LN(FF5)+0.284)</f>
        <v>2.7399451716160708</v>
      </c>
      <c r="FH5" s="20">
        <f t="shared" si="22"/>
        <v>17.868166431040844</v>
      </c>
      <c r="FI5" s="59">
        <f t="shared" si="23"/>
        <v>188.46544771854167</v>
      </c>
      <c r="FJ5" s="59">
        <f ca="1">AVERAGE(OFFSET($FI$3,0,0,'Données projet'!$E$16+1,1))-AVERAGE(OFFSET($H$3,0,0,'Données projet'!$E$16+1,1))</f>
        <v>664.59451650228573</v>
      </c>
      <c r="FK5" s="59">
        <f t="shared" ref="FK5:FK68" si="48">$FK$3</f>
        <v>304.44325029106631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6.7273684210526312</v>
      </c>
      <c r="N6" s="13">
        <f>IF('Données projet'!$A$36&gt;35,N5+M6-V5,IF(A6&lt;'Données projet'!$A$36,$K$205^A6,IF(A6='Données projet'!$A$36,'Données projet'!$B$36,N5+M6-V5)))</f>
        <v>2.1509031978089892</v>
      </c>
      <c r="O6" s="13">
        <f>N6*VLOOKUP('Données projet'!$B$9,Paramètres!$A$1:$I$89,3,0)*VLOOKUP('Données projet'!$B$9,Paramètres!$A$1:$I$89,5,0)</f>
        <v>1.2862401122897757</v>
      </c>
      <c r="P6" s="13">
        <f t="shared" si="33"/>
        <v>0.57563743266623835</v>
      </c>
      <c r="Q6" s="20">
        <f t="shared" si="2"/>
        <v>3.2427700574650582</v>
      </c>
      <c r="R6" s="59">
        <f t="shared" si="0"/>
        <v>176.59779062734995</v>
      </c>
      <c r="S6" s="59">
        <f ca="1">AVERAGE(OFFSET($R$3,0,0,'Données projet'!$E$9+1,1))-AVERAGE(OFFSET($H$3,0,0,'Données projet'!$E$9+1,1))</f>
        <v>460.88622650237176</v>
      </c>
      <c r="T6" s="59">
        <f t="shared" si="34"/>
        <v>396.05161661639647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9.9228571428571435</v>
      </c>
      <c r="AI6" s="13">
        <f>IF('Données projet'!$A$62&gt;35,AI5+AH6-AQ5,IF(A6&lt;'Données projet'!$A$62,$AF$205^A6,IF(A6='Données projet'!$A$62,'Données projet'!$B$62,AI5+AH6-AQ5)))</f>
        <v>29.76857142857143</v>
      </c>
      <c r="AJ6" s="13">
        <f>AI6*VLOOKUP('Données projet'!$B$10,Paramètres!$A$1:$I$89,3,0)*VLOOKUP('Données projet'!$B$10,Paramètres!$A$1:$I$89,5,0)</f>
        <v>13.93169142857143</v>
      </c>
      <c r="AK6" s="13">
        <f t="shared" si="35"/>
        <v>4.7249135181182051</v>
      </c>
      <c r="AL6" s="20">
        <f t="shared" si="4"/>
        <v>32.493586948817772</v>
      </c>
      <c r="AM6" s="59">
        <f t="shared" si="5"/>
        <v>205.84860751870266</v>
      </c>
      <c r="AN6" s="59">
        <f ca="1">AVERAGE(OFFSET($AM$3,0,0,'Données projet'!$E$10+1,1))-AVERAGE(OFFSET($H$3,0,0,'Données projet'!$E$10+1,1))</f>
        <v>387.50901594883317</v>
      </c>
      <c r="AO6" s="59">
        <f t="shared" si="36"/>
        <v>361.3623790401972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3.887142857142857</v>
      </c>
      <c r="BD6" s="12">
        <f>IF('Données projet'!$A$88&gt;35,BD5+BC6-BL5,IF(A6&lt;'Données projet'!$A$88,$BA$205^A6,IF(A6='Données projet'!$A$88,'Données projet'!$B$88,BD5+BC6-BL5)))</f>
        <v>11.661428571428571</v>
      </c>
      <c r="BE6" s="13">
        <f>BD6*VLOOKUP('Données projet'!$B$11,Paramètres!$A$1:$I$89,3,0)*VLOOKUP('Données projet'!$B$11,Paramètres!$A$1:$I$89,5,0)</f>
        <v>10.551260571428571</v>
      </c>
      <c r="BF6" s="13">
        <f t="shared" si="37"/>
        <v>3.6961006326523931</v>
      </c>
      <c r="BG6" s="20">
        <f t="shared" si="7"/>
        <v>24.814154097107675</v>
      </c>
      <c r="BH6" s="59">
        <f t="shared" si="8"/>
        <v>198.16917466699255</v>
      </c>
      <c r="BI6" s="59">
        <f ca="1">AVERAGE(OFFSET($BH$3,0,0,'Données projet'!$E$11+1,1))-AVERAGE(OFFSET($H$3,0,0,'Données projet'!$E$11+1,1))</f>
        <v>627.65081154031589</v>
      </c>
      <c r="BJ6" s="59">
        <f t="shared" si="38"/>
        <v>288.78083487077618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3.887142857142857</v>
      </c>
      <c r="BY6" s="12">
        <f>IF('Données projet'!$A$114&gt;35,BY5+BX6-CG5,IF(A6&lt;'Données projet'!$A$114,$BV$205^A6,IF(A6='Données projet'!$A$114,'Données projet'!$B$114,BY5+BX6-CG5)))</f>
        <v>11.661428571428571</v>
      </c>
      <c r="BZ6" s="13">
        <f>BY6*VLOOKUP('Données projet'!$B$12,Paramètres!$A$1:$I$89,3,0)*VLOOKUP('Données projet'!$B$12,Paramètres!$A$1:$I$89,5,0)</f>
        <v>11.824688571428572</v>
      </c>
      <c r="CA6" s="13">
        <f t="shared" si="39"/>
        <v>4.0876062444803347</v>
      </c>
      <c r="CB6" s="20">
        <f t="shared" si="10"/>
        <v>27.713913471041348</v>
      </c>
      <c r="CC6" s="59">
        <f t="shared" si="11"/>
        <v>201.06893404092622</v>
      </c>
      <c r="CD6" s="59">
        <f ca="1">AVERAGE(OFFSET($CC$3,0,0,'Données projet'!$E$12+1,1))-AVERAGE(OFFSET($H$3,0,0,'Données projet'!$E$12+1,1))</f>
        <v>692.2706942067415</v>
      </c>
      <c r="CE6" s="59">
        <f t="shared" si="40"/>
        <v>316.17529091924803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2.6285714285714286</v>
      </c>
      <c r="CT6" s="12">
        <f>IF('Données projet'!$A$140&gt;35,CT5+CS6-DB5,IF(A6&lt;'Données projet'!$A$140,$CQ$205^A6,IF(A6='Données projet'!$A$140,'Données projet'!$B$140,CT5+CS6-DB5)))</f>
        <v>1.4734135888863811</v>
      </c>
      <c r="CU6" s="17">
        <f>CT6*VLOOKUP('Données projet'!$B$13,Paramètres!$A$1:$I$89,3,0)*VLOOKUP('Données projet'!$B$13,Paramètres!$A$1:$I$89,5,0)</f>
        <v>1.4021003711842803</v>
      </c>
      <c r="CV6" s="13">
        <f t="shared" si="41"/>
        <v>0.62122093283493363</v>
      </c>
      <c r="CW6" s="20">
        <f t="shared" si="13"/>
        <v>3.5239512711667977</v>
      </c>
      <c r="CX6" s="59">
        <f t="shared" si="14"/>
        <v>176.87897184105168</v>
      </c>
      <c r="CY6" s="59">
        <f ca="1">AVERAGE(OFFSET($CX$3,0,0,'Données projet'!$E$13+1,1))-AVERAGE(OFFSET($H$3,0,0,'Données projet'!$E$13+1,1))</f>
        <v>424.5933338095914</v>
      </c>
      <c r="CZ6" s="59">
        <f t="shared" si="42"/>
        <v>159.28977188196134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>
        <f>DO6*VLOOKUP('Données projet'!$B$14,Paramètres!$A$1:$I$89,3,0)*VLOOKUP('Données projet'!$B$14,Paramètres!$A$1:$I$89,5,0)</f>
        <v>0</v>
      </c>
      <c r="DQ6" s="13" t="e">
        <f t="shared" si="43"/>
        <v>#NUM!</v>
      </c>
      <c r="DR6" s="20" t="e">
        <f t="shared" si="16"/>
        <v>#NUM!</v>
      </c>
      <c r="DS6" s="59" t="e">
        <f t="shared" si="17"/>
        <v>#NUM!</v>
      </c>
      <c r="DT6" s="59">
        <f ca="1">AVERAGE(OFFSET($DS$3,0,0,'Données projet'!$E$14+1,1))-AVERAGE(OFFSET($H$3,0,0,'Données projet'!$E$14+1,1))</f>
        <v>-18.333333333333343</v>
      </c>
      <c r="DU6" s="59">
        <f t="shared" si="44"/>
        <v>-18.333333333333343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>
        <f>EJ6*VLOOKUP('Données projet'!$B$15,Paramètres!$A$1:$I$89,3,0)*VLOOKUP('Données projet'!$B$15,Paramètres!$A$1:$I$89,5,0)</f>
        <v>0</v>
      </c>
      <c r="EL6" s="13" t="e">
        <f t="shared" si="45"/>
        <v>#NUM!</v>
      </c>
      <c r="EM6" s="20" t="e">
        <f t="shared" si="19"/>
        <v>#NUM!</v>
      </c>
      <c r="EN6" s="59" t="e">
        <f t="shared" si="20"/>
        <v>#NUM!</v>
      </c>
      <c r="EO6" s="59">
        <f ca="1">AVERAGE(OFFSET($EN$3,0,0,'Données projet'!$E$15+1,1))-AVERAGE(OFFSET($H$3,0,0,'Données projet'!$E$15+1,1))</f>
        <v>-18.333333333333343</v>
      </c>
      <c r="EP6" s="59">
        <f t="shared" si="46"/>
        <v>-18.333333333333343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3.887142857142857</v>
      </c>
      <c r="FE6" s="12">
        <f>IF('Données projet'!$A$218&gt;35,FE5+FD6-FM5,IF(A6&lt;'Données projet'!$A$218,$FB$205^A6,IF(A6='Données projet'!$A$218,'Données projet'!$B$218,FE5+FD6-FM5)))</f>
        <v>11.661428571428571</v>
      </c>
      <c r="FF6" s="17">
        <f>FE6*VLOOKUP('Données projet'!$B$16,Paramètres!$A$1:$I$89,3,0)*VLOOKUP('Données projet'!$B$16,Paramètres!$A$1:$I$89,5,0)</f>
        <v>11.278933714285714</v>
      </c>
      <c r="FG6" s="13">
        <f t="shared" si="47"/>
        <v>3.9204517102294627</v>
      </c>
      <c r="FH6" s="20">
        <f t="shared" si="22"/>
        <v>26.472262947697264</v>
      </c>
      <c r="FI6" s="59">
        <f t="shared" si="23"/>
        <v>199.82728351758215</v>
      </c>
      <c r="FJ6" s="59">
        <f ca="1">AVERAGE(OFFSET($FI$3,0,0,'Données projet'!$E$16+1,1))-AVERAGE(OFFSET($H$3,0,0,'Données projet'!$E$16+1,1))</f>
        <v>664.59451650228573</v>
      </c>
      <c r="FK6" s="59">
        <f t="shared" si="48"/>
        <v>304.44325029106631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6.7273684210526312</v>
      </c>
      <c r="N7" s="13">
        <f>IF('Données projet'!$A$36&gt;35,N6+M7-V6,IF(A7&lt;'Données projet'!$A$36,$K$205^A7,IF(A7='Données projet'!$A$36,'Données projet'!$B$36,N6+M7-V6)))</f>
        <v>2.7764796007783668</v>
      </c>
      <c r="O7" s="13">
        <f>N7*VLOOKUP('Données projet'!$B$9,Paramètres!$A$1:$I$89,3,0)*VLOOKUP('Données projet'!$B$9,Paramètres!$A$1:$I$89,5,0)</f>
        <v>1.6603348012654635</v>
      </c>
      <c r="P7" s="13">
        <f t="shared" si="33"/>
        <v>0.7213017066262718</v>
      </c>
      <c r="Q7" s="20">
        <f t="shared" si="2"/>
        <v>4.1480169179114386</v>
      </c>
      <c r="R7" s="59">
        <f t="shared" si="0"/>
        <v>180.23413898208838</v>
      </c>
      <c r="S7" s="59">
        <f ca="1">AVERAGE(OFFSET($R$3,0,0,'Données projet'!$E$9+1,1))-AVERAGE(OFFSET($H$3,0,0,'Données projet'!$E$9+1,1))</f>
        <v>460.88622650237176</v>
      </c>
      <c r="T7" s="59">
        <f t="shared" si="34"/>
        <v>396.05161661639647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9.9228571428571435</v>
      </c>
      <c r="AI7" s="13">
        <f>IF('Données projet'!$A$62&gt;35,AI6+AH7-AQ6,IF(A7&lt;'Données projet'!$A$62,$AF$205^A7,IF(A7='Données projet'!$A$62,'Données projet'!$B$62,AI6+AH7-AQ6)))</f>
        <v>39.691428571428574</v>
      </c>
      <c r="AJ7" s="13">
        <f>AI7*VLOOKUP('Données projet'!$B$10,Paramètres!$A$1:$I$89,3,0)*VLOOKUP('Données projet'!$B$10,Paramètres!$A$1:$I$89,5,0)</f>
        <v>18.575588571428572</v>
      </c>
      <c r="AK7" s="13">
        <f t="shared" si="35"/>
        <v>6.0924185464734348</v>
      </c>
      <c r="AL7" s="20">
        <f t="shared" si="4"/>
        <v>42.963445730345995</v>
      </c>
      <c r="AM7" s="59">
        <f t="shared" si="5"/>
        <v>219.04956779452294</v>
      </c>
      <c r="AN7" s="59">
        <f ca="1">AVERAGE(OFFSET($AM$3,0,0,'Données projet'!$E$10+1,1))-AVERAGE(OFFSET($H$3,0,0,'Données projet'!$E$10+1,1))</f>
        <v>387.50901594883317</v>
      </c>
      <c r="AO7" s="59">
        <f t="shared" si="36"/>
        <v>361.3623790401972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3.887142857142857</v>
      </c>
      <c r="BD7" s="12">
        <f>IF('Données projet'!$A$88&gt;35,BD6+BC7-BL6,IF(A7&lt;'Données projet'!$A$88,$BA$205^A7,IF(A7='Données projet'!$A$88,'Données projet'!$B$88,BD6+BC7-BL6)))</f>
        <v>15.548571428571428</v>
      </c>
      <c r="BE7" s="13">
        <f>BD7*VLOOKUP('Données projet'!$B$11,Paramètres!$A$1:$I$89,3,0)*VLOOKUP('Données projet'!$B$11,Paramètres!$A$1:$I$89,5,0)</f>
        <v>14.068347428571428</v>
      </c>
      <c r="BF7" s="13">
        <f t="shared" si="37"/>
        <v>4.7658421593654818</v>
      </c>
      <c r="BG7" s="20">
        <f t="shared" si="7"/>
        <v>32.802880198990124</v>
      </c>
      <c r="BH7" s="59">
        <f t="shared" si="8"/>
        <v>208.88900226316707</v>
      </c>
      <c r="BI7" s="59">
        <f ca="1">AVERAGE(OFFSET($BH$3,0,0,'Données projet'!$E$11+1,1))-AVERAGE(OFFSET($H$3,0,0,'Données projet'!$E$11+1,1))</f>
        <v>627.65081154031589</v>
      </c>
      <c r="BJ7" s="59">
        <f t="shared" si="38"/>
        <v>288.78083487077618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3.887142857142857</v>
      </c>
      <c r="BY7" s="12">
        <f>IF('Données projet'!$A$114&gt;35,BY6+BX7-CG6,IF(A7&lt;'Données projet'!$A$114,$BV$205^A7,IF(A7='Données projet'!$A$114,'Données projet'!$B$114,BY6+BX7-CG6)))</f>
        <v>15.548571428571428</v>
      </c>
      <c r="BZ7" s="13">
        <f>BY7*VLOOKUP('Données projet'!$B$12,Paramètres!$A$1:$I$89,3,0)*VLOOKUP('Données projet'!$B$12,Paramètres!$A$1:$I$89,5,0)</f>
        <v>15.766251428571428</v>
      </c>
      <c r="CA7" s="13">
        <f t="shared" si="39"/>
        <v>5.2706590287965538</v>
      </c>
      <c r="CB7" s="20">
        <f t="shared" si="10"/>
        <v>36.63928571324923</v>
      </c>
      <c r="CC7" s="59">
        <f t="shared" si="11"/>
        <v>212.72540777742617</v>
      </c>
      <c r="CD7" s="59">
        <f ca="1">AVERAGE(OFFSET($CC$3,0,0,'Données projet'!$E$12+1,1))-AVERAGE(OFFSET($H$3,0,0,'Données projet'!$E$12+1,1))</f>
        <v>692.2706942067415</v>
      </c>
      <c r="CE7" s="59">
        <f t="shared" si="40"/>
        <v>316.17529091924803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2.6285714285714286</v>
      </c>
      <c r="CT7" s="12">
        <f>IF('Données projet'!$A$140&gt;35,CT6+CS7-DB6,IF(A7&lt;'Données projet'!$A$140,$CQ$205^A7,IF(A7='Données projet'!$A$140,'Données projet'!$B$140,CT6+CS7-DB6)))</f>
        <v>1.6766132521593398</v>
      </c>
      <c r="CU7" s="17">
        <f>CT7*VLOOKUP('Données projet'!$B$13,Paramètres!$A$1:$I$89,3,0)*VLOOKUP('Données projet'!$B$13,Paramètres!$A$1:$I$89,5,0)</f>
        <v>1.5954651707548277</v>
      </c>
      <c r="CV7" s="13">
        <f t="shared" si="41"/>
        <v>0.69634315010869385</v>
      </c>
      <c r="CW7" s="20">
        <f t="shared" si="13"/>
        <v>3.9915661588372999</v>
      </c>
      <c r="CX7" s="59">
        <f t="shared" si="14"/>
        <v>180.07768822301423</v>
      </c>
      <c r="CY7" s="59">
        <f ca="1">AVERAGE(OFFSET($CX$3,0,0,'Données projet'!$E$13+1,1))-AVERAGE(OFFSET($H$3,0,0,'Données projet'!$E$13+1,1))</f>
        <v>424.5933338095914</v>
      </c>
      <c r="CZ7" s="59">
        <f t="shared" si="42"/>
        <v>159.28977188196134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>
        <f>DO7*VLOOKUP('Données projet'!$B$14,Paramètres!$A$1:$I$89,3,0)*VLOOKUP('Données projet'!$B$14,Paramètres!$A$1:$I$89,5,0)</f>
        <v>0</v>
      </c>
      <c r="DQ7" s="13" t="e">
        <f t="shared" si="43"/>
        <v>#NUM!</v>
      </c>
      <c r="DR7" s="20" t="e">
        <f t="shared" si="16"/>
        <v>#NUM!</v>
      </c>
      <c r="DS7" s="59" t="e">
        <f t="shared" si="17"/>
        <v>#NUM!</v>
      </c>
      <c r="DT7" s="59">
        <f ca="1">AVERAGE(OFFSET($DS$3,0,0,'Données projet'!$E$14+1,1))-AVERAGE(OFFSET($H$3,0,0,'Données projet'!$E$14+1,1))</f>
        <v>-18.333333333333343</v>
      </c>
      <c r="DU7" s="59">
        <f t="shared" si="44"/>
        <v>-18.333333333333343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>
        <f>EJ7*VLOOKUP('Données projet'!$B$15,Paramètres!$A$1:$I$89,3,0)*VLOOKUP('Données projet'!$B$15,Paramètres!$A$1:$I$89,5,0)</f>
        <v>0</v>
      </c>
      <c r="EL7" s="13" t="e">
        <f t="shared" si="45"/>
        <v>#NUM!</v>
      </c>
      <c r="EM7" s="20" t="e">
        <f t="shared" si="19"/>
        <v>#NUM!</v>
      </c>
      <c r="EN7" s="59" t="e">
        <f t="shared" si="20"/>
        <v>#NUM!</v>
      </c>
      <c r="EO7" s="59">
        <f ca="1">AVERAGE(OFFSET($EN$3,0,0,'Données projet'!$E$15+1,1))-AVERAGE(OFFSET($H$3,0,0,'Données projet'!$E$15+1,1))</f>
        <v>-18.333333333333343</v>
      </c>
      <c r="EP7" s="59">
        <f t="shared" si="46"/>
        <v>-18.333333333333343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3.887142857142857</v>
      </c>
      <c r="FE7" s="12">
        <f>IF('Données projet'!$A$218&gt;35,FE6+FD7-FM6,IF(A7&lt;'Données projet'!$A$218,$FB$205^A7,IF(A7='Données projet'!$A$218,'Données projet'!$B$218,FE6+FD7-FM6)))</f>
        <v>15.548571428571428</v>
      </c>
      <c r="FF7" s="17">
        <f>FE7*VLOOKUP('Données projet'!$B$16,Paramètres!$A$1:$I$89,3,0)*VLOOKUP('Données projet'!$B$16,Paramètres!$A$1:$I$89,5,0)</f>
        <v>15.038578285714285</v>
      </c>
      <c r="FG7" s="13">
        <f t="shared" si="47"/>
        <v>5.0551259019589807</v>
      </c>
      <c r="FH7" s="20">
        <f t="shared" si="22"/>
        <v>34.996534793530941</v>
      </c>
      <c r="FI7" s="59">
        <f t="shared" si="23"/>
        <v>211.08265685770789</v>
      </c>
      <c r="FJ7" s="59">
        <f ca="1">AVERAGE(OFFSET($FI$3,0,0,'Données projet'!$E$16+1,1))-AVERAGE(OFFSET($H$3,0,0,'Données projet'!$E$16+1,1))</f>
        <v>664.59451650228573</v>
      </c>
      <c r="FK7" s="59">
        <f t="shared" si="48"/>
        <v>304.44325029106631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6.7273684210526312</v>
      </c>
      <c r="N8" s="13">
        <f>IF('Données projet'!$A$36&gt;35,N7+M8-V7,IF(A8&lt;'Données projet'!$A$36,$K$205^A8,IF(A8='Données projet'!$A$36,'Données projet'!$B$36,N7+M8-V7)))</f>
        <v>3.5840008892036539</v>
      </c>
      <c r="O8" s="13">
        <f>N8*VLOOKUP('Données projet'!$B$9,Paramètres!$A$1:$I$89,3,0)*VLOOKUP('Données projet'!$B$9,Paramètres!$A$1:$I$89,5,0)</f>
        <v>2.1432325317437853</v>
      </c>
      <c r="P8" s="13">
        <f t="shared" si="33"/>
        <v>0.90382612814485752</v>
      </c>
      <c r="Q8" s="20">
        <f t="shared" si="2"/>
        <v>5.3069604993060517</v>
      </c>
      <c r="R8" s="59">
        <f t="shared" si="0"/>
        <v>184.09800837575341</v>
      </c>
      <c r="S8" s="59">
        <f ca="1">AVERAGE(OFFSET($R$3,0,0,'Données projet'!$E$9+1,1))-AVERAGE(OFFSET($H$3,0,0,'Données projet'!$E$9+1,1))</f>
        <v>460.88622650237176</v>
      </c>
      <c r="T8" s="59">
        <f t="shared" si="34"/>
        <v>396.05161661639647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9.9228571428571435</v>
      </c>
      <c r="AI8" s="13">
        <f>IF('Données projet'!$A$62&gt;35,AI7+AH8-AQ7,IF(A8&lt;'Données projet'!$A$62,$AF$205^A8,IF(A8='Données projet'!$A$62,'Données projet'!$B$62,AI7+AH8-AQ7)))</f>
        <v>49.614285714285714</v>
      </c>
      <c r="AJ8" s="13">
        <f>AI8*VLOOKUP('Données projet'!$B$10,Paramètres!$A$1:$I$89,3,0)*VLOOKUP('Données projet'!$B$10,Paramètres!$A$1:$I$89,5,0)</f>
        <v>23.219485714285714</v>
      </c>
      <c r="AK8" s="13">
        <f t="shared" si="35"/>
        <v>7.4202650598578179</v>
      </c>
      <c r="AL8" s="20">
        <f t="shared" si="4"/>
        <v>53.364232598299985</v>
      </c>
      <c r="AM8" s="59">
        <f t="shared" si="5"/>
        <v>232.15528047474734</v>
      </c>
      <c r="AN8" s="59">
        <f ca="1">AVERAGE(OFFSET($AM$3,0,0,'Données projet'!$E$10+1,1))-AVERAGE(OFFSET($H$3,0,0,'Données projet'!$E$10+1,1))</f>
        <v>387.50901594883317</v>
      </c>
      <c r="AO8" s="59">
        <f t="shared" si="36"/>
        <v>361.3623790401972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3.887142857142857</v>
      </c>
      <c r="BD8" s="12">
        <f>IF('Données projet'!$A$88&gt;35,BD7+BC8-BL7,IF(A8&lt;'Données projet'!$A$88,$BA$205^A8,IF(A8='Données projet'!$A$88,'Données projet'!$B$88,BD7+BC8-BL7)))</f>
        <v>19.435714285714283</v>
      </c>
      <c r="BE8" s="13">
        <f>BD8*VLOOKUP('Données projet'!$B$11,Paramètres!$A$1:$I$89,3,0)*VLOOKUP('Données projet'!$B$11,Paramètres!$A$1:$I$89,5,0)</f>
        <v>17.585434285714282</v>
      </c>
      <c r="BF8" s="13">
        <f t="shared" si="37"/>
        <v>5.804560501905633</v>
      </c>
      <c r="BG8" s="20">
        <f t="shared" si="7"/>
        <v>40.737574255104683</v>
      </c>
      <c r="BH8" s="59">
        <f t="shared" si="8"/>
        <v>219.52862213155203</v>
      </c>
      <c r="BI8" s="59">
        <f ca="1">AVERAGE(OFFSET($BH$3,0,0,'Données projet'!$E$11+1,1))-AVERAGE(OFFSET($H$3,0,0,'Données projet'!$E$11+1,1))</f>
        <v>627.65081154031589</v>
      </c>
      <c r="BJ8" s="59">
        <f t="shared" si="38"/>
        <v>288.78083487077618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3.887142857142857</v>
      </c>
      <c r="BY8" s="12">
        <f>IF('Données projet'!$A$114&gt;35,BY7+BX8-CG7,IF(A8&lt;'Données projet'!$A$114,$BV$205^A8,IF(A8='Données projet'!$A$114,'Données projet'!$B$114,BY7+BX8-CG7)))</f>
        <v>19.435714285714283</v>
      </c>
      <c r="BZ8" s="13">
        <f>BY8*VLOOKUP('Données projet'!$B$12,Paramètres!$A$1:$I$89,3,0)*VLOOKUP('Données projet'!$B$12,Paramètres!$A$1:$I$89,5,0)</f>
        <v>19.707814285714285</v>
      </c>
      <c r="CA8" s="13">
        <f t="shared" si="39"/>
        <v>6.4194025304518281</v>
      </c>
      <c r="CB8" s="20">
        <f t="shared" si="10"/>
        <v>45.504902621489315</v>
      </c>
      <c r="CC8" s="59">
        <f t="shared" si="11"/>
        <v>224.29595049793667</v>
      </c>
      <c r="CD8" s="59">
        <f ca="1">AVERAGE(OFFSET($CC$3,0,0,'Données projet'!$E$12+1,1))-AVERAGE(OFFSET($H$3,0,0,'Données projet'!$E$12+1,1))</f>
        <v>692.2706942067415</v>
      </c>
      <c r="CE8" s="59">
        <f t="shared" si="40"/>
        <v>316.17529091924803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2.6285714285714286</v>
      </c>
      <c r="CT8" s="12">
        <f>IF('Données projet'!$A$140&gt;35,CT7+CS8-DB7,IF(A8&lt;'Données projet'!$A$140,$CQ$205^A8,IF(A8='Données projet'!$A$140,'Données projet'!$B$140,CT7+CS8-DB7)))</f>
        <v>1.9078363458293612</v>
      </c>
      <c r="CU8" s="17">
        <f>CT8*VLOOKUP('Données projet'!$B$13,Paramètres!$A$1:$I$89,3,0)*VLOOKUP('Données projet'!$B$13,Paramètres!$A$1:$I$89,5,0)</f>
        <v>1.8154970666912202</v>
      </c>
      <c r="CV8" s="13">
        <f t="shared" si="41"/>
        <v>0.78054965161990364</v>
      </c>
      <c r="CW8" s="20">
        <f t="shared" si="13"/>
        <v>4.5214480343918737</v>
      </c>
      <c r="CX8" s="59">
        <f t="shared" si="14"/>
        <v>183.31249591083923</v>
      </c>
      <c r="CY8" s="59">
        <f ca="1">AVERAGE(OFFSET($CX$3,0,0,'Données projet'!$E$13+1,1))-AVERAGE(OFFSET($H$3,0,0,'Données projet'!$E$13+1,1))</f>
        <v>424.5933338095914</v>
      </c>
      <c r="CZ8" s="59">
        <f t="shared" si="42"/>
        <v>159.28977188196134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>
        <f>DO8*VLOOKUP('Données projet'!$B$14,Paramètres!$A$1:$I$89,3,0)*VLOOKUP('Données projet'!$B$14,Paramètres!$A$1:$I$89,5,0)</f>
        <v>0</v>
      </c>
      <c r="DQ8" s="13" t="e">
        <f t="shared" si="43"/>
        <v>#NUM!</v>
      </c>
      <c r="DR8" s="20" t="e">
        <f t="shared" si="16"/>
        <v>#NUM!</v>
      </c>
      <c r="DS8" s="59" t="e">
        <f t="shared" si="17"/>
        <v>#NUM!</v>
      </c>
      <c r="DT8" s="59">
        <f ca="1">AVERAGE(OFFSET($DS$3,0,0,'Données projet'!$E$14+1,1))-AVERAGE(OFFSET($H$3,0,0,'Données projet'!$E$14+1,1))</f>
        <v>-18.333333333333343</v>
      </c>
      <c r="DU8" s="59">
        <f t="shared" si="44"/>
        <v>-18.333333333333343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>
        <f>EJ8*VLOOKUP('Données projet'!$B$15,Paramètres!$A$1:$I$89,3,0)*VLOOKUP('Données projet'!$B$15,Paramètres!$A$1:$I$89,5,0)</f>
        <v>0</v>
      </c>
      <c r="EL8" s="13" t="e">
        <f t="shared" si="45"/>
        <v>#NUM!</v>
      </c>
      <c r="EM8" s="20" t="e">
        <f t="shared" si="19"/>
        <v>#NUM!</v>
      </c>
      <c r="EN8" s="59" t="e">
        <f t="shared" si="20"/>
        <v>#NUM!</v>
      </c>
      <c r="EO8" s="59">
        <f ca="1">AVERAGE(OFFSET($EN$3,0,0,'Données projet'!$E$15+1,1))-AVERAGE(OFFSET($H$3,0,0,'Données projet'!$E$15+1,1))</f>
        <v>-18.333333333333343</v>
      </c>
      <c r="EP8" s="59">
        <f t="shared" si="46"/>
        <v>-18.333333333333343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3.887142857142857</v>
      </c>
      <c r="FE8" s="12">
        <f>IF('Données projet'!$A$218&gt;35,FE7+FD8-FM7,IF(A8&lt;'Données projet'!$A$218,$FB$205^A8,IF(A8='Données projet'!$A$218,'Données projet'!$B$218,FE7+FD8-FM7)))</f>
        <v>19.435714285714283</v>
      </c>
      <c r="FF8" s="17">
        <f>FE8*VLOOKUP('Données projet'!$B$16,Paramètres!$A$1:$I$89,3,0)*VLOOKUP('Données projet'!$B$16,Paramètres!$A$1:$I$89,5,0)</f>
        <v>18.798222857142854</v>
      </c>
      <c r="FG8" s="13">
        <f t="shared" si="47"/>
        <v>6.1568938209606667</v>
      </c>
      <c r="FH8" s="20">
        <f t="shared" si="22"/>
        <v>43.4634948810303</v>
      </c>
      <c r="FI8" s="59">
        <f t="shared" si="23"/>
        <v>222.25454275747765</v>
      </c>
      <c r="FJ8" s="59">
        <f ca="1">AVERAGE(OFFSET($FI$3,0,0,'Données projet'!$E$16+1,1))-AVERAGE(OFFSET($H$3,0,0,'Données projet'!$E$16+1,1))</f>
        <v>664.59451650228573</v>
      </c>
      <c r="FK8" s="59">
        <f t="shared" si="48"/>
        <v>304.44325029106631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6.7273684210526312</v>
      </c>
      <c r="N9" s="13">
        <f>IF('Données projet'!$A$36&gt;35,N8+M9-V8,IF(A9&lt;'Données projet'!$A$36,$K$205^A9,IF(A9='Données projet'!$A$36,'Données projet'!$B$36,N8+M9-V8)))</f>
        <v>4.6263845663449343</v>
      </c>
      <c r="O9" s="13">
        <f>N9*VLOOKUP('Données projet'!$B$9,Paramètres!$A$1:$I$89,3,0)*VLOOKUP('Données projet'!$B$9,Paramètres!$A$1:$I$89,5,0)</f>
        <v>2.766577970674271</v>
      </c>
      <c r="P9" s="13">
        <f t="shared" si="33"/>
        <v>1.1325381077194452</v>
      </c>
      <c r="Q9" s="20">
        <f t="shared" si="2"/>
        <v>6.7909605032023883</v>
      </c>
      <c r="R9" s="59">
        <f t="shared" si="0"/>
        <v>188.26121259946137</v>
      </c>
      <c r="S9" s="59">
        <f ca="1">AVERAGE(OFFSET($R$3,0,0,'Données projet'!$E$9+1,1))-AVERAGE(OFFSET($H$3,0,0,'Données projet'!$E$9+1,1))</f>
        <v>460.88622650237176</v>
      </c>
      <c r="T9" s="59">
        <f t="shared" si="34"/>
        <v>396.05161661639647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9.9228571428571435</v>
      </c>
      <c r="AI9" s="13">
        <f>IF('Données projet'!$A$62&gt;35,AI8+AH9-AQ8,IF(A9&lt;'Données projet'!$A$62,$AF$205^A9,IF(A9='Données projet'!$A$62,'Données projet'!$B$62,AI8+AH9-AQ8)))</f>
        <v>59.537142857142854</v>
      </c>
      <c r="AJ9" s="13">
        <f>AI9*VLOOKUP('Données projet'!$B$10,Paramètres!$A$1:$I$89,3,0)*VLOOKUP('Données projet'!$B$10,Paramètres!$A$1:$I$89,5,0)</f>
        <v>27.863382857142856</v>
      </c>
      <c r="AK9" s="13">
        <f t="shared" si="35"/>
        <v>8.7173396597084576</v>
      </c>
      <c r="AL9" s="20">
        <f t="shared" si="4"/>
        <v>63.71142505018269</v>
      </c>
      <c r="AM9" s="59">
        <f t="shared" si="5"/>
        <v>245.18167714644167</v>
      </c>
      <c r="AN9" s="59">
        <f ca="1">AVERAGE(OFFSET($AM$3,0,0,'Données projet'!$E$10+1,1))-AVERAGE(OFFSET($H$3,0,0,'Données projet'!$E$10+1,1))</f>
        <v>387.50901594883317</v>
      </c>
      <c r="AO9" s="59">
        <f t="shared" si="36"/>
        <v>361.3623790401972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3.887142857142857</v>
      </c>
      <c r="BD9" s="12">
        <f>IF('Données projet'!$A$88&gt;35,BD8+BC9-BL8,IF(A9&lt;'Données projet'!$A$88,$BA$205^A9,IF(A9='Données projet'!$A$88,'Données projet'!$B$88,BD8+BC9-BL8)))</f>
        <v>23.322857142857139</v>
      </c>
      <c r="BE9" s="13">
        <f>BD9*VLOOKUP('Données projet'!$B$11,Paramètres!$A$1:$I$89,3,0)*VLOOKUP('Données projet'!$B$11,Paramètres!$A$1:$I$89,5,0)</f>
        <v>21.102521142857139</v>
      </c>
      <c r="BF9" s="13">
        <f t="shared" si="37"/>
        <v>6.8192072738987575</v>
      </c>
      <c r="BG9" s="20">
        <f t="shared" si="7"/>
        <v>48.630343659183183</v>
      </c>
      <c r="BH9" s="59">
        <f t="shared" si="8"/>
        <v>230.10059575544216</v>
      </c>
      <c r="BI9" s="59">
        <f ca="1">AVERAGE(OFFSET($BH$3,0,0,'Données projet'!$E$11+1,1))-AVERAGE(OFFSET($H$3,0,0,'Données projet'!$E$11+1,1))</f>
        <v>627.65081154031589</v>
      </c>
      <c r="BJ9" s="59">
        <f t="shared" si="38"/>
        <v>288.78083487077618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3.887142857142857</v>
      </c>
      <c r="BY9" s="12">
        <f>IF('Données projet'!$A$114&gt;35,BY8+BX9-CG8,IF(A9&lt;'Données projet'!$A$114,$BV$205^A9,IF(A9='Données projet'!$A$114,'Données projet'!$B$114,BY8+BX9-CG8)))</f>
        <v>23.322857142857139</v>
      </c>
      <c r="BZ9" s="13">
        <f>BY9*VLOOKUP('Données projet'!$B$12,Paramètres!$A$1:$I$89,3,0)*VLOOKUP('Données projet'!$B$12,Paramètres!$A$1:$I$89,5,0)</f>
        <v>23.649377142857141</v>
      </c>
      <c r="CA9" s="13">
        <f t="shared" si="39"/>
        <v>7.5415247055086745</v>
      </c>
      <c r="CB9" s="20">
        <f t="shared" si="10"/>
        <v>54.324154052570456</v>
      </c>
      <c r="CC9" s="59">
        <f t="shared" si="11"/>
        <v>235.79440614882944</v>
      </c>
      <c r="CD9" s="59">
        <f ca="1">AVERAGE(OFFSET($CC$3,0,0,'Données projet'!$E$12+1,1))-AVERAGE(OFFSET($H$3,0,0,'Données projet'!$E$12+1,1))</f>
        <v>692.2706942067415</v>
      </c>
      <c r="CE9" s="59">
        <f t="shared" si="40"/>
        <v>316.17529091924803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2.6285714285714286</v>
      </c>
      <c r="CT9" s="12">
        <f>IF('Données projet'!$A$140&gt;35,CT8+CS9-DB8,IF(A9&lt;'Données projet'!$A$140,$CQ$205^A9,IF(A9='Données projet'!$A$140,'Données projet'!$B$140,CT8+CS9-DB8)))</f>
        <v>2.170947603915045</v>
      </c>
      <c r="CU9" s="17">
        <f>CT9*VLOOKUP('Données projet'!$B$13,Paramètres!$A$1:$I$89,3,0)*VLOOKUP('Données projet'!$B$13,Paramètres!$A$1:$I$89,5,0)</f>
        <v>2.0658737398855567</v>
      </c>
      <c r="CV9" s="13">
        <f t="shared" si="41"/>
        <v>0.8749389701741912</v>
      </c>
      <c r="CW9" s="20">
        <f t="shared" si="13"/>
        <v>5.1219154700207277</v>
      </c>
      <c r="CX9" s="59">
        <f t="shared" si="14"/>
        <v>186.5921675662797</v>
      </c>
      <c r="CY9" s="59">
        <f ca="1">AVERAGE(OFFSET($CX$3,0,0,'Données projet'!$E$13+1,1))-AVERAGE(OFFSET($H$3,0,0,'Données projet'!$E$13+1,1))</f>
        <v>424.5933338095914</v>
      </c>
      <c r="CZ9" s="59">
        <f t="shared" si="42"/>
        <v>159.28977188196134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>
        <f>DO9*VLOOKUP('Données projet'!$B$14,Paramètres!$A$1:$I$89,3,0)*VLOOKUP('Données projet'!$B$14,Paramètres!$A$1:$I$89,5,0)</f>
        <v>0</v>
      </c>
      <c r="DQ9" s="13" t="e">
        <f t="shared" si="43"/>
        <v>#NUM!</v>
      </c>
      <c r="DR9" s="20" t="e">
        <f t="shared" si="16"/>
        <v>#NUM!</v>
      </c>
      <c r="DS9" s="59" t="e">
        <f t="shared" si="17"/>
        <v>#NUM!</v>
      </c>
      <c r="DT9" s="59">
        <f ca="1">AVERAGE(OFFSET($DS$3,0,0,'Données projet'!$E$14+1,1))-AVERAGE(OFFSET($H$3,0,0,'Données projet'!$E$14+1,1))</f>
        <v>-18.333333333333343</v>
      </c>
      <c r="DU9" s="59">
        <f t="shared" si="44"/>
        <v>-18.333333333333343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>
        <f>EJ9*VLOOKUP('Données projet'!$B$15,Paramètres!$A$1:$I$89,3,0)*VLOOKUP('Données projet'!$B$15,Paramètres!$A$1:$I$89,5,0)</f>
        <v>0</v>
      </c>
      <c r="EL9" s="13" t="e">
        <f t="shared" si="45"/>
        <v>#NUM!</v>
      </c>
      <c r="EM9" s="20" t="e">
        <f t="shared" si="19"/>
        <v>#NUM!</v>
      </c>
      <c r="EN9" s="59" t="e">
        <f t="shared" si="20"/>
        <v>#NUM!</v>
      </c>
      <c r="EO9" s="59">
        <f ca="1">AVERAGE(OFFSET($EN$3,0,0,'Données projet'!$E$15+1,1))-AVERAGE(OFFSET($H$3,0,0,'Données projet'!$E$15+1,1))</f>
        <v>-18.333333333333343</v>
      </c>
      <c r="EP9" s="59">
        <f t="shared" si="46"/>
        <v>-18.333333333333343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3.887142857142857</v>
      </c>
      <c r="FE9" s="12">
        <f>IF('Données projet'!$A$218&gt;35,FE8+FD9-FM8,IF(A9&lt;'Données projet'!$A$218,$FB$205^A9,IF(A9='Données projet'!$A$218,'Données projet'!$B$218,FE8+FD9-FM8)))</f>
        <v>23.322857142857139</v>
      </c>
      <c r="FF9" s="17">
        <f>FE9*VLOOKUP('Données projet'!$B$16,Paramètres!$A$1:$I$89,3,0)*VLOOKUP('Données projet'!$B$16,Paramètres!$A$1:$I$89,5,0)</f>
        <v>22.557867428571427</v>
      </c>
      <c r="FG9" s="13">
        <f t="shared" si="47"/>
        <v>7.2331290396118018</v>
      </c>
      <c r="FH9" s="20">
        <f t="shared" si="22"/>
        <v>51.885985515419122</v>
      </c>
      <c r="FI9" s="59">
        <f t="shared" si="23"/>
        <v>233.3562376116781</v>
      </c>
      <c r="FJ9" s="59">
        <f ca="1">AVERAGE(OFFSET($FI$3,0,0,'Données projet'!$E$16+1,1))-AVERAGE(OFFSET($H$3,0,0,'Données projet'!$E$16+1,1))</f>
        <v>664.59451650228573</v>
      </c>
      <c r="FK9" s="59">
        <f t="shared" si="48"/>
        <v>304.44325029106631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6.7273684210526312</v>
      </c>
      <c r="N10" s="13">
        <f>IF('Données projet'!$A$36&gt;35,N9+M10-V9,IF(A10&lt;'Données projet'!$A$36,$K$205^A10,IF(A10='Données projet'!$A$36,'Données projet'!$B$36,N9+M10-V9)))</f>
        <v>5.9719388519656151</v>
      </c>
      <c r="O10" s="13">
        <f>N10*VLOOKUP('Données projet'!$B$9,Paramètres!$A$1:$I$89,3,0)*VLOOKUP('Données projet'!$B$9,Paramètres!$A$1:$I$89,5,0)</f>
        <v>3.5712194334754384</v>
      </c>
      <c r="P10" s="13">
        <f t="shared" si="33"/>
        <v>1.4191253444613534</v>
      </c>
      <c r="Q10" s="20">
        <f t="shared" si="2"/>
        <v>8.6915171549065775</v>
      </c>
      <c r="R10" s="59">
        <f t="shared" si="0"/>
        <v>192.8156980906428</v>
      </c>
      <c r="S10" s="59">
        <f ca="1">AVERAGE(OFFSET($R$3,0,0,'Données projet'!$E$9+1,1))-AVERAGE(OFFSET($H$3,0,0,'Données projet'!$E$9+1,1))</f>
        <v>460.88622650237176</v>
      </c>
      <c r="T10" s="59">
        <f t="shared" si="34"/>
        <v>396.05161661639647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9.9228571428571435</v>
      </c>
      <c r="AI10" s="13">
        <f>IF('Données projet'!$A$62&gt;35,AI9+AH10-AQ9,IF(A10&lt;'Données projet'!$A$62,$AF$205^A10,IF(A10='Données projet'!$A$62,'Données projet'!$B$62,AI9+AH10-AQ9)))</f>
        <v>69.459999999999994</v>
      </c>
      <c r="AJ10" s="13">
        <f>AI10*VLOOKUP('Données projet'!$B$10,Paramètres!$A$1:$I$89,3,0)*VLOOKUP('Données projet'!$B$10,Paramètres!$A$1:$I$89,5,0)</f>
        <v>32.507280000000002</v>
      </c>
      <c r="AK10" s="13">
        <f t="shared" si="35"/>
        <v>9.9893711943664076</v>
      </c>
      <c r="AL10" s="20">
        <f t="shared" si="4"/>
        <v>74.015000830188157</v>
      </c>
      <c r="AM10" s="59">
        <f t="shared" si="5"/>
        <v>258.13918176592438</v>
      </c>
      <c r="AN10" s="59">
        <f ca="1">AVERAGE(OFFSET($AM$3,0,0,'Données projet'!$E$10+1,1))-AVERAGE(OFFSET($H$3,0,0,'Données projet'!$E$10+1,1))</f>
        <v>387.50901594883317</v>
      </c>
      <c r="AO10" s="59">
        <f t="shared" si="36"/>
        <v>361.3623790401972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3.887142857142857</v>
      </c>
      <c r="BD10" s="12">
        <f>IF('Données projet'!$A$88&gt;35,BD9+BC10-BL9,IF(A10&lt;'Données projet'!$A$88,$BA$205^A10,IF(A10='Données projet'!$A$88,'Données projet'!$B$88,BD9+BC10-BL9)))</f>
        <v>27.209999999999994</v>
      </c>
      <c r="BE10" s="13">
        <f>BD10*VLOOKUP('Données projet'!$B$11,Paramètres!$A$1:$I$89,3,0)*VLOOKUP('Données projet'!$B$11,Paramètres!$A$1:$I$89,5,0)</f>
        <v>24.619607999999992</v>
      </c>
      <c r="BF10" s="13">
        <f t="shared" si="37"/>
        <v>7.8142639118614152</v>
      </c>
      <c r="BG10" s="20">
        <f t="shared" si="7"/>
        <v>56.488993579825284</v>
      </c>
      <c r="BH10" s="59">
        <f t="shared" si="8"/>
        <v>240.61317451556152</v>
      </c>
      <c r="BI10" s="59">
        <f ca="1">AVERAGE(OFFSET($BH$3,0,0,'Données projet'!$E$11+1,1))-AVERAGE(OFFSET($H$3,0,0,'Données projet'!$E$11+1,1))</f>
        <v>627.65081154031589</v>
      </c>
      <c r="BJ10" s="59">
        <f t="shared" si="38"/>
        <v>288.78083487077618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3.887142857142857</v>
      </c>
      <c r="BY10" s="12">
        <f>IF('Données projet'!$A$114&gt;35,BY9+BX10-CG9,IF(A10&lt;'Données projet'!$A$114,$BV$205^A10,IF(A10='Données projet'!$A$114,'Données projet'!$B$114,BY9+BX10-CG9)))</f>
        <v>27.209999999999994</v>
      </c>
      <c r="BZ10" s="13">
        <f>BY10*VLOOKUP('Données projet'!$B$12,Paramètres!$A$1:$I$89,3,0)*VLOOKUP('Données projet'!$B$12,Paramètres!$A$1:$I$89,5,0)</f>
        <v>27.590939999999993</v>
      </c>
      <c r="CA10" s="13">
        <f t="shared" si="39"/>
        <v>8.6419816819814557</v>
      </c>
      <c r="CB10" s="20">
        <f t="shared" si="10"/>
        <v>63.105671929451027</v>
      </c>
      <c r="CC10" s="59">
        <f t="shared" si="11"/>
        <v>247.22985286518727</v>
      </c>
      <c r="CD10" s="59">
        <f ca="1">AVERAGE(OFFSET($CC$3,0,0,'Données projet'!$E$12+1,1))-AVERAGE(OFFSET($H$3,0,0,'Données projet'!$E$12+1,1))</f>
        <v>692.2706942067415</v>
      </c>
      <c r="CE10" s="59">
        <f t="shared" si="40"/>
        <v>316.17529091924803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2.6285714285714286</v>
      </c>
      <c r="CT10" s="12">
        <f>IF('Données projet'!$A$140&gt;35,CT9+CS10-DB9,IF(A10&lt;'Données projet'!$A$140,$CQ$205^A10,IF(A10='Données projet'!$A$140,'Données projet'!$B$140,CT9+CS10-DB9)))</f>
        <v>2.4703447490385599</v>
      </c>
      <c r="CU10" s="17">
        <f>CT10*VLOOKUP('Données projet'!$B$13,Paramètres!$A$1:$I$89,3,0)*VLOOKUP('Données projet'!$B$13,Paramètres!$A$1:$I$89,5,0)</f>
        <v>2.3507800631850935</v>
      </c>
      <c r="CV10" s="13">
        <f t="shared" si="41"/>
        <v>0.98074248055939339</v>
      </c>
      <c r="CW10" s="20">
        <f t="shared" si="13"/>
        <v>5.802401763688315</v>
      </c>
      <c r="CX10" s="59">
        <f t="shared" si="14"/>
        <v>189.92658269942456</v>
      </c>
      <c r="CY10" s="59">
        <f ca="1">AVERAGE(OFFSET($CX$3,0,0,'Données projet'!$E$13+1,1))-AVERAGE(OFFSET($H$3,0,0,'Données projet'!$E$13+1,1))</f>
        <v>424.5933338095914</v>
      </c>
      <c r="CZ10" s="59">
        <f t="shared" si="42"/>
        <v>159.28977188196134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>
        <f>DO10*VLOOKUP('Données projet'!$B$14,Paramètres!$A$1:$I$89,3,0)*VLOOKUP('Données projet'!$B$14,Paramètres!$A$1:$I$89,5,0)</f>
        <v>0</v>
      </c>
      <c r="DQ10" s="13" t="e">
        <f t="shared" si="43"/>
        <v>#NUM!</v>
      </c>
      <c r="DR10" s="20" t="e">
        <f t="shared" si="16"/>
        <v>#NUM!</v>
      </c>
      <c r="DS10" s="59" t="e">
        <f t="shared" si="17"/>
        <v>#NUM!</v>
      </c>
      <c r="DT10" s="59">
        <f ca="1">AVERAGE(OFFSET($DS$3,0,0,'Données projet'!$E$14+1,1))-AVERAGE(OFFSET($H$3,0,0,'Données projet'!$E$14+1,1))</f>
        <v>-18.333333333333343</v>
      </c>
      <c r="DU10" s="59">
        <f t="shared" si="44"/>
        <v>-18.333333333333343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>
        <f>EJ10*VLOOKUP('Données projet'!$B$15,Paramètres!$A$1:$I$89,3,0)*VLOOKUP('Données projet'!$B$15,Paramètres!$A$1:$I$89,5,0)</f>
        <v>0</v>
      </c>
      <c r="EL10" s="13" t="e">
        <f t="shared" si="45"/>
        <v>#NUM!</v>
      </c>
      <c r="EM10" s="20" t="e">
        <f t="shared" si="19"/>
        <v>#NUM!</v>
      </c>
      <c r="EN10" s="59" t="e">
        <f t="shared" si="20"/>
        <v>#NUM!</v>
      </c>
      <c r="EO10" s="59">
        <f ca="1">AVERAGE(OFFSET($EN$3,0,0,'Données projet'!$E$15+1,1))-AVERAGE(OFFSET($H$3,0,0,'Données projet'!$E$15+1,1))</f>
        <v>-18.333333333333343</v>
      </c>
      <c r="EP10" s="59">
        <f t="shared" si="46"/>
        <v>-18.333333333333343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3.887142857142857</v>
      </c>
      <c r="FE10" s="12">
        <f>IF('Données projet'!$A$218&gt;35,FE9+FD10-FM9,IF(A10&lt;'Données projet'!$A$218,$FB$205^A10,IF(A10='Données projet'!$A$218,'Données projet'!$B$218,FE9+FD10-FM9)))</f>
        <v>27.209999999999994</v>
      </c>
      <c r="FF10" s="17">
        <f>FE10*VLOOKUP('Données projet'!$B$16,Paramètres!$A$1:$I$89,3,0)*VLOOKUP('Données projet'!$B$16,Paramètres!$A$1:$I$89,5,0)</f>
        <v>26.317511999999997</v>
      </c>
      <c r="FG10" s="13">
        <f t="shared" si="47"/>
        <v>8.288585014920681</v>
      </c>
      <c r="FH10" s="20">
        <f t="shared" si="22"/>
        <v>60.272285634320177</v>
      </c>
      <c r="FI10" s="59">
        <f t="shared" si="23"/>
        <v>244.39646657005642</v>
      </c>
      <c r="FJ10" s="59">
        <f ca="1">AVERAGE(OFFSET($FI$3,0,0,'Données projet'!$E$16+1,1))-AVERAGE(OFFSET($H$3,0,0,'Données projet'!$E$16+1,1))</f>
        <v>664.59451650228573</v>
      </c>
      <c r="FK10" s="59">
        <f t="shared" si="48"/>
        <v>304.44325029106631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6.7273684210526312</v>
      </c>
      <c r="N11" s="13">
        <f>IF('Données projet'!$A$36&gt;35,N10+M11-V10,IF(A11&lt;'Données projet'!$A$36,$K$205^A11,IF(A11='Données projet'!$A$36,'Données projet'!$B$36,N10+M11-V10)))</f>
        <v>7.7088389735383984</v>
      </c>
      <c r="O11" s="13">
        <f>N11*VLOOKUP('Données projet'!$B$9,Paramètres!$A$1:$I$89,3,0)*VLOOKUP('Données projet'!$B$9,Paramètres!$A$1:$I$89,5,0)</f>
        <v>4.6098857061759633</v>
      </c>
      <c r="P11" s="13">
        <f t="shared" si="33"/>
        <v>1.7782330939379272</v>
      </c>
      <c r="Q11" s="20">
        <f t="shared" si="2"/>
        <v>11.125973576865023</v>
      </c>
      <c r="R11" s="59">
        <f t="shared" si="0"/>
        <v>197.87924644308558</v>
      </c>
      <c r="S11" s="59">
        <f ca="1">AVERAGE(OFFSET($R$3,0,0,'Données projet'!$E$9+1,1))-AVERAGE(OFFSET($H$3,0,0,'Données projet'!$E$9+1,1))</f>
        <v>460.88622650237176</v>
      </c>
      <c r="T11" s="59">
        <f t="shared" si="34"/>
        <v>396.05161661639647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9.9228571428571435</v>
      </c>
      <c r="AI11" s="13">
        <f>IF('Données projet'!$A$62&gt;35,AI10+AH11-AQ10,IF(A11&lt;'Données projet'!$A$62,$AF$205^A11,IF(A11='Données projet'!$A$62,'Données projet'!$B$62,AI10+AH11-AQ10)))</f>
        <v>79.382857142857134</v>
      </c>
      <c r="AJ11" s="13">
        <f>AI11*VLOOKUP('Données projet'!$B$10,Paramètres!$A$1:$I$89,3,0)*VLOOKUP('Données projet'!$B$10,Paramètres!$A$1:$I$89,5,0)</f>
        <v>37.151177142857144</v>
      </c>
      <c r="AK11" s="13">
        <f t="shared" si="35"/>
        <v>11.240350032876002</v>
      </c>
      <c r="AL11" s="20">
        <f t="shared" si="4"/>
        <v>84.28190983106856</v>
      </c>
      <c r="AM11" s="59">
        <f t="shared" si="5"/>
        <v>271.03518269728909</v>
      </c>
      <c r="AN11" s="59">
        <f ca="1">AVERAGE(OFFSET($AM$3,0,0,'Données projet'!$E$10+1,1))-AVERAGE(OFFSET($H$3,0,0,'Données projet'!$E$10+1,1))</f>
        <v>387.50901594883317</v>
      </c>
      <c r="AO11" s="59">
        <f t="shared" si="36"/>
        <v>361.3623790401972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3.887142857142857</v>
      </c>
      <c r="BD11" s="12">
        <f>IF('Données projet'!$A$88&gt;35,BD10+BC11-BL10,IF(A11&lt;'Données projet'!$A$88,$BA$205^A11,IF(A11='Données projet'!$A$88,'Données projet'!$B$88,BD10+BC11-BL10)))</f>
        <v>31.097142857142849</v>
      </c>
      <c r="BE11" s="13">
        <f>BD11*VLOOKUP('Données projet'!$B$11,Paramètres!$A$1:$I$89,3,0)*VLOOKUP('Données projet'!$B$11,Paramètres!$A$1:$I$89,5,0)</f>
        <v>28.136694857142849</v>
      </c>
      <c r="BF11" s="13">
        <f t="shared" si="37"/>
        <v>8.792851913254415</v>
      </c>
      <c r="BG11" s="20">
        <f t="shared" si="7"/>
        <v>64.318960625108559</v>
      </c>
      <c r="BH11" s="59">
        <f t="shared" si="8"/>
        <v>251.07223349132911</v>
      </c>
      <c r="BI11" s="59">
        <f ca="1">AVERAGE(OFFSET($BH$3,0,0,'Données projet'!$E$11+1,1))-AVERAGE(OFFSET($H$3,0,0,'Données projet'!$E$11+1,1))</f>
        <v>627.65081154031589</v>
      </c>
      <c r="BJ11" s="59">
        <f t="shared" si="38"/>
        <v>288.78083487077618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3.887142857142857</v>
      </c>
      <c r="BY11" s="12">
        <f>IF('Données projet'!$A$114&gt;35,BY10+BX11-CG10,IF(A11&lt;'Données projet'!$A$114,$BV$205^A11,IF(A11='Données projet'!$A$114,'Données projet'!$B$114,BY10+BX11-CG10)))</f>
        <v>31.097142857142849</v>
      </c>
      <c r="BZ11" s="13">
        <f>BY11*VLOOKUP('Données projet'!$B$12,Paramètres!$A$1:$I$89,3,0)*VLOOKUP('Données projet'!$B$12,Paramètres!$A$1:$I$89,5,0)</f>
        <v>31.532502857142852</v>
      </c>
      <c r="CA11" s="13">
        <f t="shared" si="39"/>
        <v>9.7242255986999844</v>
      </c>
      <c r="CB11" s="20">
        <f t="shared" si="10"/>
        <v>71.855468727259591</v>
      </c>
      <c r="CC11" s="59">
        <f t="shared" si="11"/>
        <v>258.60874159348015</v>
      </c>
      <c r="CD11" s="59">
        <f ca="1">AVERAGE(OFFSET($CC$3,0,0,'Données projet'!$E$12+1,1))-AVERAGE(OFFSET($H$3,0,0,'Données projet'!$E$12+1,1))</f>
        <v>692.2706942067415</v>
      </c>
      <c r="CE11" s="59">
        <f t="shared" si="40"/>
        <v>316.17529091924803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2.6285714285714286</v>
      </c>
      <c r="CT11" s="12">
        <f>IF('Données projet'!$A$140&gt;35,CT10+CS11-DB10,IF(A11&lt;'Données projet'!$A$140,$CQ$205^A11,IF(A11='Données projet'!$A$140,'Données projet'!$B$140,CT10+CS11-DB10)))</f>
        <v>2.8110319973163178</v>
      </c>
      <c r="CU11" s="17">
        <f>CT11*VLOOKUP('Données projet'!$B$13,Paramètres!$A$1:$I$89,3,0)*VLOOKUP('Données projet'!$B$13,Paramètres!$A$1:$I$89,5,0)</f>
        <v>2.6749780486462083</v>
      </c>
      <c r="CV11" s="13">
        <f t="shared" si="41"/>
        <v>1.0993404636923378</v>
      </c>
      <c r="CW11" s="20">
        <f t="shared" si="13"/>
        <v>6.5736047423229671</v>
      </c>
      <c r="CX11" s="59">
        <f t="shared" si="14"/>
        <v>193.32687760854353</v>
      </c>
      <c r="CY11" s="59">
        <f ca="1">AVERAGE(OFFSET($CX$3,0,0,'Données projet'!$E$13+1,1))-AVERAGE(OFFSET($H$3,0,0,'Données projet'!$E$13+1,1))</f>
        <v>424.5933338095914</v>
      </c>
      <c r="CZ11" s="59">
        <f t="shared" si="42"/>
        <v>159.28977188196134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>
        <f>DO11*VLOOKUP('Données projet'!$B$14,Paramètres!$A$1:$I$89,3,0)*VLOOKUP('Données projet'!$B$14,Paramètres!$A$1:$I$89,5,0)</f>
        <v>0</v>
      </c>
      <c r="DQ11" s="13" t="e">
        <f t="shared" si="43"/>
        <v>#NUM!</v>
      </c>
      <c r="DR11" s="20" t="e">
        <f t="shared" si="16"/>
        <v>#NUM!</v>
      </c>
      <c r="DS11" s="59" t="e">
        <f t="shared" si="17"/>
        <v>#NUM!</v>
      </c>
      <c r="DT11" s="59">
        <f ca="1">AVERAGE(OFFSET($DS$3,0,0,'Données projet'!$E$14+1,1))-AVERAGE(OFFSET($H$3,0,0,'Données projet'!$E$14+1,1))</f>
        <v>-18.333333333333343</v>
      </c>
      <c r="DU11" s="59">
        <f t="shared" si="44"/>
        <v>-18.333333333333343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>
        <f>EJ11*VLOOKUP('Données projet'!$B$15,Paramètres!$A$1:$I$89,3,0)*VLOOKUP('Données projet'!$B$15,Paramètres!$A$1:$I$89,5,0)</f>
        <v>0</v>
      </c>
      <c r="EL11" s="13" t="e">
        <f t="shared" si="45"/>
        <v>#NUM!</v>
      </c>
      <c r="EM11" s="20" t="e">
        <f t="shared" si="19"/>
        <v>#NUM!</v>
      </c>
      <c r="EN11" s="59" t="e">
        <f t="shared" si="20"/>
        <v>#NUM!</v>
      </c>
      <c r="EO11" s="59">
        <f ca="1">AVERAGE(OFFSET($EN$3,0,0,'Données projet'!$E$15+1,1))-AVERAGE(OFFSET($H$3,0,0,'Données projet'!$E$15+1,1))</f>
        <v>-18.333333333333343</v>
      </c>
      <c r="EP11" s="59">
        <f t="shared" si="46"/>
        <v>-18.333333333333343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3.887142857142857</v>
      </c>
      <c r="FE11" s="12">
        <f>IF('Données projet'!$A$218&gt;35,FE10+FD11-FM10,IF(A11&lt;'Données projet'!$A$218,$FB$205^A11,IF(A11='Données projet'!$A$218,'Données projet'!$B$218,FE10+FD11-FM10)))</f>
        <v>31.097142857142849</v>
      </c>
      <c r="FF11" s="17">
        <f>FE11*VLOOKUP('Données projet'!$B$16,Paramètres!$A$1:$I$89,3,0)*VLOOKUP('Données projet'!$B$16,Paramètres!$A$1:$I$89,5,0)</f>
        <v>30.077156571428564</v>
      </c>
      <c r="FG11" s="13">
        <f t="shared" si="47"/>
        <v>9.3265727173599551</v>
      </c>
      <c r="FH11" s="20">
        <f t="shared" si="22"/>
        <v>68.62816184463999</v>
      </c>
      <c r="FI11" s="59">
        <f t="shared" si="23"/>
        <v>255.38143471086056</v>
      </c>
      <c r="FJ11" s="59">
        <f ca="1">AVERAGE(OFFSET($FI$3,0,0,'Données projet'!$E$16+1,1))-AVERAGE(OFFSET($H$3,0,0,'Données projet'!$E$16+1,1))</f>
        <v>664.59451650228573</v>
      </c>
      <c r="FK11" s="59">
        <f t="shared" si="48"/>
        <v>304.44325029106631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6.7273684210526312</v>
      </c>
      <c r="N12" s="13">
        <f>IF('Données projet'!$A$36&gt;35,N11+M12-V11,IF(A12&lt;'Données projet'!$A$36,$K$205^A12,IF(A12='Données projet'!$A$36,'Données projet'!$B$36,N11+M12-V11)))</f>
        <v>9.9509053580454729</v>
      </c>
      <c r="O12" s="13">
        <f>N12*VLOOKUP('Données projet'!$B$9,Paramètres!$A$1:$I$89,3,0)*VLOOKUP('Données projet'!$B$9,Paramètres!$A$1:$I$89,5,0)</f>
        <v>5.9506414041111935</v>
      </c>
      <c r="P12" s="13">
        <f t="shared" si="33"/>
        <v>2.2282125738345351</v>
      </c>
      <c r="Q12" s="20">
        <f t="shared" si="2"/>
        <v>14.244837344922145</v>
      </c>
      <c r="R12" s="59">
        <f t="shared" si="0"/>
        <v>203.6027960974782</v>
      </c>
      <c r="S12" s="59">
        <f ca="1">AVERAGE(OFFSET($R$3,0,0,'Données projet'!$E$9+1,1))-AVERAGE(OFFSET($H$3,0,0,'Données projet'!$E$9+1,1))</f>
        <v>460.88622650237176</v>
      </c>
      <c r="T12" s="59">
        <f t="shared" si="34"/>
        <v>396.05161661639647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9.9228571428571435</v>
      </c>
      <c r="AI12" s="13">
        <f>IF('Données projet'!$A$62&gt;35,AI11+AH12-AQ11,IF(A12&lt;'Données projet'!$A$62,$AF$205^A12,IF(A12='Données projet'!$A$62,'Données projet'!$B$62,AI11+AH12-AQ11)))</f>
        <v>89.305714285714274</v>
      </c>
      <c r="AJ12" s="13">
        <f>AI12*VLOOKUP('Données projet'!$B$10,Paramètres!$A$1:$I$89,3,0)*VLOOKUP('Données projet'!$B$10,Paramètres!$A$1:$I$89,5,0)</f>
        <v>41.795074285714279</v>
      </c>
      <c r="AK12" s="13">
        <f t="shared" si="35"/>
        <v>12.473209147246388</v>
      </c>
      <c r="AL12" s="20">
        <f t="shared" si="4"/>
        <v>94.517260312406492</v>
      </c>
      <c r="AM12" s="59">
        <f t="shared" si="5"/>
        <v>283.87521906496255</v>
      </c>
      <c r="AN12" s="59">
        <f ca="1">AVERAGE(OFFSET($AM$3,0,0,'Données projet'!$E$10+1,1))-AVERAGE(OFFSET($H$3,0,0,'Données projet'!$E$10+1,1))</f>
        <v>387.50901594883317</v>
      </c>
      <c r="AO12" s="59">
        <f t="shared" si="36"/>
        <v>361.3623790401972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3.887142857142857</v>
      </c>
      <c r="BD12" s="12">
        <f>IF('Données projet'!$A$88&gt;35,BD11+BC12-BL11,IF(A12&lt;'Données projet'!$A$88,$BA$205^A12,IF(A12='Données projet'!$A$88,'Données projet'!$B$88,BD11+BC12-BL11)))</f>
        <v>34.984285714285704</v>
      </c>
      <c r="BE12" s="13">
        <f>BD12*VLOOKUP('Données projet'!$B$11,Paramètres!$A$1:$I$89,3,0)*VLOOKUP('Données projet'!$B$11,Paramètres!$A$1:$I$89,5,0)</f>
        <v>31.653781714285703</v>
      </c>
      <c r="BF12" s="13">
        <f t="shared" si="37"/>
        <v>9.757265618420071</v>
      </c>
      <c r="BG12" s="20">
        <f t="shared" si="7"/>
        <v>72.124240771129223</v>
      </c>
      <c r="BH12" s="59">
        <f t="shared" si="8"/>
        <v>261.48219952368527</v>
      </c>
      <c r="BI12" s="59">
        <f ca="1">AVERAGE(OFFSET($BH$3,0,0,'Données projet'!$E$11+1,1))-AVERAGE(OFFSET($H$3,0,0,'Données projet'!$E$11+1,1))</f>
        <v>627.65081154031589</v>
      </c>
      <c r="BJ12" s="59">
        <f t="shared" si="38"/>
        <v>288.78083487077618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3.887142857142857</v>
      </c>
      <c r="BY12" s="12">
        <f>IF('Données projet'!$A$114&gt;35,BY11+BX12-CG11,IF(A12&lt;'Données projet'!$A$114,$BV$205^A12,IF(A12='Données projet'!$A$114,'Données projet'!$B$114,BY11+BX12-CG11)))</f>
        <v>34.984285714285704</v>
      </c>
      <c r="BZ12" s="13">
        <f>BY12*VLOOKUP('Données projet'!$B$12,Paramètres!$A$1:$I$89,3,0)*VLOOKUP('Données projet'!$B$12,Paramètres!$A$1:$I$89,5,0)</f>
        <v>35.474065714285707</v>
      </c>
      <c r="CA12" s="13">
        <f t="shared" si="39"/>
        <v>10.790793821618898</v>
      </c>
      <c r="CB12" s="20">
        <f t="shared" si="10"/>
        <v>80.577963691700518</v>
      </c>
      <c r="CC12" s="59">
        <f t="shared" si="11"/>
        <v>269.93592244425656</v>
      </c>
      <c r="CD12" s="59">
        <f ca="1">AVERAGE(OFFSET($CC$3,0,0,'Données projet'!$E$12+1,1))-AVERAGE(OFFSET($H$3,0,0,'Données projet'!$E$12+1,1))</f>
        <v>692.2706942067415</v>
      </c>
      <c r="CE12" s="59">
        <f t="shared" si="40"/>
        <v>316.17529091924803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2.6285714285714286</v>
      </c>
      <c r="CT12" s="12">
        <f>IF('Données projet'!$A$140&gt;35,CT11+CS12-DB11,IF(A12&lt;'Données projet'!$A$140,$CQ$205^A12,IF(A12='Données projet'!$A$140,'Données projet'!$B$140,CT11+CS12-DB11)))</f>
        <v>3.1987037003687564</v>
      </c>
      <c r="CU12" s="17">
        <f>CT12*VLOOKUP('Données projet'!$B$13,Paramètres!$A$1:$I$89,3,0)*VLOOKUP('Données projet'!$B$13,Paramètres!$A$1:$I$89,5,0)</f>
        <v>3.0438864412709083</v>
      </c>
      <c r="CV12" s="13">
        <f t="shared" si="41"/>
        <v>1.2322801133504024</v>
      </c>
      <c r="CW12" s="20">
        <f t="shared" si="13"/>
        <v>7.4476567492987824</v>
      </c>
      <c r="CX12" s="59">
        <f t="shared" si="14"/>
        <v>196.80561550185485</v>
      </c>
      <c r="CY12" s="59">
        <f ca="1">AVERAGE(OFFSET($CX$3,0,0,'Données projet'!$E$13+1,1))-AVERAGE(OFFSET($H$3,0,0,'Données projet'!$E$13+1,1))</f>
        <v>424.5933338095914</v>
      </c>
      <c r="CZ12" s="59">
        <f t="shared" si="42"/>
        <v>159.28977188196134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>
        <f>DO12*VLOOKUP('Données projet'!$B$14,Paramètres!$A$1:$I$89,3,0)*VLOOKUP('Données projet'!$B$14,Paramètres!$A$1:$I$89,5,0)</f>
        <v>0</v>
      </c>
      <c r="DQ12" s="13" t="e">
        <f t="shared" si="43"/>
        <v>#NUM!</v>
      </c>
      <c r="DR12" s="20" t="e">
        <f t="shared" si="16"/>
        <v>#NUM!</v>
      </c>
      <c r="DS12" s="59" t="e">
        <f t="shared" si="17"/>
        <v>#NUM!</v>
      </c>
      <c r="DT12" s="59">
        <f ca="1">AVERAGE(OFFSET($DS$3,0,0,'Données projet'!$E$14+1,1))-AVERAGE(OFFSET($H$3,0,0,'Données projet'!$E$14+1,1))</f>
        <v>-18.333333333333343</v>
      </c>
      <c r="DU12" s="59">
        <f t="shared" si="44"/>
        <v>-18.333333333333343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>
        <f>EJ12*VLOOKUP('Données projet'!$B$15,Paramètres!$A$1:$I$89,3,0)*VLOOKUP('Données projet'!$B$15,Paramètres!$A$1:$I$89,5,0)</f>
        <v>0</v>
      </c>
      <c r="EL12" s="13" t="e">
        <f t="shared" si="45"/>
        <v>#NUM!</v>
      </c>
      <c r="EM12" s="20" t="e">
        <f t="shared" si="19"/>
        <v>#NUM!</v>
      </c>
      <c r="EN12" s="59" t="e">
        <f t="shared" si="20"/>
        <v>#NUM!</v>
      </c>
      <c r="EO12" s="59">
        <f ca="1">AVERAGE(OFFSET($EN$3,0,0,'Données projet'!$E$15+1,1))-AVERAGE(OFFSET($H$3,0,0,'Données projet'!$E$15+1,1))</f>
        <v>-18.333333333333343</v>
      </c>
      <c r="EP12" s="59">
        <f t="shared" si="46"/>
        <v>-18.333333333333343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3.887142857142857</v>
      </c>
      <c r="FE12" s="12">
        <f>IF('Données projet'!$A$218&gt;35,FE11+FD12-FM11,IF(A12&lt;'Données projet'!$A$218,$FB$205^A12,IF(A12='Données projet'!$A$218,'Données projet'!$B$218,FE11+FD12-FM11)))</f>
        <v>34.984285714285704</v>
      </c>
      <c r="FF12" s="17">
        <f>FE12*VLOOKUP('Données projet'!$B$16,Paramètres!$A$1:$I$89,3,0)*VLOOKUP('Données projet'!$B$16,Paramètres!$A$1:$I$89,5,0)</f>
        <v>33.836801142857134</v>
      </c>
      <c r="FG12" s="13">
        <f t="shared" si="47"/>
        <v>10.349525752345953</v>
      </c>
      <c r="FH12" s="20">
        <f t="shared" si="22"/>
        <v>76.957852675812049</v>
      </c>
      <c r="FI12" s="59">
        <f t="shared" si="23"/>
        <v>266.31581142836814</v>
      </c>
      <c r="FJ12" s="59">
        <f ca="1">AVERAGE(OFFSET($FI$3,0,0,'Données projet'!$E$16+1,1))-AVERAGE(OFFSET($H$3,0,0,'Données projet'!$E$16+1,1))</f>
        <v>664.59451650228573</v>
      </c>
      <c r="FK12" s="59">
        <f t="shared" si="48"/>
        <v>304.44325029106631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6.7273684210526312</v>
      </c>
      <c r="N13" s="13">
        <f>IF('Données projet'!$A$36&gt;35,N12+M13-V12,IF(A13&lt;'Données projet'!$A$36,$K$205^A13,IF(A13='Données projet'!$A$36,'Données projet'!$B$36,N12+M13-V12)))</f>
        <v>12.845062373812581</v>
      </c>
      <c r="O13" s="13">
        <f>N13*VLOOKUP('Données projet'!$B$9,Paramètres!$A$1:$I$89,3,0)*VLOOKUP('Données projet'!$B$9,Paramètres!$A$1:$I$89,5,0)</f>
        <v>7.6813472995399241</v>
      </c>
      <c r="P13" s="13">
        <f t="shared" si="33"/>
        <v>2.7920587526573346</v>
      </c>
      <c r="Q13" s="20">
        <f t="shared" si="2"/>
        <v>18.241182207576891</v>
      </c>
      <c r="R13" s="59">
        <f t="shared" si="0"/>
        <v>210.17984419262177</v>
      </c>
      <c r="S13" s="59">
        <f ca="1">AVERAGE(OFFSET($R$3,0,0,'Données projet'!$E$9+1,1))-AVERAGE(OFFSET($H$3,0,0,'Données projet'!$E$9+1,1))</f>
        <v>460.88622650237176</v>
      </c>
      <c r="T13" s="59">
        <f t="shared" si="34"/>
        <v>396.05161661639647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9.9228571428571435</v>
      </c>
      <c r="AI13" s="13">
        <f>IF('Données projet'!$A$62&gt;35,AI12+AH13-AQ12,IF(A13&lt;'Données projet'!$A$62,$AF$205^A13,IF(A13='Données projet'!$A$62,'Données projet'!$B$62,AI12+AH13-AQ12)))</f>
        <v>99.228571428571414</v>
      </c>
      <c r="AJ13" s="13">
        <f>AI13*VLOOKUP('Données projet'!$B$10,Paramètres!$A$1:$I$89,3,0)*VLOOKUP('Données projet'!$B$10,Paramètres!$A$1:$I$89,5,0)</f>
        <v>46.438971428571428</v>
      </c>
      <c r="AK13" s="13">
        <f t="shared" si="35"/>
        <v>13.690191501665755</v>
      </c>
      <c r="AL13" s="20">
        <f t="shared" si="4"/>
        <v>104.7249587701631</v>
      </c>
      <c r="AM13" s="59">
        <f t="shared" si="5"/>
        <v>296.663620755208</v>
      </c>
      <c r="AN13" s="59">
        <f ca="1">AVERAGE(OFFSET($AM$3,0,0,'Données projet'!$E$10+1,1))-AVERAGE(OFFSET($H$3,0,0,'Données projet'!$E$10+1,1))</f>
        <v>387.50901594883317</v>
      </c>
      <c r="AO13" s="59">
        <f t="shared" si="36"/>
        <v>361.3623790401972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3.887142857142857</v>
      </c>
      <c r="BD13" s="12">
        <f>IF('Données projet'!$A$88&gt;35,BD12+BC13-BL12,IF(A13&lt;'Données projet'!$A$88,$BA$205^A13,IF(A13='Données projet'!$A$88,'Données projet'!$B$88,BD12+BC13-BL12)))</f>
        <v>38.871428571428559</v>
      </c>
      <c r="BE13" s="13">
        <f>BD13*VLOOKUP('Données projet'!$B$11,Paramètres!$A$1:$I$89,3,0)*VLOOKUP('Données projet'!$B$11,Paramètres!$A$1:$I$89,5,0)</f>
        <v>35.170868571428556</v>
      </c>
      <c r="BF13" s="13">
        <f t="shared" si="37"/>
        <v>10.709259603674569</v>
      </c>
      <c r="BG13" s="20">
        <f t="shared" si="7"/>
        <v>79.90788990497127</v>
      </c>
      <c r="BH13" s="59">
        <f t="shared" si="8"/>
        <v>271.84655189001614</v>
      </c>
      <c r="BI13" s="59">
        <f ca="1">AVERAGE(OFFSET($BH$3,0,0,'Données projet'!$E$11+1,1))-AVERAGE(OFFSET($H$3,0,0,'Données projet'!$E$11+1,1))</f>
        <v>627.65081154031589</v>
      </c>
      <c r="BJ13" s="59">
        <f t="shared" si="38"/>
        <v>288.78083487077618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3.887142857142857</v>
      </c>
      <c r="BY13" s="12">
        <f>IF('Données projet'!$A$114&gt;35,BY12+BX13-CG12,IF(A13&lt;'Données projet'!$A$114,$BV$205^A13,IF(A13='Données projet'!$A$114,'Données projet'!$B$114,BY12+BX13-CG12)))</f>
        <v>38.871428571428559</v>
      </c>
      <c r="BZ13" s="13">
        <f>BY13*VLOOKUP('Données projet'!$B$12,Paramètres!$A$1:$I$89,3,0)*VLOOKUP('Données projet'!$B$12,Paramètres!$A$1:$I$89,5,0)</f>
        <v>39.415628571428563</v>
      </c>
      <c r="CA13" s="13">
        <f t="shared" si="39"/>
        <v>11.843626778724154</v>
      </c>
      <c r="CB13" s="20">
        <f t="shared" si="10"/>
        <v>89.276536401515969</v>
      </c>
      <c r="CC13" s="59">
        <f t="shared" si="11"/>
        <v>281.21519838656087</v>
      </c>
      <c r="CD13" s="59">
        <f ca="1">AVERAGE(OFFSET($CC$3,0,0,'Données projet'!$E$12+1,1))-AVERAGE(OFFSET($H$3,0,0,'Données projet'!$E$12+1,1))</f>
        <v>692.2706942067415</v>
      </c>
      <c r="CE13" s="59">
        <f t="shared" si="40"/>
        <v>316.17529091924803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2.6285714285714286</v>
      </c>
      <c r="CT13" s="12">
        <f>IF('Données projet'!$A$140&gt;35,CT12+CS13-DB12,IF(A13&lt;'Données projet'!$A$140,$CQ$205^A13,IF(A13='Données projet'!$A$140,'Données projet'!$B$140,CT12+CS13-DB12)))</f>
        <v>3.63983952246753</v>
      </c>
      <c r="CU13" s="17">
        <f>CT13*VLOOKUP('Données projet'!$B$13,Paramètres!$A$1:$I$89,3,0)*VLOOKUP('Données projet'!$B$13,Paramètres!$A$1:$I$89,5,0)</f>
        <v>3.4636712895801014</v>
      </c>
      <c r="CV13" s="13">
        <f t="shared" si="41"/>
        <v>1.3812957203982743</v>
      </c>
      <c r="CW13" s="20">
        <f t="shared" si="13"/>
        <v>8.4383175423790053</v>
      </c>
      <c r="CX13" s="59">
        <f t="shared" si="14"/>
        <v>200.37697952742388</v>
      </c>
      <c r="CY13" s="59">
        <f ca="1">AVERAGE(OFFSET($CX$3,0,0,'Données projet'!$E$13+1,1))-AVERAGE(OFFSET($H$3,0,0,'Données projet'!$E$13+1,1))</f>
        <v>424.5933338095914</v>
      </c>
      <c r="CZ13" s="59">
        <f t="shared" si="42"/>
        <v>159.28977188196134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>
        <f>DO13*VLOOKUP('Données projet'!$B$14,Paramètres!$A$1:$I$89,3,0)*VLOOKUP('Données projet'!$B$14,Paramètres!$A$1:$I$89,5,0)</f>
        <v>0</v>
      </c>
      <c r="DQ13" s="13" t="e">
        <f t="shared" si="43"/>
        <v>#NUM!</v>
      </c>
      <c r="DR13" s="20" t="e">
        <f t="shared" si="16"/>
        <v>#NUM!</v>
      </c>
      <c r="DS13" s="59" t="e">
        <f t="shared" si="17"/>
        <v>#NUM!</v>
      </c>
      <c r="DT13" s="59">
        <f ca="1">AVERAGE(OFFSET($DS$3,0,0,'Données projet'!$E$14+1,1))-AVERAGE(OFFSET($H$3,0,0,'Données projet'!$E$14+1,1))</f>
        <v>-18.333333333333343</v>
      </c>
      <c r="DU13" s="59">
        <f t="shared" si="44"/>
        <v>-18.333333333333343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>
        <f>EJ13*VLOOKUP('Données projet'!$B$15,Paramètres!$A$1:$I$89,3,0)*VLOOKUP('Données projet'!$B$15,Paramètres!$A$1:$I$89,5,0)</f>
        <v>0</v>
      </c>
      <c r="EL13" s="13" t="e">
        <f t="shared" si="45"/>
        <v>#NUM!</v>
      </c>
      <c r="EM13" s="20" t="e">
        <f t="shared" si="19"/>
        <v>#NUM!</v>
      </c>
      <c r="EN13" s="59" t="e">
        <f t="shared" si="20"/>
        <v>#NUM!</v>
      </c>
      <c r="EO13" s="59">
        <f ca="1">AVERAGE(OFFSET($EN$3,0,0,'Données projet'!$E$15+1,1))-AVERAGE(OFFSET($H$3,0,0,'Données projet'!$E$15+1,1))</f>
        <v>-18.333333333333343</v>
      </c>
      <c r="EP13" s="59">
        <f t="shared" si="46"/>
        <v>-18.333333333333343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3.887142857142857</v>
      </c>
      <c r="FE13" s="12">
        <f>IF('Données projet'!$A$218&gt;35,FE12+FD13-FM12,IF(A13&lt;'Données projet'!$A$218,$FB$205^A13,IF(A13='Données projet'!$A$218,'Données projet'!$B$218,FE12+FD13-FM12)))</f>
        <v>38.871428571428559</v>
      </c>
      <c r="FF13" s="17">
        <f>FE13*VLOOKUP('Données projet'!$B$16,Paramètres!$A$1:$I$89,3,0)*VLOOKUP('Données projet'!$B$16,Paramètres!$A$1:$I$89,5,0)</f>
        <v>37.596445714285707</v>
      </c>
      <c r="FG13" s="13">
        <f t="shared" si="47"/>
        <v>11.359305197918257</v>
      </c>
      <c r="FH13" s="20">
        <f t="shared" si="22"/>
        <v>85.264599505421899</v>
      </c>
      <c r="FI13" s="59">
        <f t="shared" si="23"/>
        <v>277.20326149046679</v>
      </c>
      <c r="FJ13" s="59">
        <f ca="1">AVERAGE(OFFSET($FI$3,0,0,'Données projet'!$E$16+1,1))-AVERAGE(OFFSET($H$3,0,0,'Données projet'!$E$16+1,1))</f>
        <v>664.59451650228573</v>
      </c>
      <c r="FK13" s="59">
        <f t="shared" si="48"/>
        <v>304.44325029106631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6.7273684210526312</v>
      </c>
      <c r="N14" s="13">
        <f>IF('Données projet'!$A$36&gt;35,N13+M14-V13,IF(A14&lt;'Données projet'!$A$36,$K$205^A14,IF(A14='Données projet'!$A$36,'Données projet'!$B$36,N13+M14-V13)))</f>
        <v>16.580966399578308</v>
      </c>
      <c r="O14" s="13">
        <f>N14*VLOOKUP('Données projet'!$B$9,Paramètres!$A$1:$I$89,3,0)*VLOOKUP('Données projet'!$B$9,Paramètres!$A$1:$I$89,5,0)</f>
        <v>9.9154179069478303</v>
      </c>
      <c r="P14" s="13">
        <f t="shared" si="33"/>
        <v>3.4985854445992031</v>
      </c>
      <c r="Q14" s="20">
        <f t="shared" si="2"/>
        <v>23.362722503944415</v>
      </c>
      <c r="R14" s="59">
        <f t="shared" si="0"/>
        <v>217.85852111305854</v>
      </c>
      <c r="S14" s="59">
        <f ca="1">AVERAGE(OFFSET($R$3,0,0,'Données projet'!$E$9+1,1))-AVERAGE(OFFSET($H$3,0,0,'Données projet'!$E$9+1,1))</f>
        <v>460.88622650237176</v>
      </c>
      <c r="T14" s="59">
        <f t="shared" si="34"/>
        <v>396.05161661639647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9.9228571428571435</v>
      </c>
      <c r="AI14" s="13">
        <f>IF('Données projet'!$A$62&gt;35,AI13+AH14-AQ13,IF(A14&lt;'Données projet'!$A$62,$AF$205^A14,IF(A14='Données projet'!$A$62,'Données projet'!$B$62,AI13+AH14-AQ13)))</f>
        <v>109.15142857142855</v>
      </c>
      <c r="AJ14" s="13">
        <f>AI14*VLOOKUP('Données projet'!$B$10,Paramètres!$A$1:$I$89,3,0)*VLOOKUP('Données projet'!$B$10,Paramètres!$A$1:$I$89,5,0)</f>
        <v>51.082868571428563</v>
      </c>
      <c r="AK14" s="13">
        <f t="shared" si="35"/>
        <v>14.893065508616067</v>
      </c>
      <c r="AL14" s="20">
        <f t="shared" si="4"/>
        <v>114.90808518941105</v>
      </c>
      <c r="AM14" s="59">
        <f t="shared" si="5"/>
        <v>309.40388379852516</v>
      </c>
      <c r="AN14" s="59">
        <f ca="1">AVERAGE(OFFSET($AM$3,0,0,'Données projet'!$E$10+1,1))-AVERAGE(OFFSET($H$3,0,0,'Données projet'!$E$10+1,1))</f>
        <v>387.50901594883317</v>
      </c>
      <c r="AO14" s="59">
        <f t="shared" si="36"/>
        <v>361.3623790401972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3.887142857142857</v>
      </c>
      <c r="BD14" s="12">
        <f>IF('Données projet'!$A$88&gt;35,BD13+BC14-BL13,IF(A14&lt;'Données projet'!$A$88,$BA$205^A14,IF(A14='Données projet'!$A$88,'Données projet'!$B$88,BD13+BC14-BL13)))</f>
        <v>42.758571428571415</v>
      </c>
      <c r="BE14" s="13">
        <f>BD14*VLOOKUP('Données projet'!$B$11,Paramètres!$A$1:$I$89,3,0)*VLOOKUP('Données projet'!$B$11,Paramètres!$A$1:$I$89,5,0)</f>
        <v>38.687955428571414</v>
      </c>
      <c r="BF14" s="13">
        <f t="shared" si="37"/>
        <v>11.650217223542473</v>
      </c>
      <c r="BG14" s="20">
        <f t="shared" si="7"/>
        <v>87.672317369098337</v>
      </c>
      <c r="BH14" s="59">
        <f t="shared" si="8"/>
        <v>282.16811597821248</v>
      </c>
      <c r="BI14" s="59">
        <f ca="1">AVERAGE(OFFSET($BH$3,0,0,'Données projet'!$E$11+1,1))-AVERAGE(OFFSET($H$3,0,0,'Données projet'!$E$11+1,1))</f>
        <v>627.65081154031589</v>
      </c>
      <c r="BJ14" s="59">
        <f t="shared" si="38"/>
        <v>288.78083487077618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3.887142857142857</v>
      </c>
      <c r="BY14" s="12">
        <f>IF('Données projet'!$A$114&gt;35,BY13+BX14-CG13,IF(A14&lt;'Données projet'!$A$114,$BV$205^A14,IF(A14='Données projet'!$A$114,'Données projet'!$B$114,BY13+BX14-CG13)))</f>
        <v>42.758571428571415</v>
      </c>
      <c r="BZ14" s="13">
        <f>BY14*VLOOKUP('Données projet'!$B$12,Paramètres!$A$1:$I$89,3,0)*VLOOKUP('Données projet'!$B$12,Paramètres!$A$1:$I$89,5,0)</f>
        <v>43.357191428571419</v>
      </c>
      <c r="CA14" s="13">
        <f t="shared" si="39"/>
        <v>12.884254354928219</v>
      </c>
      <c r="CB14" s="20">
        <f t="shared" si="10"/>
        <v>97.953851406261848</v>
      </c>
      <c r="CC14" s="59">
        <f t="shared" si="11"/>
        <v>292.44965001537599</v>
      </c>
      <c r="CD14" s="59">
        <f ca="1">AVERAGE(OFFSET($CC$3,0,0,'Données projet'!$E$12+1,1))-AVERAGE(OFFSET($H$3,0,0,'Données projet'!$E$12+1,1))</f>
        <v>692.2706942067415</v>
      </c>
      <c r="CE14" s="59">
        <f t="shared" si="40"/>
        <v>316.17529091924803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2.6285714285714286</v>
      </c>
      <c r="CT14" s="12">
        <f>IF('Données projet'!$A$140&gt;35,CT13+CS14-DB13,IF(A14&lt;'Données projet'!$A$140,$CQ$205^A14,IF(A14='Données projet'!$A$140,'Données projet'!$B$140,CT13+CS14-DB13)))</f>
        <v>4.1418127436402878</v>
      </c>
      <c r="CU14" s="17">
        <f>CT14*VLOOKUP('Données projet'!$B$13,Paramètres!$A$1:$I$89,3,0)*VLOOKUP('Données projet'!$B$13,Paramètres!$A$1:$I$89,5,0)</f>
        <v>3.9413490068480979</v>
      </c>
      <c r="CV14" s="13">
        <f t="shared" si="41"/>
        <v>1.5483312978272896</v>
      </c>
      <c r="CW14" s="20">
        <f t="shared" si="13"/>
        <v>9.5611931973096311</v>
      </c>
      <c r="CX14" s="59">
        <f t="shared" si="14"/>
        <v>204.05699180642375</v>
      </c>
      <c r="CY14" s="59">
        <f ca="1">AVERAGE(OFFSET($CX$3,0,0,'Données projet'!$E$13+1,1))-AVERAGE(OFFSET($H$3,0,0,'Données projet'!$E$13+1,1))</f>
        <v>424.5933338095914</v>
      </c>
      <c r="CZ14" s="59">
        <f t="shared" si="42"/>
        <v>159.28977188196134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>
        <f>DO14*VLOOKUP('Données projet'!$B$14,Paramètres!$A$1:$I$89,3,0)*VLOOKUP('Données projet'!$B$14,Paramètres!$A$1:$I$89,5,0)</f>
        <v>0</v>
      </c>
      <c r="DQ14" s="13" t="e">
        <f t="shared" si="43"/>
        <v>#NUM!</v>
      </c>
      <c r="DR14" s="20" t="e">
        <f t="shared" si="16"/>
        <v>#NUM!</v>
      </c>
      <c r="DS14" s="59" t="e">
        <f t="shared" si="17"/>
        <v>#NUM!</v>
      </c>
      <c r="DT14" s="59">
        <f ca="1">AVERAGE(OFFSET($DS$3,0,0,'Données projet'!$E$14+1,1))-AVERAGE(OFFSET($H$3,0,0,'Données projet'!$E$14+1,1))</f>
        <v>-18.333333333333343</v>
      </c>
      <c r="DU14" s="59">
        <f t="shared" si="44"/>
        <v>-18.333333333333343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>
        <f>EJ14*VLOOKUP('Données projet'!$B$15,Paramètres!$A$1:$I$89,3,0)*VLOOKUP('Données projet'!$B$15,Paramètres!$A$1:$I$89,5,0)</f>
        <v>0</v>
      </c>
      <c r="EL14" s="13" t="e">
        <f t="shared" si="45"/>
        <v>#NUM!</v>
      </c>
      <c r="EM14" s="20" t="e">
        <f t="shared" si="19"/>
        <v>#NUM!</v>
      </c>
      <c r="EN14" s="59" t="e">
        <f t="shared" si="20"/>
        <v>#NUM!</v>
      </c>
      <c r="EO14" s="59">
        <f ca="1">AVERAGE(OFFSET($EN$3,0,0,'Données projet'!$E$15+1,1))-AVERAGE(OFFSET($H$3,0,0,'Données projet'!$E$15+1,1))</f>
        <v>-18.333333333333343</v>
      </c>
      <c r="EP14" s="59">
        <f t="shared" si="46"/>
        <v>-18.333333333333343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3.887142857142857</v>
      </c>
      <c r="FE14" s="12">
        <f>IF('Données projet'!$A$218&gt;35,FE13+FD14-FM13,IF(A14&lt;'Données projet'!$A$218,$FB$205^A14,IF(A14='Données projet'!$A$218,'Données projet'!$B$218,FE13+FD14-FM13)))</f>
        <v>42.758571428571415</v>
      </c>
      <c r="FF14" s="17">
        <f>FE14*VLOOKUP('Données projet'!$B$16,Paramètres!$A$1:$I$89,3,0)*VLOOKUP('Données projet'!$B$16,Paramètres!$A$1:$I$89,5,0)</f>
        <v>41.356090285714274</v>
      </c>
      <c r="FG14" s="13">
        <f t="shared" si="47"/>
        <v>12.357378377386118</v>
      </c>
      <c r="FH14" s="20">
        <f t="shared" si="22"/>
        <v>93.550957921566507</v>
      </c>
      <c r="FI14" s="59">
        <f t="shared" si="23"/>
        <v>288.04675653068063</v>
      </c>
      <c r="FJ14" s="59">
        <f ca="1">AVERAGE(OFFSET($FI$3,0,0,'Données projet'!$E$16+1,1))-AVERAGE(OFFSET($H$3,0,0,'Données projet'!$E$16+1,1))</f>
        <v>664.59451650228573</v>
      </c>
      <c r="FK14" s="59">
        <f t="shared" si="48"/>
        <v>304.44325029106631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6.7273684210526312</v>
      </c>
      <c r="N15" s="13">
        <f>IF('Données projet'!$A$36&gt;35,N14+M15-V14,IF(A15&lt;'Données projet'!$A$36,$K$205^A15,IF(A15='Données projet'!$A$36,'Données projet'!$B$36,N14+M15-V14)))</f>
        <v>21.403434155714606</v>
      </c>
      <c r="O15" s="13">
        <f>N15*VLOOKUP('Données projet'!$B$9,Paramètres!$A$1:$I$89,3,0)*VLOOKUP('Données projet'!$B$9,Paramètres!$A$1:$I$89,5,0)</f>
        <v>12.799253625117336</v>
      </c>
      <c r="P15" s="13">
        <f t="shared" si="33"/>
        <v>4.3838977605725233</v>
      </c>
      <c r="Q15" s="20">
        <f t="shared" si="2"/>
        <v>29.927321996743171</v>
      </c>
      <c r="R15" s="59">
        <f t="shared" si="0"/>
        <v>226.95709944947603</v>
      </c>
      <c r="S15" s="59">
        <f ca="1">AVERAGE(OFFSET($R$3,0,0,'Données projet'!$E$9+1,1))-AVERAGE(OFFSET($H$3,0,0,'Données projet'!$E$9+1,1))</f>
        <v>460.88622650237176</v>
      </c>
      <c r="T15" s="59">
        <f t="shared" si="34"/>
        <v>396.05161661639647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9.9228571428571435</v>
      </c>
      <c r="AI15" s="13">
        <f>IF('Données projet'!$A$62&gt;35,AI14+AH15-AQ14,IF(A15&lt;'Données projet'!$A$62,$AF$205^A15,IF(A15='Données projet'!$A$62,'Données projet'!$B$62,AI14+AH15-AQ14)))</f>
        <v>119.07428571428569</v>
      </c>
      <c r="AJ15" s="13">
        <f>AI15*VLOOKUP('Données projet'!$B$10,Paramètres!$A$1:$I$89,3,0)*VLOOKUP('Données projet'!$B$10,Paramètres!$A$1:$I$89,5,0)</f>
        <v>55.726765714285705</v>
      </c>
      <c r="AK15" s="13">
        <f t="shared" si="35"/>
        <v>16.083259609160287</v>
      </c>
      <c r="AL15" s="20">
        <f t="shared" si="4"/>
        <v>125.0691274383351</v>
      </c>
      <c r="AM15" s="59">
        <f t="shared" si="5"/>
        <v>322.09890489106795</v>
      </c>
      <c r="AN15" s="59">
        <f ca="1">AVERAGE(OFFSET($AM$3,0,0,'Données projet'!$E$10+1,1))-AVERAGE(OFFSET($H$3,0,0,'Données projet'!$E$10+1,1))</f>
        <v>387.50901594883317</v>
      </c>
      <c r="AO15" s="59">
        <f t="shared" si="36"/>
        <v>361.3623790401972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3.887142857142857</v>
      </c>
      <c r="BD15" s="12">
        <f>IF('Données projet'!$A$88&gt;35,BD14+BC15-BL14,IF(A15&lt;'Données projet'!$A$88,$BA$205^A15,IF(A15='Données projet'!$A$88,'Données projet'!$B$88,BD14+BC15-BL14)))</f>
        <v>46.64571428571427</v>
      </c>
      <c r="BE15" s="13">
        <f>BD15*VLOOKUP('Données projet'!$B$11,Paramètres!$A$1:$I$89,3,0)*VLOOKUP('Données projet'!$B$11,Paramètres!$A$1:$I$89,5,0)</f>
        <v>42.205042285714271</v>
      </c>
      <c r="BF15" s="13">
        <f t="shared" si="37"/>
        <v>12.581255887241159</v>
      </c>
      <c r="BG15" s="20">
        <f t="shared" si="7"/>
        <v>95.419469317897367</v>
      </c>
      <c r="BH15" s="59">
        <f t="shared" si="8"/>
        <v>292.44924677063023</v>
      </c>
      <c r="BI15" s="59">
        <f ca="1">AVERAGE(OFFSET($BH$3,0,0,'Données projet'!$E$11+1,1))-AVERAGE(OFFSET($H$3,0,0,'Données projet'!$E$11+1,1))</f>
        <v>627.65081154031589</v>
      </c>
      <c r="BJ15" s="59">
        <f t="shared" si="38"/>
        <v>288.78083487077618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3.887142857142857</v>
      </c>
      <c r="BY15" s="12">
        <f>IF('Données projet'!$A$114&gt;35,BY14+BX15-CG14,IF(A15&lt;'Données projet'!$A$114,$BV$205^A15,IF(A15='Données projet'!$A$114,'Données projet'!$B$114,BY14+BX15-CG14)))</f>
        <v>46.64571428571427</v>
      </c>
      <c r="BZ15" s="13">
        <f>BY15*VLOOKUP('Données projet'!$B$12,Paramètres!$A$1:$I$89,3,0)*VLOOKUP('Données projet'!$B$12,Paramètres!$A$1:$I$89,5,0)</f>
        <v>47.298754285714274</v>
      </c>
      <c r="CA15" s="13">
        <f t="shared" si="39"/>
        <v>13.913912319856609</v>
      </c>
      <c r="CB15" s="20">
        <f t="shared" si="10"/>
        <v>106.6120610047026</v>
      </c>
      <c r="CC15" s="59">
        <f t="shared" si="11"/>
        <v>303.64183845743548</v>
      </c>
      <c r="CD15" s="59">
        <f ca="1">AVERAGE(OFFSET($CC$3,0,0,'Données projet'!$E$12+1,1))-AVERAGE(OFFSET($H$3,0,0,'Données projet'!$E$12+1,1))</f>
        <v>692.2706942067415</v>
      </c>
      <c r="CE15" s="59">
        <f t="shared" si="40"/>
        <v>316.17529091924803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2.6285714285714286</v>
      </c>
      <c r="CT15" s="12">
        <f>IF('Données projet'!$A$140&gt;35,CT14+CS15-DB14,IF(A15&lt;'Données projet'!$A$140,$CQ$205^A15,IF(A15='Données projet'!$A$140,'Données projet'!$B$140,CT14+CS15-DB14)))</f>
        <v>4.7130134989444761</v>
      </c>
      <c r="CU15" s="17">
        <f>CT15*VLOOKUP('Données projet'!$B$13,Paramètres!$A$1:$I$89,3,0)*VLOOKUP('Données projet'!$B$13,Paramètres!$A$1:$I$89,5,0)</f>
        <v>4.4849036455955638</v>
      </c>
      <c r="CV15" s="13">
        <f t="shared" si="41"/>
        <v>1.7355659417668412</v>
      </c>
      <c r="CW15" s="20">
        <f t="shared" si="13"/>
        <v>10.833984531322855</v>
      </c>
      <c r="CX15" s="59">
        <f t="shared" si="14"/>
        <v>207.86376198405571</v>
      </c>
      <c r="CY15" s="59">
        <f ca="1">AVERAGE(OFFSET($CX$3,0,0,'Données projet'!$E$13+1,1))-AVERAGE(OFFSET($H$3,0,0,'Données projet'!$E$13+1,1))</f>
        <v>424.5933338095914</v>
      </c>
      <c r="CZ15" s="59">
        <f t="shared" si="42"/>
        <v>159.28977188196134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>
        <f>DO15*VLOOKUP('Données projet'!$B$14,Paramètres!$A$1:$I$89,3,0)*VLOOKUP('Données projet'!$B$14,Paramètres!$A$1:$I$89,5,0)</f>
        <v>0</v>
      </c>
      <c r="DQ15" s="13" t="e">
        <f t="shared" si="43"/>
        <v>#NUM!</v>
      </c>
      <c r="DR15" s="20" t="e">
        <f t="shared" si="16"/>
        <v>#NUM!</v>
      </c>
      <c r="DS15" s="59" t="e">
        <f t="shared" si="17"/>
        <v>#NUM!</v>
      </c>
      <c r="DT15" s="59">
        <f ca="1">AVERAGE(OFFSET($DS$3,0,0,'Données projet'!$E$14+1,1))-AVERAGE(OFFSET($H$3,0,0,'Données projet'!$E$14+1,1))</f>
        <v>-18.333333333333343</v>
      </c>
      <c r="DU15" s="59">
        <f t="shared" si="44"/>
        <v>-18.333333333333343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>
        <f>EJ15*VLOOKUP('Données projet'!$B$15,Paramètres!$A$1:$I$89,3,0)*VLOOKUP('Données projet'!$B$15,Paramètres!$A$1:$I$89,5,0)</f>
        <v>0</v>
      </c>
      <c r="EL15" s="13" t="e">
        <f t="shared" si="45"/>
        <v>#NUM!</v>
      </c>
      <c r="EM15" s="20" t="e">
        <f t="shared" si="19"/>
        <v>#NUM!</v>
      </c>
      <c r="EN15" s="59" t="e">
        <f t="shared" si="20"/>
        <v>#NUM!</v>
      </c>
      <c r="EO15" s="59">
        <f ca="1">AVERAGE(OFFSET($EN$3,0,0,'Données projet'!$E$15+1,1))-AVERAGE(OFFSET($H$3,0,0,'Données projet'!$E$15+1,1))</f>
        <v>-18.333333333333343</v>
      </c>
      <c r="EP15" s="59">
        <f t="shared" si="46"/>
        <v>-18.333333333333343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3.887142857142857</v>
      </c>
      <c r="FE15" s="12">
        <f>IF('Données projet'!$A$218&gt;35,FE14+FD15-FM14,IF(A15&lt;'Données projet'!$A$218,$FB$205^A15,IF(A15='Données projet'!$A$218,'Données projet'!$B$218,FE14+FD15-FM14)))</f>
        <v>46.64571428571427</v>
      </c>
      <c r="FF15" s="17">
        <f>FE15*VLOOKUP('Données projet'!$B$16,Paramètres!$A$1:$I$89,3,0)*VLOOKUP('Données projet'!$B$16,Paramètres!$A$1:$I$89,5,0)</f>
        <v>45.115734857142847</v>
      </c>
      <c r="FG15" s="13">
        <f t="shared" si="47"/>
        <v>13.344930526032003</v>
      </c>
      <c r="FH15" s="20">
        <f t="shared" si="22"/>
        <v>101.81899220902953</v>
      </c>
      <c r="FI15" s="59">
        <f t="shared" si="23"/>
        <v>298.84876966176239</v>
      </c>
      <c r="FJ15" s="59">
        <f ca="1">AVERAGE(OFFSET($FI$3,0,0,'Données projet'!$E$16+1,1))-AVERAGE(OFFSET($H$3,0,0,'Données projet'!$E$16+1,1))</f>
        <v>664.59451650228573</v>
      </c>
      <c r="FK15" s="59">
        <f t="shared" si="48"/>
        <v>304.44325029106631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6.7273684210526312</v>
      </c>
      <c r="N16" s="13">
        <f>IF('Données projet'!$A$36&gt;35,N15+M16-V15,IF(A16&lt;'Données projet'!$A$36,$K$205^A16,IF(A16='Données projet'!$A$36,'Données projet'!$B$36,N15+M16-V15)))</f>
        <v>27.628485735889402</v>
      </c>
      <c r="O16" s="13">
        <f>N16*VLOOKUP('Données projet'!$B$9,Paramètres!$A$1:$I$89,3,0)*VLOOKUP('Données projet'!$B$9,Paramètres!$A$1:$I$89,5,0)</f>
        <v>16.521834470061862</v>
      </c>
      <c r="P16" s="13">
        <f t="shared" si="33"/>
        <v>5.4932371609847763</v>
      </c>
      <c r="Q16" s="20">
        <f t="shared" si="2"/>
        <v>38.342916424072889</v>
      </c>
      <c r="R16" s="59">
        <f t="shared" si="0"/>
        <v>237.88391667569169</v>
      </c>
      <c r="S16" s="59">
        <f ca="1">AVERAGE(OFFSET($R$3,0,0,'Données projet'!$E$9+1,1))-AVERAGE(OFFSET($H$3,0,0,'Données projet'!$E$9+1,1))</f>
        <v>460.88622650237176</v>
      </c>
      <c r="T16" s="59">
        <f t="shared" si="34"/>
        <v>396.05161661639647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9.9228571428571435</v>
      </c>
      <c r="AI16" s="13">
        <f>IF('Données projet'!$A$62&gt;35,AI15+AH16-AQ15,IF(A16&lt;'Données projet'!$A$62,$AF$205^A16,IF(A16='Données projet'!$A$62,'Données projet'!$B$62,AI15+AH16-AQ15)))</f>
        <v>128.99714285714285</v>
      </c>
      <c r="AJ16" s="13">
        <f>AI16*VLOOKUP('Données projet'!$B$10,Paramètres!$A$1:$I$89,3,0)*VLOOKUP('Données projet'!$B$10,Paramètres!$A$1:$I$89,5,0)</f>
        <v>60.370662857142847</v>
      </c>
      <c r="AK16" s="13">
        <f t="shared" si="35"/>
        <v>17.261950594894824</v>
      </c>
      <c r="AL16" s="20">
        <f t="shared" si="4"/>
        <v>135.21013509563227</v>
      </c>
      <c r="AM16" s="59">
        <f t="shared" si="5"/>
        <v>334.75113534725108</v>
      </c>
      <c r="AN16" s="59">
        <f ca="1">AVERAGE(OFFSET($AM$3,0,0,'Données projet'!$E$10+1,1))-AVERAGE(OFFSET($H$3,0,0,'Données projet'!$E$10+1,1))</f>
        <v>387.50901594883317</v>
      </c>
      <c r="AO16" s="59">
        <f t="shared" si="36"/>
        <v>361.3623790401972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3.887142857142857</v>
      </c>
      <c r="BD16" s="12">
        <f>IF('Données projet'!$A$88&gt;35,BD15+BC16-BL15,IF(A16&lt;'Données projet'!$A$88,$BA$205^A16,IF(A16='Données projet'!$A$88,'Données projet'!$B$88,BD15+BC16-BL15)))</f>
        <v>50.532857142857125</v>
      </c>
      <c r="BE16" s="13">
        <f>BD16*VLOOKUP('Données projet'!$B$11,Paramètres!$A$1:$I$89,3,0)*VLOOKUP('Données projet'!$B$11,Paramètres!$A$1:$I$89,5,0)</f>
        <v>45.722129142857128</v>
      </c>
      <c r="BF16" s="13">
        <f t="shared" si="37"/>
        <v>13.50329614922042</v>
      </c>
      <c r="BG16" s="20">
        <f t="shared" si="7"/>
        <v>103.1509490503684</v>
      </c>
      <c r="BH16" s="59">
        <f t="shared" si="8"/>
        <v>302.69194930198722</v>
      </c>
      <c r="BI16" s="59">
        <f ca="1">AVERAGE(OFFSET($BH$3,0,0,'Données projet'!$E$11+1,1))-AVERAGE(OFFSET($H$3,0,0,'Données projet'!$E$11+1,1))</f>
        <v>627.65081154031589</v>
      </c>
      <c r="BJ16" s="59">
        <f t="shared" si="38"/>
        <v>288.78083487077618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3.887142857142857</v>
      </c>
      <c r="BY16" s="12">
        <f>IF('Données projet'!$A$114&gt;35,BY15+BX16-CG15,IF(A16&lt;'Données projet'!$A$114,$BV$205^A16,IF(A16='Données projet'!$A$114,'Données projet'!$B$114,BY15+BX16-CG15)))</f>
        <v>50.532857142857125</v>
      </c>
      <c r="BZ16" s="13">
        <f>BY16*VLOOKUP('Données projet'!$B$12,Paramètres!$A$1:$I$89,3,0)*VLOOKUP('Données projet'!$B$12,Paramètres!$A$1:$I$89,5,0)</f>
        <v>51.240317142857123</v>
      </c>
      <c r="CA16" s="13">
        <f t="shared" si="39"/>
        <v>14.933618736730883</v>
      </c>
      <c r="CB16" s="20">
        <f t="shared" si="10"/>
        <v>115.25293832361577</v>
      </c>
      <c r="CC16" s="59">
        <f t="shared" si="11"/>
        <v>314.79393857523456</v>
      </c>
      <c r="CD16" s="59">
        <f ca="1">AVERAGE(OFFSET($CC$3,0,0,'Données projet'!$E$12+1,1))-AVERAGE(OFFSET($H$3,0,0,'Données projet'!$E$12+1,1))</f>
        <v>692.2706942067415</v>
      </c>
      <c r="CE16" s="59">
        <f t="shared" si="40"/>
        <v>316.17529091924803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2.6285714285714286</v>
      </c>
      <c r="CT16" s="12">
        <f>IF('Données projet'!$A$140&gt;35,CT15+CS16-DB15,IF(A16&lt;'Données projet'!$A$140,$CQ$205^A16,IF(A16='Données projet'!$A$140,'Données projet'!$B$140,CT15+CS16-DB15)))</f>
        <v>5.3629890137693748</v>
      </c>
      <c r="CU16" s="17">
        <f>CT16*VLOOKUP('Données projet'!$B$13,Paramètres!$A$1:$I$89,3,0)*VLOOKUP('Données projet'!$B$13,Paramètres!$A$1:$I$89,5,0)</f>
        <v>5.1034203455029372</v>
      </c>
      <c r="CV16" s="13">
        <f t="shared" si="41"/>
        <v>1.9454422593200211</v>
      </c>
      <c r="CW16" s="20">
        <f t="shared" si="13"/>
        <v>12.276769036733318</v>
      </c>
      <c r="CX16" s="59">
        <f t="shared" si="14"/>
        <v>211.81776928835214</v>
      </c>
      <c r="CY16" s="59">
        <f ca="1">AVERAGE(OFFSET($CX$3,0,0,'Données projet'!$E$13+1,1))-AVERAGE(OFFSET($H$3,0,0,'Données projet'!$E$13+1,1))</f>
        <v>424.5933338095914</v>
      </c>
      <c r="CZ16" s="59">
        <f t="shared" si="42"/>
        <v>159.28977188196134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>
        <f>DO16*VLOOKUP('Données projet'!$B$14,Paramètres!$A$1:$I$89,3,0)*VLOOKUP('Données projet'!$B$14,Paramètres!$A$1:$I$89,5,0)</f>
        <v>0</v>
      </c>
      <c r="DQ16" s="13" t="e">
        <f t="shared" si="43"/>
        <v>#NUM!</v>
      </c>
      <c r="DR16" s="20" t="e">
        <f t="shared" si="16"/>
        <v>#NUM!</v>
      </c>
      <c r="DS16" s="59" t="e">
        <f t="shared" si="17"/>
        <v>#NUM!</v>
      </c>
      <c r="DT16" s="59">
        <f ca="1">AVERAGE(OFFSET($DS$3,0,0,'Données projet'!$E$14+1,1))-AVERAGE(OFFSET($H$3,0,0,'Données projet'!$E$14+1,1))</f>
        <v>-18.333333333333343</v>
      </c>
      <c r="DU16" s="59">
        <f t="shared" si="44"/>
        <v>-18.333333333333343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>
        <f>EJ16*VLOOKUP('Données projet'!$B$15,Paramètres!$A$1:$I$89,3,0)*VLOOKUP('Données projet'!$B$15,Paramètres!$A$1:$I$89,5,0)</f>
        <v>0</v>
      </c>
      <c r="EL16" s="13" t="e">
        <f t="shared" si="45"/>
        <v>#NUM!</v>
      </c>
      <c r="EM16" s="20" t="e">
        <f t="shared" si="19"/>
        <v>#NUM!</v>
      </c>
      <c r="EN16" s="59" t="e">
        <f t="shared" si="20"/>
        <v>#NUM!</v>
      </c>
      <c r="EO16" s="59">
        <f ca="1">AVERAGE(OFFSET($EN$3,0,0,'Données projet'!$E$15+1,1))-AVERAGE(OFFSET($H$3,0,0,'Données projet'!$E$15+1,1))</f>
        <v>-18.333333333333343</v>
      </c>
      <c r="EP16" s="59">
        <f t="shared" si="46"/>
        <v>-18.333333333333343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3.887142857142857</v>
      </c>
      <c r="FE16" s="12">
        <f>IF('Données projet'!$A$218&gt;35,FE15+FD16-FM15,IF(A16&lt;'Données projet'!$A$218,$FB$205^A16,IF(A16='Données projet'!$A$218,'Données projet'!$B$218,FE15+FD16-FM15)))</f>
        <v>50.532857142857125</v>
      </c>
      <c r="FF16" s="17">
        <f>FE16*VLOOKUP('Données projet'!$B$16,Paramètres!$A$1:$I$89,3,0)*VLOOKUP('Données projet'!$B$16,Paramètres!$A$1:$I$89,5,0)</f>
        <v>48.875379428571414</v>
      </c>
      <c r="FG16" s="13">
        <f t="shared" si="47"/>
        <v>14.322938075405181</v>
      </c>
      <c r="FH16" s="20">
        <f t="shared" si="22"/>
        <v>110.07040298609256</v>
      </c>
      <c r="FI16" s="59">
        <f t="shared" si="23"/>
        <v>309.61140323771139</v>
      </c>
      <c r="FJ16" s="59">
        <f ca="1">AVERAGE(OFFSET($FI$3,0,0,'Données projet'!$E$16+1,1))-AVERAGE(OFFSET($H$3,0,0,'Données projet'!$E$16+1,1))</f>
        <v>664.59451650228573</v>
      </c>
      <c r="FK16" s="59">
        <f t="shared" si="48"/>
        <v>304.44325029106631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6.7273684210526312</v>
      </c>
      <c r="N17" s="13">
        <f>IF('Données projet'!$A$36&gt;35,N16+M17-V16,IF(A17&lt;'Données projet'!$A$36,$K$205^A17,IF(A17='Données projet'!$A$36,'Données projet'!$B$36,N16+M17-V16)))</f>
        <v>35.664053651616371</v>
      </c>
      <c r="O17" s="13">
        <f>N17*VLOOKUP('Données projet'!$B$9,Paramètres!$A$1:$I$89,3,0)*VLOOKUP('Données projet'!$B$9,Paramètres!$A$1:$I$89,5,0)</f>
        <v>21.32710408366659</v>
      </c>
      <c r="P17" s="13">
        <f t="shared" si="33"/>
        <v>6.8832933966241132</v>
      </c>
      <c r="Q17" s="20">
        <f t="shared" si="2"/>
        <v>49.133108944839641</v>
      </c>
      <c r="R17" s="59">
        <f t="shared" si="0"/>
        <v>251.16297071711284</v>
      </c>
      <c r="S17" s="59">
        <f ca="1">AVERAGE(OFFSET($R$3,0,0,'Données projet'!$E$9+1,1))-AVERAGE(OFFSET($H$3,0,0,'Données projet'!$E$9+1,1))</f>
        <v>460.88622650237176</v>
      </c>
      <c r="T17" s="59">
        <f t="shared" si="34"/>
        <v>396.05161661639647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9.9228571428571435</v>
      </c>
      <c r="AI17" s="13">
        <f>IF('Données projet'!$A$62&gt;35,AI16+AH17-AQ16,IF(A17&lt;'Données projet'!$A$62,$AF$205^A17,IF(A17='Données projet'!$A$62,'Données projet'!$B$62,AI16+AH17-AQ16)))</f>
        <v>138.91999999999999</v>
      </c>
      <c r="AJ17" s="13">
        <f>AI17*VLOOKUP('Données projet'!$B$10,Paramètres!$A$1:$I$89,3,0)*VLOOKUP('Données projet'!$B$10,Paramètres!$A$1:$I$89,5,0)</f>
        <v>65.014560000000003</v>
      </c>
      <c r="AK17" s="13">
        <f t="shared" si="35"/>
        <v>18.430123928042022</v>
      </c>
      <c r="AL17" s="20">
        <f t="shared" si="4"/>
        <v>145.33282450800652</v>
      </c>
      <c r="AM17" s="59">
        <f t="shared" si="5"/>
        <v>347.36268628027972</v>
      </c>
      <c r="AN17" s="59">
        <f ca="1">AVERAGE(OFFSET($AM$3,0,0,'Données projet'!$E$10+1,1))-AVERAGE(OFFSET($H$3,0,0,'Données projet'!$E$10+1,1))</f>
        <v>387.50901594883317</v>
      </c>
      <c r="AO17" s="59">
        <f t="shared" si="36"/>
        <v>361.3623790401972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3.887142857142857</v>
      </c>
      <c r="BD17" s="12">
        <f>IF('Données projet'!$A$88&gt;35,BD16+BC17-BL16,IF(A17&lt;'Données projet'!$A$88,$BA$205^A17,IF(A17='Données projet'!$A$88,'Données projet'!$B$88,BD16+BC17-BL16)))</f>
        <v>54.41999999999998</v>
      </c>
      <c r="BE17" s="13">
        <f>BD17*VLOOKUP('Données projet'!$B$11,Paramètres!$A$1:$I$89,3,0)*VLOOKUP('Données projet'!$B$11,Paramètres!$A$1:$I$89,5,0)</f>
        <v>49.239215999999978</v>
      </c>
      <c r="BF17" s="13">
        <f t="shared" si="37"/>
        <v>14.417108895027585</v>
      </c>
      <c r="BG17" s="20">
        <f t="shared" si="7"/>
        <v>110.86809919217301</v>
      </c>
      <c r="BH17" s="59">
        <f t="shared" si="8"/>
        <v>312.89796096444621</v>
      </c>
      <c r="BI17" s="59">
        <f ca="1">AVERAGE(OFFSET($BH$3,0,0,'Données projet'!$E$11+1,1))-AVERAGE(OFFSET($H$3,0,0,'Données projet'!$E$11+1,1))</f>
        <v>627.65081154031589</v>
      </c>
      <c r="BJ17" s="59">
        <f t="shared" si="38"/>
        <v>288.78083487077618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3.887142857142857</v>
      </c>
      <c r="BY17" s="12">
        <f>IF('Données projet'!$A$114&gt;35,BY16+BX17-CG16,IF(A17&lt;'Données projet'!$A$114,$BV$205^A17,IF(A17='Données projet'!$A$114,'Données projet'!$B$114,BY16+BX17-CG16)))</f>
        <v>54.41999999999998</v>
      </c>
      <c r="BZ17" s="13">
        <f>BY17*VLOOKUP('Données projet'!$B$12,Paramètres!$A$1:$I$89,3,0)*VLOOKUP('Données projet'!$B$12,Paramètres!$A$1:$I$89,5,0)</f>
        <v>55.181879999999985</v>
      </c>
      <c r="CA17" s="13">
        <f t="shared" si="39"/>
        <v>15.944226146347479</v>
      </c>
      <c r="CB17" s="20">
        <f t="shared" si="10"/>
        <v>123.87796820488852</v>
      </c>
      <c r="CC17" s="59">
        <f t="shared" si="11"/>
        <v>325.90782997716173</v>
      </c>
      <c r="CD17" s="59">
        <f ca="1">AVERAGE(OFFSET($CC$3,0,0,'Données projet'!$E$12+1,1))-AVERAGE(OFFSET($H$3,0,0,'Données projet'!$E$12+1,1))</f>
        <v>692.2706942067415</v>
      </c>
      <c r="CE17" s="59">
        <f t="shared" si="40"/>
        <v>316.17529091924803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2.6285714285714286</v>
      </c>
      <c r="CT17" s="12">
        <f>IF('Données projet'!$A$140&gt;35,CT16+CS17-DB16,IF(A17&lt;'Données projet'!$A$140,$CQ$205^A17,IF(A17='Données projet'!$A$140,'Données projet'!$B$140,CT16+CS17-DB16)))</f>
        <v>6.1026031791023838</v>
      </c>
      <c r="CU17" s="17">
        <f>CT17*VLOOKUP('Données projet'!$B$13,Paramètres!$A$1:$I$89,3,0)*VLOOKUP('Données projet'!$B$13,Paramètres!$A$1:$I$89,5,0)</f>
        <v>5.807237185233828</v>
      </c>
      <c r="CV17" s="13">
        <f t="shared" si="41"/>
        <v>2.1806982340845202</v>
      </c>
      <c r="CW17" s="20">
        <f t="shared" si="13"/>
        <v>13.912320855312787</v>
      </c>
      <c r="CX17" s="59">
        <f t="shared" si="14"/>
        <v>215.94218262758599</v>
      </c>
      <c r="CY17" s="59">
        <f ca="1">AVERAGE(OFFSET($CX$3,0,0,'Données projet'!$E$13+1,1))-AVERAGE(OFFSET($H$3,0,0,'Données projet'!$E$13+1,1))</f>
        <v>424.5933338095914</v>
      </c>
      <c r="CZ17" s="59">
        <f t="shared" si="42"/>
        <v>159.28977188196134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>
        <f>DO17*VLOOKUP('Données projet'!$B$14,Paramètres!$A$1:$I$89,3,0)*VLOOKUP('Données projet'!$B$14,Paramètres!$A$1:$I$89,5,0)</f>
        <v>0</v>
      </c>
      <c r="DQ17" s="13" t="e">
        <f t="shared" si="43"/>
        <v>#NUM!</v>
      </c>
      <c r="DR17" s="20" t="e">
        <f t="shared" si="16"/>
        <v>#NUM!</v>
      </c>
      <c r="DS17" s="59" t="e">
        <f t="shared" si="17"/>
        <v>#NUM!</v>
      </c>
      <c r="DT17" s="59">
        <f ca="1">AVERAGE(OFFSET($DS$3,0,0,'Données projet'!$E$14+1,1))-AVERAGE(OFFSET($H$3,0,0,'Données projet'!$E$14+1,1))</f>
        <v>-18.333333333333343</v>
      </c>
      <c r="DU17" s="59">
        <f t="shared" si="44"/>
        <v>-18.333333333333343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>
        <f>EJ17*VLOOKUP('Données projet'!$B$15,Paramètres!$A$1:$I$89,3,0)*VLOOKUP('Données projet'!$B$15,Paramètres!$A$1:$I$89,5,0)</f>
        <v>0</v>
      </c>
      <c r="EL17" s="13" t="e">
        <f t="shared" si="45"/>
        <v>#NUM!</v>
      </c>
      <c r="EM17" s="20" t="e">
        <f t="shared" si="19"/>
        <v>#NUM!</v>
      </c>
      <c r="EN17" s="59" t="e">
        <f t="shared" si="20"/>
        <v>#NUM!</v>
      </c>
      <c r="EO17" s="59">
        <f ca="1">AVERAGE(OFFSET($EN$3,0,0,'Données projet'!$E$15+1,1))-AVERAGE(OFFSET($H$3,0,0,'Données projet'!$E$15+1,1))</f>
        <v>-18.333333333333343</v>
      </c>
      <c r="EP17" s="59">
        <f t="shared" si="46"/>
        <v>-18.333333333333343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3.887142857142857</v>
      </c>
      <c r="FE17" s="12">
        <f>IF('Données projet'!$A$218&gt;35,FE16+FD17-FM16,IF(A17&lt;'Données projet'!$A$218,$FB$205^A17,IF(A17='Données projet'!$A$218,'Données projet'!$B$218,FE16+FD17-FM16)))</f>
        <v>54.41999999999998</v>
      </c>
      <c r="FF17" s="17">
        <f>FE17*VLOOKUP('Données projet'!$B$16,Paramètres!$A$1:$I$89,3,0)*VLOOKUP('Données projet'!$B$16,Paramètres!$A$1:$I$89,5,0)</f>
        <v>52.63502399999998</v>
      </c>
      <c r="FG17" s="13">
        <f t="shared" si="47"/>
        <v>15.292218703340431</v>
      </c>
      <c r="FH17" s="20">
        <f t="shared" si="22"/>
        <v>118.30661437498453</v>
      </c>
      <c r="FI17" s="59">
        <f t="shared" si="23"/>
        <v>320.33647614725771</v>
      </c>
      <c r="FJ17" s="59">
        <f ca="1">AVERAGE(OFFSET($FI$3,0,0,'Données projet'!$E$16+1,1))-AVERAGE(OFFSET($H$3,0,0,'Données projet'!$E$16+1,1))</f>
        <v>664.59451650228573</v>
      </c>
      <c r="FK17" s="59">
        <f t="shared" si="48"/>
        <v>304.44325029106631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6.7273684210526312</v>
      </c>
      <c r="N18" s="13">
        <f>IF('Données projet'!$A$36&gt;35,N17+M18-V17,IF(A18&lt;'Données projet'!$A$36,$K$205^A18,IF(A18='Données projet'!$A$36,'Données projet'!$B$36,N17+M18-V17)))</f>
        <v>46.036714969620697</v>
      </c>
      <c r="O18" s="13">
        <f>N18*VLOOKUP('Données projet'!$B$9,Paramètres!$A$1:$I$89,3,0)*VLOOKUP('Données projet'!$B$9,Paramètres!$A$1:$I$89,5,0)</f>
        <v>27.529955551833176</v>
      </c>
      <c r="P18" s="13">
        <f t="shared" si="33"/>
        <v>8.6251014830598223</v>
      </c>
      <c r="Q18" s="20">
        <f t="shared" si="2"/>
        <v>62.970057669105302</v>
      </c>
      <c r="R18" s="59">
        <f t="shared" si="0"/>
        <v>267.46680760198637</v>
      </c>
      <c r="S18" s="59">
        <f ca="1">AVERAGE(OFFSET($R$3,0,0,'Données projet'!$E$9+1,1))-AVERAGE(OFFSET($H$3,0,0,'Données projet'!$E$9+1,1))</f>
        <v>460.88622650237176</v>
      </c>
      <c r="T18" s="59">
        <f t="shared" si="34"/>
        <v>396.05161661639647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9.9228571428571435</v>
      </c>
      <c r="AI18" s="13">
        <f>IF('Données projet'!$A$62&gt;35,AI17+AH18-AQ17,IF(A18&lt;'Données projet'!$A$62,$AF$205^A18,IF(A18='Données projet'!$A$62,'Données projet'!$B$62,AI17+AH18-AQ17)))</f>
        <v>148.84285714285713</v>
      </c>
      <c r="AJ18" s="13">
        <f>AI18*VLOOKUP('Données projet'!$B$10,Paramètres!$A$1:$I$89,3,0)*VLOOKUP('Données projet'!$B$10,Paramètres!$A$1:$I$89,5,0)</f>
        <v>69.658457142857131</v>
      </c>
      <c r="AK18" s="13">
        <f t="shared" si="35"/>
        <v>19.588616313230013</v>
      </c>
      <c r="AL18" s="20">
        <f t="shared" si="4"/>
        <v>155.43865293601846</v>
      </c>
      <c r="AM18" s="59">
        <f t="shared" si="5"/>
        <v>359.93540286889947</v>
      </c>
      <c r="AN18" s="59">
        <f ca="1">AVERAGE(OFFSET($AM$3,0,0,'Données projet'!$E$10+1,1))-AVERAGE(OFFSET($H$3,0,0,'Données projet'!$E$10+1,1))</f>
        <v>387.50901594883317</v>
      </c>
      <c r="AO18" s="59">
        <f t="shared" si="36"/>
        <v>361.3623790401972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3.887142857142857</v>
      </c>
      <c r="BD18" s="12">
        <f>IF('Données projet'!$A$88&gt;35,BD17+BC18-BL17,IF(A18&lt;'Données projet'!$A$88,$BA$205^A18,IF(A18='Données projet'!$A$88,'Données projet'!$B$88,BD17+BC18-BL17)))</f>
        <v>58.307142857142836</v>
      </c>
      <c r="BE18" s="13">
        <f>BD18*VLOOKUP('Données projet'!$B$11,Paramètres!$A$1:$I$89,3,0)*VLOOKUP('Données projet'!$B$11,Paramètres!$A$1:$I$89,5,0)</f>
        <v>52.756302857142842</v>
      </c>
      <c r="BF18" s="13">
        <f t="shared" si="37"/>
        <v>15.323348643415981</v>
      </c>
      <c r="BG18" s="20">
        <f t="shared" si="7"/>
        <v>118.57205969680662</v>
      </c>
      <c r="BH18" s="59">
        <f t="shared" si="8"/>
        <v>323.06880962968768</v>
      </c>
      <c r="BI18" s="59">
        <f ca="1">AVERAGE(OFFSET($BH$3,0,0,'Données projet'!$E$11+1,1))-AVERAGE(OFFSET($H$3,0,0,'Données projet'!$E$11+1,1))</f>
        <v>627.65081154031589</v>
      </c>
      <c r="BJ18" s="59">
        <f t="shared" si="38"/>
        <v>288.78083487077618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3.887142857142857</v>
      </c>
      <c r="BY18" s="12">
        <f>IF('Données projet'!$A$114&gt;35,BY17+BX18-CG17,IF(A18&lt;'Données projet'!$A$114,$BV$205^A18,IF(A18='Données projet'!$A$114,'Données projet'!$B$114,BY17+BX18-CG17)))</f>
        <v>58.307142857142836</v>
      </c>
      <c r="BZ18" s="13">
        <f>BY18*VLOOKUP('Données projet'!$B$12,Paramètres!$A$1:$I$89,3,0)*VLOOKUP('Données projet'!$B$12,Paramètres!$A$1:$I$89,5,0)</f>
        <v>59.123442857142841</v>
      </c>
      <c r="CA18" s="13">
        <f t="shared" si="39"/>
        <v>16.946458396677293</v>
      </c>
      <c r="CB18" s="20">
        <f t="shared" si="10"/>
        <v>132.4884113504034</v>
      </c>
      <c r="CC18" s="59">
        <f t="shared" si="11"/>
        <v>336.98516128328447</v>
      </c>
      <c r="CD18" s="59">
        <f ca="1">AVERAGE(OFFSET($CC$3,0,0,'Données projet'!$E$12+1,1))-AVERAGE(OFFSET($H$3,0,0,'Données projet'!$E$12+1,1))</f>
        <v>692.2706942067415</v>
      </c>
      <c r="CE18" s="59">
        <f t="shared" si="40"/>
        <v>316.17529091924803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2.6285714285714286</v>
      </c>
      <c r="CT18" s="12">
        <f>IF('Données projet'!$A$140&gt;35,CT17+CS18-DB17,IF(A18&lt;'Données projet'!$A$140,$CQ$205^A18,IF(A18='Données projet'!$A$140,'Données projet'!$B$140,CT17+CS18-DB17)))</f>
        <v>6.9442181339497413</v>
      </c>
      <c r="CU18" s="17">
        <f>CT18*VLOOKUP('Données projet'!$B$13,Paramètres!$A$1:$I$89,3,0)*VLOOKUP('Données projet'!$B$13,Paramètres!$A$1:$I$89,5,0)</f>
        <v>6.6081179762665743</v>
      </c>
      <c r="CV18" s="13">
        <f t="shared" si="41"/>
        <v>2.4444029450668401</v>
      </c>
      <c r="CW18" s="20">
        <f t="shared" si="13"/>
        <v>15.766473937989028</v>
      </c>
      <c r="CX18" s="59">
        <f t="shared" si="14"/>
        <v>220.26322387087006</v>
      </c>
      <c r="CY18" s="59">
        <f ca="1">AVERAGE(OFFSET($CX$3,0,0,'Données projet'!$E$13+1,1))-AVERAGE(OFFSET($H$3,0,0,'Données projet'!$E$13+1,1))</f>
        <v>424.5933338095914</v>
      </c>
      <c r="CZ18" s="59">
        <f t="shared" si="42"/>
        <v>159.28977188196134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>
        <f>DO18*VLOOKUP('Données projet'!$B$14,Paramètres!$A$1:$I$89,3,0)*VLOOKUP('Données projet'!$B$14,Paramètres!$A$1:$I$89,5,0)</f>
        <v>0</v>
      </c>
      <c r="DQ18" s="13" t="e">
        <f t="shared" si="43"/>
        <v>#NUM!</v>
      </c>
      <c r="DR18" s="20" t="e">
        <f t="shared" si="16"/>
        <v>#NUM!</v>
      </c>
      <c r="DS18" s="59" t="e">
        <f t="shared" si="17"/>
        <v>#NUM!</v>
      </c>
      <c r="DT18" s="59">
        <f ca="1">AVERAGE(OFFSET($DS$3,0,0,'Données projet'!$E$14+1,1))-AVERAGE(OFFSET($H$3,0,0,'Données projet'!$E$14+1,1))</f>
        <v>-18.333333333333343</v>
      </c>
      <c r="DU18" s="59">
        <f t="shared" si="44"/>
        <v>-18.333333333333343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>
        <f>EJ18*VLOOKUP('Données projet'!$B$15,Paramètres!$A$1:$I$89,3,0)*VLOOKUP('Données projet'!$B$15,Paramètres!$A$1:$I$89,5,0)</f>
        <v>0</v>
      </c>
      <c r="EL18" s="13" t="e">
        <f t="shared" si="45"/>
        <v>#NUM!</v>
      </c>
      <c r="EM18" s="20" t="e">
        <f t="shared" si="19"/>
        <v>#NUM!</v>
      </c>
      <c r="EN18" s="59" t="e">
        <f t="shared" si="20"/>
        <v>#NUM!</v>
      </c>
      <c r="EO18" s="59">
        <f ca="1">AVERAGE(OFFSET($EN$3,0,0,'Données projet'!$E$15+1,1))-AVERAGE(OFFSET($H$3,0,0,'Données projet'!$E$15+1,1))</f>
        <v>-18.333333333333343</v>
      </c>
      <c r="EP18" s="59">
        <f t="shared" si="46"/>
        <v>-18.333333333333343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3.887142857142857</v>
      </c>
      <c r="FE18" s="12">
        <f>IF('Données projet'!$A$218&gt;35,FE17+FD18-FM17,IF(A18&lt;'Données projet'!$A$218,$FB$205^A18,IF(A18='Données projet'!$A$218,'Données projet'!$B$218,FE17+FD18-FM17)))</f>
        <v>58.307142857142836</v>
      </c>
      <c r="FF18" s="17">
        <f>FE18*VLOOKUP('Données projet'!$B$16,Paramètres!$A$1:$I$89,3,0)*VLOOKUP('Données projet'!$B$16,Paramètres!$A$1:$I$89,5,0)</f>
        <v>56.394668571428546</v>
      </c>
      <c r="FG18" s="13">
        <f t="shared" si="47"/>
        <v>16.253466657484363</v>
      </c>
      <c r="FH18" s="20">
        <f t="shared" si="22"/>
        <v>126.52883552368996</v>
      </c>
      <c r="FI18" s="59">
        <f t="shared" si="23"/>
        <v>331.02558545657098</v>
      </c>
      <c r="FJ18" s="59">
        <f ca="1">AVERAGE(OFFSET($FI$3,0,0,'Données projet'!$E$16+1,1))-AVERAGE(OFFSET($H$3,0,0,'Données projet'!$E$16+1,1))</f>
        <v>664.59451650228573</v>
      </c>
      <c r="FK18" s="59">
        <f t="shared" si="48"/>
        <v>304.44325029106631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6.7273684210526312</v>
      </c>
      <c r="N19" s="13">
        <f>IF('Données projet'!$A$36&gt;35,N18+M19-V18,IF(A19&lt;'Données projet'!$A$36,$K$205^A19,IF(A19='Données projet'!$A$36,'Données projet'!$B$36,N18+M19-V18)))</f>
        <v>59.426198319944547</v>
      </c>
      <c r="O19" s="13">
        <f>N19*VLOOKUP('Données projet'!$B$9,Paramètres!$A$1:$I$89,3,0)*VLOOKUP('Données projet'!$B$9,Paramètres!$A$1:$I$89,5,0)</f>
        <v>35.536866595326842</v>
      </c>
      <c r="P19" s="13">
        <f t="shared" si="33"/>
        <v>10.807671750497542</v>
      </c>
      <c r="Q19" s="20">
        <f t="shared" si="2"/>
        <v>80.716737618977461</v>
      </c>
      <c r="R19" s="59">
        <f t="shared" si="0"/>
        <v>287.65878354109151</v>
      </c>
      <c r="S19" s="59">
        <f ca="1">AVERAGE(OFFSET($R$3,0,0,'Données projet'!$E$9+1,1))-AVERAGE(OFFSET($H$3,0,0,'Données projet'!$E$9+1,1))</f>
        <v>460.88622650237176</v>
      </c>
      <c r="T19" s="59">
        <f t="shared" si="34"/>
        <v>396.05161661639647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9.9228571428571435</v>
      </c>
      <c r="AI19" s="13">
        <f>IF('Données projet'!$A$62&gt;35,AI18+AH19-AQ18,IF(A19&lt;'Données projet'!$A$62,$AF$205^A19,IF(A19='Données projet'!$A$62,'Données projet'!$B$62,AI18+AH19-AQ18)))</f>
        <v>158.76571428571427</v>
      </c>
      <c r="AJ19" s="13">
        <f>AI19*VLOOKUP('Données projet'!$B$10,Paramètres!$A$1:$I$89,3,0)*VLOOKUP('Données projet'!$B$10,Paramètres!$A$1:$I$89,5,0)</f>
        <v>74.302354285714287</v>
      </c>
      <c r="AK19" s="13">
        <f t="shared" si="35"/>
        <v>20.738146582970735</v>
      </c>
      <c r="AL19" s="20">
        <f t="shared" si="4"/>
        <v>165.52887234629307</v>
      </c>
      <c r="AM19" s="59">
        <f t="shared" si="5"/>
        <v>372.4709182684071</v>
      </c>
      <c r="AN19" s="59">
        <f ca="1">AVERAGE(OFFSET($AM$3,0,0,'Données projet'!$E$10+1,1))-AVERAGE(OFFSET($H$3,0,0,'Données projet'!$E$10+1,1))</f>
        <v>387.50901594883317</v>
      </c>
      <c r="AO19" s="59">
        <f t="shared" si="36"/>
        <v>361.3623790401972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3.887142857142857</v>
      </c>
      <c r="BD19" s="12">
        <f>IF('Données projet'!$A$88&gt;35,BD18+BC19-BL18,IF(A19&lt;'Données projet'!$A$88,$BA$205^A19,IF(A19='Données projet'!$A$88,'Données projet'!$B$88,BD18+BC19-BL18)))</f>
        <v>62.194285714285691</v>
      </c>
      <c r="BE19" s="13">
        <f>BD19*VLOOKUP('Données projet'!$B$11,Paramètres!$A$1:$I$89,3,0)*VLOOKUP('Données projet'!$B$11,Paramètres!$A$1:$I$89,5,0)</f>
        <v>56.273389714285692</v>
      </c>
      <c r="BF19" s="13">
        <f t="shared" si="37"/>
        <v>16.222577706752112</v>
      </c>
      <c r="BG19" s="20">
        <f t="shared" si="7"/>
        <v>126.26380992497417</v>
      </c>
      <c r="BH19" s="59">
        <f t="shared" si="8"/>
        <v>333.20585584708823</v>
      </c>
      <c r="BI19" s="59">
        <f ca="1">AVERAGE(OFFSET($BH$3,0,0,'Données projet'!$E$11+1,1))-AVERAGE(OFFSET($H$3,0,0,'Données projet'!$E$11+1,1))</f>
        <v>627.65081154031589</v>
      </c>
      <c r="BJ19" s="59">
        <f t="shared" si="38"/>
        <v>288.78083487077618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3.887142857142857</v>
      </c>
      <c r="BY19" s="12">
        <f>IF('Données projet'!$A$114&gt;35,BY18+BX19-CG18,IF(A19&lt;'Données projet'!$A$114,$BV$205^A19,IF(A19='Données projet'!$A$114,'Données projet'!$B$114,BY18+BX19-CG18)))</f>
        <v>62.194285714285691</v>
      </c>
      <c r="BZ19" s="13">
        <f>BY19*VLOOKUP('Données projet'!$B$12,Paramètres!$A$1:$I$89,3,0)*VLOOKUP('Données projet'!$B$12,Paramètres!$A$1:$I$89,5,0)</f>
        <v>63.065005714285689</v>
      </c>
      <c r="CA19" s="13">
        <f t="shared" si="39"/>
        <v>17.940937362438909</v>
      </c>
      <c r="CB19" s="20">
        <f t="shared" si="10"/>
        <v>141.08535085862869</v>
      </c>
      <c r="CC19" s="59">
        <f t="shared" si="11"/>
        <v>348.02739678074272</v>
      </c>
      <c r="CD19" s="59">
        <f ca="1">AVERAGE(OFFSET($CC$3,0,0,'Données projet'!$E$12+1,1))-AVERAGE(OFFSET($H$3,0,0,'Données projet'!$E$12+1,1))</f>
        <v>692.2706942067415</v>
      </c>
      <c r="CE19" s="59">
        <f t="shared" si="40"/>
        <v>316.17529091924803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2.6285714285714286</v>
      </c>
      <c r="CT19" s="12">
        <f>IF('Données projet'!$A$140&gt;35,CT18+CS19-DB18,IF(A19&lt;'Données projet'!$A$140,$CQ$205^A19,IF(A19='Données projet'!$A$140,'Données projet'!$B$140,CT18+CS19-DB18)))</f>
        <v>7.9019008899361669</v>
      </c>
      <c r="CU19" s="17">
        <f>CT19*VLOOKUP('Données projet'!$B$13,Paramètres!$A$1:$I$89,3,0)*VLOOKUP('Données projet'!$B$13,Paramètres!$A$1:$I$89,5,0)</f>
        <v>7.5194488868632563</v>
      </c>
      <c r="CV19" s="13">
        <f t="shared" si="41"/>
        <v>2.7399966049680633</v>
      </c>
      <c r="CW19" s="20">
        <f t="shared" si="13"/>
        <v>17.868534231606215</v>
      </c>
      <c r="CX19" s="59">
        <f t="shared" si="14"/>
        <v>224.81058015372028</v>
      </c>
      <c r="CY19" s="59">
        <f ca="1">AVERAGE(OFFSET($CX$3,0,0,'Données projet'!$E$13+1,1))-AVERAGE(OFFSET($H$3,0,0,'Données projet'!$E$13+1,1))</f>
        <v>424.5933338095914</v>
      </c>
      <c r="CZ19" s="59">
        <f t="shared" si="42"/>
        <v>159.28977188196134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>
        <f>DO19*VLOOKUP('Données projet'!$B$14,Paramètres!$A$1:$I$89,3,0)*VLOOKUP('Données projet'!$B$14,Paramètres!$A$1:$I$89,5,0)</f>
        <v>0</v>
      </c>
      <c r="DQ19" s="13" t="e">
        <f t="shared" si="43"/>
        <v>#NUM!</v>
      </c>
      <c r="DR19" s="20" t="e">
        <f t="shared" si="16"/>
        <v>#NUM!</v>
      </c>
      <c r="DS19" s="59" t="e">
        <f t="shared" si="17"/>
        <v>#NUM!</v>
      </c>
      <c r="DT19" s="59">
        <f ca="1">AVERAGE(OFFSET($DS$3,0,0,'Données projet'!$E$14+1,1))-AVERAGE(OFFSET($H$3,0,0,'Données projet'!$E$14+1,1))</f>
        <v>-18.333333333333343</v>
      </c>
      <c r="DU19" s="59">
        <f t="shared" si="44"/>
        <v>-18.333333333333343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>
        <f>EJ19*VLOOKUP('Données projet'!$B$15,Paramètres!$A$1:$I$89,3,0)*VLOOKUP('Données projet'!$B$15,Paramètres!$A$1:$I$89,5,0)</f>
        <v>0</v>
      </c>
      <c r="EL19" s="13" t="e">
        <f t="shared" si="45"/>
        <v>#NUM!</v>
      </c>
      <c r="EM19" s="20" t="e">
        <f t="shared" si="19"/>
        <v>#NUM!</v>
      </c>
      <c r="EN19" s="59" t="e">
        <f t="shared" si="20"/>
        <v>#NUM!</v>
      </c>
      <c r="EO19" s="59">
        <f ca="1">AVERAGE(OFFSET($EN$3,0,0,'Données projet'!$E$15+1,1))-AVERAGE(OFFSET($H$3,0,0,'Données projet'!$E$15+1,1))</f>
        <v>-18.333333333333343</v>
      </c>
      <c r="EP19" s="59">
        <f t="shared" si="46"/>
        <v>-18.333333333333343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3.887142857142857</v>
      </c>
      <c r="FE19" s="12">
        <f>IF('Données projet'!$A$218&gt;35,FE18+FD19-FM18,IF(A19&lt;'Données projet'!$A$218,$FB$205^A19,IF(A19='Données projet'!$A$218,'Données projet'!$B$218,FE18+FD19-FM18)))</f>
        <v>62.194285714285691</v>
      </c>
      <c r="FF19" s="17">
        <f>FE19*VLOOKUP('Données projet'!$B$16,Paramètres!$A$1:$I$89,3,0)*VLOOKUP('Données projet'!$B$16,Paramètres!$A$1:$I$89,5,0)</f>
        <v>60.15431314285712</v>
      </c>
      <c r="FG19" s="13">
        <f t="shared" si="47"/>
        <v>17.207278382224739</v>
      </c>
      <c r="FH19" s="20">
        <f t="shared" si="22"/>
        <v>134.73810523951758</v>
      </c>
      <c r="FI19" s="59">
        <f t="shared" si="23"/>
        <v>341.68015116163167</v>
      </c>
      <c r="FJ19" s="59">
        <f ca="1">AVERAGE(OFFSET($FI$3,0,0,'Données projet'!$E$16+1,1))-AVERAGE(OFFSET($H$3,0,0,'Données projet'!$E$16+1,1))</f>
        <v>664.59451650228573</v>
      </c>
      <c r="FK19" s="59">
        <f t="shared" si="48"/>
        <v>304.44325029106631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6.7273684210526312</v>
      </c>
      <c r="N20" s="13">
        <f>IF('Données projet'!$A$36&gt;35,N19+M20-V19,IF(A20&lt;'Données projet'!$A$36,$K$205^A20,IF(A20='Données projet'!$A$36,'Données projet'!$B$36,N19+M20-V19)))</f>
        <v>76.709927046093</v>
      </c>
      <c r="O20" s="13">
        <f>N20*VLOOKUP('Données projet'!$B$9,Paramètres!$A$1:$I$89,3,0)*VLOOKUP('Données projet'!$B$9,Paramètres!$A$1:$I$89,5,0)</f>
        <v>45.872536373563612</v>
      </c>
      <c r="P20" s="13">
        <f t="shared" si="33"/>
        <v>13.542538472841819</v>
      </c>
      <c r="Q20" s="20">
        <f t="shared" si="2"/>
        <v>103.48125535748945</v>
      </c>
      <c r="R20" s="59">
        <f t="shared" si="0"/>
        <v>312.84737967336218</v>
      </c>
      <c r="S20" s="59">
        <f ca="1">AVERAGE(OFFSET($R$3,0,0,'Données projet'!$E$9+1,1))-AVERAGE(OFFSET($H$3,0,0,'Données projet'!$E$9+1,1))</f>
        <v>460.88622650237176</v>
      </c>
      <c r="T20" s="59">
        <f t="shared" si="34"/>
        <v>396.05161661639647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9.9228571428571435</v>
      </c>
      <c r="AI20" s="13">
        <f>IF('Données projet'!$A$62&gt;35,AI19+AH20-AQ19,IF(A20&lt;'Données projet'!$A$62,$AF$205^A20,IF(A20='Données projet'!$A$62,'Données projet'!$B$62,AI19+AH20-AQ19)))</f>
        <v>168.68857142857141</v>
      </c>
      <c r="AJ20" s="13">
        <f>AI20*VLOOKUP('Données projet'!$B$10,Paramètres!$A$1:$I$89,3,0)*VLOOKUP('Données projet'!$B$10,Paramètres!$A$1:$I$89,5,0)</f>
        <v>78.946251428571415</v>
      </c>
      <c r="AK20" s="13">
        <f t="shared" si="35"/>
        <v>21.879338637143992</v>
      </c>
      <c r="AL20" s="20">
        <f t="shared" si="4"/>
        <v>175.60456936445431</v>
      </c>
      <c r="AM20" s="59">
        <f t="shared" si="5"/>
        <v>384.97069368032703</v>
      </c>
      <c r="AN20" s="59">
        <f ca="1">AVERAGE(OFFSET($AM$3,0,0,'Données projet'!$E$10+1,1))-AVERAGE(OFFSET($H$3,0,0,'Données projet'!$E$10+1,1))</f>
        <v>387.50901594883317</v>
      </c>
      <c r="AO20" s="59">
        <f t="shared" si="36"/>
        <v>361.3623790401972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3.887142857142857</v>
      </c>
      <c r="BD20" s="12">
        <f>IF('Données projet'!$A$88&gt;35,BD19+BC20-BL19,IF(A20&lt;'Données projet'!$A$88,$BA$205^A20,IF(A20='Données projet'!$A$88,'Données projet'!$B$88,BD19+BC20-BL19)))</f>
        <v>66.081428571428546</v>
      </c>
      <c r="BE20" s="13">
        <f>BD20*VLOOKUP('Données projet'!$B$11,Paramètres!$A$1:$I$89,3,0)*VLOOKUP('Données projet'!$B$11,Paramètres!$A$1:$I$89,5,0)</f>
        <v>59.790476571428549</v>
      </c>
      <c r="BF20" s="13">
        <f t="shared" si="37"/>
        <v>17.115284135607041</v>
      </c>
      <c r="BG20" s="20">
        <f t="shared" si="7"/>
        <v>133.94419989808699</v>
      </c>
      <c r="BH20" s="59">
        <f t="shared" si="8"/>
        <v>343.31032421395969</v>
      </c>
      <c r="BI20" s="59">
        <f ca="1">AVERAGE(OFFSET($BH$3,0,0,'Données projet'!$E$11+1,1))-AVERAGE(OFFSET($H$3,0,0,'Données projet'!$E$11+1,1))</f>
        <v>627.65081154031589</v>
      </c>
      <c r="BJ20" s="59">
        <f t="shared" si="38"/>
        <v>288.78083487077618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3.887142857142857</v>
      </c>
      <c r="BY20" s="12">
        <f>IF('Données projet'!$A$114&gt;35,BY19+BX20-CG19,IF(A20&lt;'Données projet'!$A$114,$BV$205^A20,IF(A20='Données projet'!$A$114,'Données projet'!$B$114,BY19+BX20-CG19)))</f>
        <v>66.081428571428546</v>
      </c>
      <c r="BZ20" s="13">
        <f>BY20*VLOOKUP('Données projet'!$B$12,Paramètres!$A$1:$I$89,3,0)*VLOOKUP('Données projet'!$B$12,Paramètres!$A$1:$I$89,5,0)</f>
        <v>67.006568571428559</v>
      </c>
      <c r="CA20" s="13">
        <f t="shared" si="39"/>
        <v>18.928202790452044</v>
      </c>
      <c r="CB20" s="20">
        <f t="shared" si="10"/>
        <v>149.66972678860873</v>
      </c>
      <c r="CC20" s="59">
        <f t="shared" si="11"/>
        <v>359.03585110448148</v>
      </c>
      <c r="CD20" s="59">
        <f ca="1">AVERAGE(OFFSET($CC$3,0,0,'Données projet'!$E$12+1,1))-AVERAGE(OFFSET($H$3,0,0,'Données projet'!$E$12+1,1))</f>
        <v>692.2706942067415</v>
      </c>
      <c r="CE20" s="59">
        <f t="shared" si="40"/>
        <v>316.17529091924803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2.6285714285714286</v>
      </c>
      <c r="CT20" s="12">
        <f>IF('Données projet'!$A$140&gt;35,CT19+CS20-DB19,IF(A20&lt;'Données projet'!$A$140,$CQ$205^A20,IF(A20='Données projet'!$A$140,'Données projet'!$B$140,CT19+CS20-DB19)))</f>
        <v>8.9916584516706823</v>
      </c>
      <c r="CU20" s="17">
        <f>CT20*VLOOKUP('Données projet'!$B$13,Paramètres!$A$1:$I$89,3,0)*VLOOKUP('Données projet'!$B$13,Paramètres!$A$1:$I$89,5,0)</f>
        <v>8.5564621826098204</v>
      </c>
      <c r="CV20" s="13">
        <f t="shared" si="41"/>
        <v>3.0713354401686952</v>
      </c>
      <c r="CW20" s="20">
        <f t="shared" si="13"/>
        <v>20.251747526339248</v>
      </c>
      <c r="CX20" s="59">
        <f t="shared" si="14"/>
        <v>229.61787184221197</v>
      </c>
      <c r="CY20" s="59">
        <f ca="1">AVERAGE(OFFSET($CX$3,0,0,'Données projet'!$E$13+1,1))-AVERAGE(OFFSET($H$3,0,0,'Données projet'!$E$13+1,1))</f>
        <v>424.5933338095914</v>
      </c>
      <c r="CZ20" s="59">
        <f t="shared" si="42"/>
        <v>159.28977188196134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>
        <f>DO20*VLOOKUP('Données projet'!$B$14,Paramètres!$A$1:$I$89,3,0)*VLOOKUP('Données projet'!$B$14,Paramètres!$A$1:$I$89,5,0)</f>
        <v>0</v>
      </c>
      <c r="DQ20" s="13" t="e">
        <f t="shared" si="43"/>
        <v>#NUM!</v>
      </c>
      <c r="DR20" s="20" t="e">
        <f t="shared" si="16"/>
        <v>#NUM!</v>
      </c>
      <c r="DS20" s="59" t="e">
        <f t="shared" si="17"/>
        <v>#NUM!</v>
      </c>
      <c r="DT20" s="59">
        <f ca="1">AVERAGE(OFFSET($DS$3,0,0,'Données projet'!$E$14+1,1))-AVERAGE(OFFSET($H$3,0,0,'Données projet'!$E$14+1,1))</f>
        <v>-18.333333333333343</v>
      </c>
      <c r="DU20" s="59">
        <f t="shared" si="44"/>
        <v>-18.333333333333343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>
        <f>EJ20*VLOOKUP('Données projet'!$B$15,Paramètres!$A$1:$I$89,3,0)*VLOOKUP('Données projet'!$B$15,Paramètres!$A$1:$I$89,5,0)</f>
        <v>0</v>
      </c>
      <c r="EL20" s="13" t="e">
        <f t="shared" si="45"/>
        <v>#NUM!</v>
      </c>
      <c r="EM20" s="20" t="e">
        <f t="shared" si="19"/>
        <v>#NUM!</v>
      </c>
      <c r="EN20" s="59" t="e">
        <f t="shared" si="20"/>
        <v>#NUM!</v>
      </c>
      <c r="EO20" s="59">
        <f ca="1">AVERAGE(OFFSET($EN$3,0,0,'Données projet'!$E$15+1,1))-AVERAGE(OFFSET($H$3,0,0,'Données projet'!$E$15+1,1))</f>
        <v>-18.333333333333343</v>
      </c>
      <c r="EP20" s="59">
        <f t="shared" si="46"/>
        <v>-18.333333333333343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3.887142857142857</v>
      </c>
      <c r="FE20" s="12">
        <f>IF('Données projet'!$A$218&gt;35,FE19+FD20-FM19,IF(A20&lt;'Données projet'!$A$218,$FB$205^A20,IF(A20='Données projet'!$A$218,'Données projet'!$B$218,FE19+FD20-FM19)))</f>
        <v>66.081428571428546</v>
      </c>
      <c r="FF20" s="17">
        <f>FE20*VLOOKUP('Données projet'!$B$16,Paramètres!$A$1:$I$89,3,0)*VLOOKUP('Données projet'!$B$16,Paramètres!$A$1:$I$89,5,0)</f>
        <v>63.913957714285694</v>
      </c>
      <c r="FG20" s="13">
        <f t="shared" si="47"/>
        <v>18.154171552507719</v>
      </c>
      <c r="FH20" s="20">
        <f t="shared" si="22"/>
        <v>142.9353251396652</v>
      </c>
      <c r="FI20" s="59">
        <f t="shared" si="23"/>
        <v>352.30144945553792</v>
      </c>
      <c r="FJ20" s="59">
        <f ca="1">AVERAGE(OFFSET($FI$3,0,0,'Données projet'!$E$16+1,1))-AVERAGE(OFFSET($H$3,0,0,'Données projet'!$E$16+1,1))</f>
        <v>664.59451650228573</v>
      </c>
      <c r="FK20" s="59">
        <f t="shared" si="48"/>
        <v>304.44325029106631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6.7273684210526312</v>
      </c>
      <c r="N21" s="13">
        <f>IF('Données projet'!$A$36&gt;35,N20+M21-V20,IF(A21&lt;'Données projet'!$A$36,$K$205^A21,IF(A21='Données projet'!$A$36,'Données projet'!$B$36,N20+M21-V20)))</f>
        <v>99.020517444778079</v>
      </c>
      <c r="O21" s="13">
        <f>N21*VLOOKUP('Données projet'!$B$9,Paramètres!$A$1:$I$89,3,0)*VLOOKUP('Données projet'!$B$9,Paramètres!$A$1:$I$89,5,0)</f>
        <v>59.214269431977293</v>
      </c>
      <c r="P21" s="13">
        <f t="shared" si="33"/>
        <v>16.969459521192238</v>
      </c>
      <c r="Q21" s="20">
        <f t="shared" si="2"/>
        <v>132.68666126010359</v>
      </c>
      <c r="R21" s="59">
        <f t="shared" si="0"/>
        <v>344.45601445210673</v>
      </c>
      <c r="S21" s="59">
        <f ca="1">AVERAGE(OFFSET($R$3,0,0,'Données projet'!$E$9+1,1))-AVERAGE(OFFSET($H$3,0,0,'Données projet'!$E$9+1,1))</f>
        <v>460.88622650237176</v>
      </c>
      <c r="T21" s="59">
        <f t="shared" si="34"/>
        <v>396.05161661639647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9.9228571428571435</v>
      </c>
      <c r="AI21" s="13">
        <f>IF('Données projet'!$A$62&gt;35,AI20+AH21-AQ20,IF(A21&lt;'Données projet'!$A$62,$AF$205^A21,IF(A21='Données projet'!$A$62,'Données projet'!$B$62,AI20+AH21-AQ20)))</f>
        <v>178.61142857142855</v>
      </c>
      <c r="AJ21" s="13">
        <f>AI21*VLOOKUP('Données projet'!$B$10,Paramètres!$A$1:$I$89,3,0)*VLOOKUP('Données projet'!$B$10,Paramètres!$A$1:$I$89,5,0)</f>
        <v>83.590148571428557</v>
      </c>
      <c r="AK21" s="13">
        <f t="shared" si="35"/>
        <v>23.012738829225075</v>
      </c>
      <c r="AL21" s="20">
        <f t="shared" si="4"/>
        <v>185.66669555613839</v>
      </c>
      <c r="AM21" s="59">
        <f t="shared" si="5"/>
        <v>397.4360487481415</v>
      </c>
      <c r="AN21" s="59">
        <f ca="1">AVERAGE(OFFSET($AM$3,0,0,'Données projet'!$E$10+1,1))-AVERAGE(OFFSET($H$3,0,0,'Données projet'!$E$10+1,1))</f>
        <v>387.50901594883317</v>
      </c>
      <c r="AO21" s="59">
        <f t="shared" si="36"/>
        <v>361.3623790401972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3.887142857142857</v>
      </c>
      <c r="BD21" s="12">
        <f>IF('Données projet'!$A$88&gt;35,BD20+BC21-BL20,IF(A21&lt;'Données projet'!$A$88,$BA$205^A21,IF(A21='Données projet'!$A$88,'Données projet'!$B$88,BD20+BC21-BL20)))</f>
        <v>69.968571428571408</v>
      </c>
      <c r="BE21" s="13">
        <f>BD21*VLOOKUP('Données projet'!$B$11,Paramètres!$A$1:$I$89,3,0)*VLOOKUP('Données projet'!$B$11,Paramètres!$A$1:$I$89,5,0)</f>
        <v>63.307563428571406</v>
      </c>
      <c r="BF21" s="13">
        <f t="shared" si="37"/>
        <v>18.001895319269028</v>
      </c>
      <c r="BG21" s="20">
        <f t="shared" si="7"/>
        <v>141.61397398582207</v>
      </c>
      <c r="BH21" s="59">
        <f t="shared" si="8"/>
        <v>353.38332717782521</v>
      </c>
      <c r="BI21" s="59">
        <f ca="1">AVERAGE(OFFSET($BH$3,0,0,'Données projet'!$E$11+1,1))-AVERAGE(OFFSET($H$3,0,0,'Données projet'!$E$11+1,1))</f>
        <v>627.65081154031589</v>
      </c>
      <c r="BJ21" s="59">
        <f t="shared" si="38"/>
        <v>288.78083487077618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3.887142857142857</v>
      </c>
      <c r="BY21" s="12">
        <f>IF('Données projet'!$A$114&gt;35,BY20+BX21-CG20,IF(A21&lt;'Données projet'!$A$114,$BV$205^A21,IF(A21='Données projet'!$A$114,'Données projet'!$B$114,BY20+BX21-CG20)))</f>
        <v>69.968571428571408</v>
      </c>
      <c r="BZ21" s="13">
        <f>BY21*VLOOKUP('Données projet'!$B$12,Paramètres!$A$1:$I$89,3,0)*VLOOKUP('Données projet'!$B$12,Paramètres!$A$1:$I$89,5,0)</f>
        <v>70.948131428571415</v>
      </c>
      <c r="CA21" s="13">
        <f t="shared" si="39"/>
        <v>19.908727340770373</v>
      </c>
      <c r="CB21" s="20">
        <f t="shared" si="10"/>
        <v>158.24236235660359</v>
      </c>
      <c r="CC21" s="59">
        <f t="shared" si="11"/>
        <v>370.01171554860673</v>
      </c>
      <c r="CD21" s="59">
        <f ca="1">AVERAGE(OFFSET($CC$3,0,0,'Données projet'!$E$12+1,1))-AVERAGE(OFFSET($H$3,0,0,'Données projet'!$E$12+1,1))</f>
        <v>692.2706942067415</v>
      </c>
      <c r="CE21" s="59">
        <f t="shared" si="40"/>
        <v>316.17529091924803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2.6285714285714286</v>
      </c>
      <c r="CT21" s="12">
        <f>IF('Données projet'!$A$140&gt;35,CT20+CS21-DB20,IF(A21&lt;'Données projet'!$A$140,$CQ$205^A21,IF(A21='Données projet'!$A$140,'Données projet'!$B$140,CT20+CS21-DB20)))</f>
        <v>10.231705362752773</v>
      </c>
      <c r="CU21" s="17">
        <f>CT21*VLOOKUP('Données projet'!$B$13,Paramètres!$A$1:$I$89,3,0)*VLOOKUP('Données projet'!$B$13,Paramètres!$A$1:$I$89,5,0)</f>
        <v>9.7364908231955383</v>
      </c>
      <c r="CV21" s="13">
        <f t="shared" si="41"/>
        <v>3.4427419979033811</v>
      </c>
      <c r="CW21" s="20">
        <f t="shared" si="13"/>
        <v>22.953830496747287</v>
      </c>
      <c r="CX21" s="59">
        <f t="shared" si="14"/>
        <v>234.7231836887504</v>
      </c>
      <c r="CY21" s="59">
        <f ca="1">AVERAGE(OFFSET($CX$3,0,0,'Données projet'!$E$13+1,1))-AVERAGE(OFFSET($H$3,0,0,'Données projet'!$E$13+1,1))</f>
        <v>424.5933338095914</v>
      </c>
      <c r="CZ21" s="59">
        <f t="shared" si="42"/>
        <v>159.28977188196134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>
        <f>DO21*VLOOKUP('Données projet'!$B$14,Paramètres!$A$1:$I$89,3,0)*VLOOKUP('Données projet'!$B$14,Paramètres!$A$1:$I$89,5,0)</f>
        <v>0</v>
      </c>
      <c r="DQ21" s="13" t="e">
        <f t="shared" si="43"/>
        <v>#NUM!</v>
      </c>
      <c r="DR21" s="20" t="e">
        <f t="shared" si="16"/>
        <v>#NUM!</v>
      </c>
      <c r="DS21" s="59" t="e">
        <f t="shared" si="17"/>
        <v>#NUM!</v>
      </c>
      <c r="DT21" s="59">
        <f ca="1">AVERAGE(OFFSET($DS$3,0,0,'Données projet'!$E$14+1,1))-AVERAGE(OFFSET($H$3,0,0,'Données projet'!$E$14+1,1))</f>
        <v>-18.333333333333343</v>
      </c>
      <c r="DU21" s="59">
        <f t="shared" si="44"/>
        <v>-18.333333333333343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>
        <f>EJ21*VLOOKUP('Données projet'!$B$15,Paramètres!$A$1:$I$89,3,0)*VLOOKUP('Données projet'!$B$15,Paramètres!$A$1:$I$89,5,0)</f>
        <v>0</v>
      </c>
      <c r="EL21" s="13" t="e">
        <f t="shared" si="45"/>
        <v>#NUM!</v>
      </c>
      <c r="EM21" s="20" t="e">
        <f t="shared" si="19"/>
        <v>#NUM!</v>
      </c>
      <c r="EN21" s="59" t="e">
        <f t="shared" si="20"/>
        <v>#NUM!</v>
      </c>
      <c r="EO21" s="59">
        <f ca="1">AVERAGE(OFFSET($EN$3,0,0,'Données projet'!$E$15+1,1))-AVERAGE(OFFSET($H$3,0,0,'Données projet'!$E$15+1,1))</f>
        <v>-18.333333333333343</v>
      </c>
      <c r="EP21" s="59">
        <f t="shared" si="46"/>
        <v>-18.333333333333343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3.887142857142857</v>
      </c>
      <c r="FE21" s="12">
        <f>IF('Données projet'!$A$218&gt;35,FE20+FD21-FM20,IF(A21&lt;'Données projet'!$A$218,$FB$205^A21,IF(A21='Données projet'!$A$218,'Données projet'!$B$218,FE20+FD21-FM20)))</f>
        <v>69.968571428571408</v>
      </c>
      <c r="FF21" s="17">
        <f>FE21*VLOOKUP('Données projet'!$B$16,Paramètres!$A$1:$I$89,3,0)*VLOOKUP('Données projet'!$B$16,Paramètres!$A$1:$I$89,5,0)</f>
        <v>67.673602285714267</v>
      </c>
      <c r="FG21" s="13">
        <f t="shared" si="47"/>
        <v>19.094599499893381</v>
      </c>
      <c r="FH21" s="20">
        <f t="shared" si="22"/>
        <v>151.12128477659996</v>
      </c>
      <c r="FI21" s="59">
        <f t="shared" si="23"/>
        <v>362.89063796860307</v>
      </c>
      <c r="FJ21" s="59">
        <f ca="1">AVERAGE(OFFSET($FI$3,0,0,'Données projet'!$E$16+1,1))-AVERAGE(OFFSET($H$3,0,0,'Données projet'!$E$16+1,1))</f>
        <v>664.59451650228573</v>
      </c>
      <c r="FK21" s="59">
        <f t="shared" si="48"/>
        <v>304.44325029106631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127.82</v>
      </c>
      <c r="L22" s="12">
        <f>VLOOKUP(A22,'Données projet'!$A$35:$I$55,9,0)</f>
        <v>6.7273684210526312</v>
      </c>
      <c r="M22" s="12">
        <f t="array" ref="M22">INDEX(L:L,MIN(IF(ISNUMBER(L22:L218),ROW(L22:L218),"")))</f>
        <v>6.7273684210526312</v>
      </c>
      <c r="N22" s="13">
        <f>IF('Données projet'!$A$36&gt;35,N21+M22-V21,IF(A22&lt;'Données projet'!$A$36,$K$205^A22,IF(A22='Données projet'!$A$36,'Données projet'!$B$36,N21+M22-V21)))</f>
        <v>127.82</v>
      </c>
      <c r="O22" s="13">
        <f>N22*VLOOKUP('Données projet'!$B$9,Paramètres!$A$1:$I$89,3,0)*VLOOKUP('Données projet'!$B$9,Paramètres!$A$1:$I$89,5,0)</f>
        <v>76.436359999999993</v>
      </c>
      <c r="P22" s="13">
        <f t="shared" si="33"/>
        <v>21.263558306949722</v>
      </c>
      <c r="Q22" s="20">
        <f t="shared" si="2"/>
        <v>170.16069105127073</v>
      </c>
      <c r="R22" s="59">
        <f t="shared" si="0"/>
        <v>384.31278529429426</v>
      </c>
      <c r="S22" s="59">
        <f ca="1">AVERAGE(OFFSET($R$3,0,0,'Données projet'!$E$9+1,1))-AVERAGE(OFFSET($H$3,0,0,'Données projet'!$E$9+1,1))</f>
        <v>460.88622650237176</v>
      </c>
      <c r="T22" s="59">
        <f t="shared" si="34"/>
        <v>396.05161661639647</v>
      </c>
      <c r="U22" s="15">
        <f>IF(ISNA(VLOOKUP(A22,'Données projet'!$A$35:$I$55,3,0)),0,VLOOKUP(A22,'Données projet'!$A$35:$I$55,3,0))</f>
        <v>1</v>
      </c>
      <c r="V22" s="15">
        <f>IF(ISNA(VLOOKUP(A22,'Données projet'!$A$35:$I$55,4,0)),0,VLOOKUP(A22,'Données projet'!$A$35:$I$55,4,0))</f>
        <v>46.3</v>
      </c>
      <c r="W22" s="16">
        <f>IF(ISNA(VLOOKUP(A22,'Données projet'!$A$35:$I$55,5,0)),0%,VLOOKUP(A22,'Données projet'!$A$35:$I$55,5,0)*VLOOKUP('Données projet'!$B$9,Paramètres!$A$1:$I$89,7,0))</f>
        <v>0.13500000000000001</v>
      </c>
      <c r="X22" s="16">
        <f>IF(ISNA(VLOOKUP(A22,'Données projet'!$A$35:$I$55,6,0)),0%,VLOOKUP(A22,'Données projet'!$A$35:$I$55,6,0)*VLOOKUP('Données projet'!$B$9,Paramètres!$A$1:$I$89,7,0))</f>
        <v>0.17550000000000002</v>
      </c>
      <c r="Y22" s="16">
        <f>IF(ISNA(VLOOKUP(A22,'Données projet'!$A$35:$I$55,7,0)),0%,VLOOKUP(A22,'Données projet'!$A$35:$I$55,7,0))</f>
        <v>0.31</v>
      </c>
      <c r="Z22" s="21">
        <f>EXP(-LN(2)/35)*Z21+(1-EXP(-LN(2)/35))/(LN(2)/35)*V22*W22*VLOOKUP('Données projet'!$B$9,Paramètres!$A$1:$I$89,3,0)*0.475*44/12</f>
        <v>4.9584312949774585</v>
      </c>
      <c r="AA22" s="21">
        <f>EXP(-LN(2)/25)*AA21+(1-EXP(-LN(2)/25))/(LN(2)/25)*Calculateur!V22*Calculateur!X22*VLOOKUP('Données projet'!$B$9,Paramètres!$A$1:$I$89,3,0)*0.475*44/12</f>
        <v>6.4205804801562962</v>
      </c>
      <c r="AB22" s="21">
        <f>EXP(-LN(2)/2)*AB21+(1-EXP(-LN(2)/2))/(LN(2)/2)*V22*Y22*VLOOKUP('Données projet'!$B$9,Paramètres!$A$1:$I$89,3,0)*0.475*44/12</f>
        <v>9.7180562395056231</v>
      </c>
      <c r="AC22" s="22">
        <f t="shared" si="3"/>
        <v>21.097068014639376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9.9228571428571435</v>
      </c>
      <c r="AI22" s="13">
        <f>IF('Données projet'!$A$62&gt;35,AI21+AH22-AQ21,IF(A22&lt;'Données projet'!$A$62,$AF$205^A22,IF(A22='Données projet'!$A$62,'Données projet'!$B$62,AI21+AH22-AQ21)))</f>
        <v>188.53428571428569</v>
      </c>
      <c r="AJ22" s="13">
        <f>AI22*VLOOKUP('Données projet'!$B$10,Paramètres!$A$1:$I$89,3,0)*VLOOKUP('Données projet'!$B$10,Paramètres!$A$1:$I$89,5,0)</f>
        <v>88.234045714285699</v>
      </c>
      <c r="AK22" s="13">
        <f t="shared" si="35"/>
        <v>24.138829378139974</v>
      </c>
      <c r="AL22" s="20">
        <f t="shared" si="4"/>
        <v>195.71609078597473</v>
      </c>
      <c r="AM22" s="59">
        <f t="shared" si="5"/>
        <v>409.86818502899825</v>
      </c>
      <c r="AN22" s="59">
        <f ca="1">AVERAGE(OFFSET($AM$3,0,0,'Données projet'!$E$10+1,1))-AVERAGE(OFFSET($H$3,0,0,'Données projet'!$E$10+1,1))</f>
        <v>387.50901594883317</v>
      </c>
      <c r="AO22" s="59">
        <f t="shared" si="36"/>
        <v>361.3623790401972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3.887142857142857</v>
      </c>
      <c r="BD22" s="12">
        <f>IF('Données projet'!$A$88&gt;35,BD21+BC22-BL21,IF(A22&lt;'Données projet'!$A$88,$BA$205^A22,IF(A22='Données projet'!$A$88,'Données projet'!$B$88,BD21+BC22-BL21)))</f>
        <v>73.855714285714271</v>
      </c>
      <c r="BE22" s="13">
        <f>BD22*VLOOKUP('Données projet'!$B$11,Paramètres!$A$1:$I$89,3,0)*VLOOKUP('Données projet'!$B$11,Paramètres!$A$1:$I$89,5,0)</f>
        <v>66.82465028571427</v>
      </c>
      <c r="BF22" s="13">
        <f t="shared" si="37"/>
        <v>18.882788477272459</v>
      </c>
      <c r="BG22" s="20">
        <f t="shared" si="7"/>
        <v>149.27378917886855</v>
      </c>
      <c r="BH22" s="59">
        <f t="shared" si="8"/>
        <v>363.42588342189208</v>
      </c>
      <c r="BI22" s="59">
        <f ca="1">AVERAGE(OFFSET($BH$3,0,0,'Données projet'!$E$11+1,1))-AVERAGE(OFFSET($H$3,0,0,'Données projet'!$E$11+1,1))</f>
        <v>627.65081154031589</v>
      </c>
      <c r="BJ22" s="59">
        <f t="shared" si="38"/>
        <v>288.78083487077618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3.887142857142857</v>
      </c>
      <c r="BY22" s="12">
        <f>IF('Données projet'!$A$114&gt;35,BY21+BX22-CG21,IF(A22&lt;'Données projet'!$A$114,$BV$205^A22,IF(A22='Données projet'!$A$114,'Données projet'!$B$114,BY21+BX22-CG21)))</f>
        <v>73.855714285714271</v>
      </c>
      <c r="BZ22" s="13">
        <f>BY22*VLOOKUP('Données projet'!$B$12,Paramètres!$A$1:$I$89,3,0)*VLOOKUP('Données projet'!$B$12,Paramètres!$A$1:$I$89,5,0)</f>
        <v>74.889694285714285</v>
      </c>
      <c r="CA22" s="13">
        <f t="shared" si="39"/>
        <v>20.882928189514811</v>
      </c>
      <c r="CB22" s="20">
        <f t="shared" si="10"/>
        <v>166.80398414435732</v>
      </c>
      <c r="CC22" s="59">
        <f t="shared" si="11"/>
        <v>380.95607838738084</v>
      </c>
      <c r="CD22" s="59">
        <f ca="1">AVERAGE(OFFSET($CC$3,0,0,'Données projet'!$E$12+1,1))-AVERAGE(OFFSET($H$3,0,0,'Données projet'!$E$12+1,1))</f>
        <v>692.2706942067415</v>
      </c>
      <c r="CE22" s="59">
        <f t="shared" si="40"/>
        <v>316.17529091924803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2.6285714285714286</v>
      </c>
      <c r="CT22" s="12">
        <f>IF('Données projet'!$A$140&gt;35,CT21+CS22-DB21,IF(A22&lt;'Données projet'!$A$140,$CQ$205^A22,IF(A22='Données projet'!$A$140,'Données projet'!$B$140,CT21+CS22-DB21)))</f>
        <v>11.642768149265336</v>
      </c>
      <c r="CU22" s="17">
        <f>CT22*VLOOKUP('Données projet'!$B$13,Paramètres!$A$1:$I$89,3,0)*VLOOKUP('Données projet'!$B$13,Paramètres!$A$1:$I$89,5,0)</f>
        <v>11.079258170840895</v>
      </c>
      <c r="CV22" s="13">
        <f t="shared" si="41"/>
        <v>3.8590615369178822</v>
      </c>
      <c r="CW22" s="20">
        <f t="shared" si="13"/>
        <v>26.017573491013199</v>
      </c>
      <c r="CX22" s="59">
        <f t="shared" si="14"/>
        <v>240.16966773403672</v>
      </c>
      <c r="CY22" s="59">
        <f ca="1">AVERAGE(OFFSET($CX$3,0,0,'Données projet'!$E$13+1,1))-AVERAGE(OFFSET($H$3,0,0,'Données projet'!$E$13+1,1))</f>
        <v>424.5933338095914</v>
      </c>
      <c r="CZ22" s="59">
        <f t="shared" si="42"/>
        <v>159.28977188196134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>
        <f>DO22*VLOOKUP('Données projet'!$B$14,Paramètres!$A$1:$I$89,3,0)*VLOOKUP('Données projet'!$B$14,Paramètres!$A$1:$I$89,5,0)</f>
        <v>0</v>
      </c>
      <c r="DQ22" s="13" t="e">
        <f t="shared" si="43"/>
        <v>#NUM!</v>
      </c>
      <c r="DR22" s="20" t="e">
        <f t="shared" si="16"/>
        <v>#NUM!</v>
      </c>
      <c r="DS22" s="59" t="e">
        <f t="shared" si="17"/>
        <v>#NUM!</v>
      </c>
      <c r="DT22" s="59">
        <f ca="1">AVERAGE(OFFSET($DS$3,0,0,'Données projet'!$E$14+1,1))-AVERAGE(OFFSET($H$3,0,0,'Données projet'!$E$14+1,1))</f>
        <v>-18.333333333333343</v>
      </c>
      <c r="DU22" s="59">
        <f t="shared" si="44"/>
        <v>-18.333333333333343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>
        <f>EJ22*VLOOKUP('Données projet'!$B$15,Paramètres!$A$1:$I$89,3,0)*VLOOKUP('Données projet'!$B$15,Paramètres!$A$1:$I$89,5,0)</f>
        <v>0</v>
      </c>
      <c r="EL22" s="13" t="e">
        <f t="shared" si="45"/>
        <v>#NUM!</v>
      </c>
      <c r="EM22" s="20" t="e">
        <f t="shared" si="19"/>
        <v>#NUM!</v>
      </c>
      <c r="EN22" s="59" t="e">
        <f t="shared" si="20"/>
        <v>#NUM!</v>
      </c>
      <c r="EO22" s="59">
        <f ca="1">AVERAGE(OFFSET($EN$3,0,0,'Données projet'!$E$15+1,1))-AVERAGE(OFFSET($H$3,0,0,'Données projet'!$E$15+1,1))</f>
        <v>-18.333333333333343</v>
      </c>
      <c r="EP22" s="59">
        <f t="shared" si="46"/>
        <v>-18.333333333333343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3.887142857142857</v>
      </c>
      <c r="FE22" s="12">
        <f>IF('Données projet'!$A$218&gt;35,FE21+FD22-FM21,IF(A22&lt;'Données projet'!$A$218,$FB$205^A22,IF(A22='Données projet'!$A$218,'Données projet'!$B$218,FE21+FD22-FM21)))</f>
        <v>73.855714285714271</v>
      </c>
      <c r="FF22" s="17">
        <f>FE22*VLOOKUP('Données projet'!$B$16,Paramètres!$A$1:$I$89,3,0)*VLOOKUP('Données projet'!$B$16,Paramètres!$A$1:$I$89,5,0)</f>
        <v>71.433246857142848</v>
      </c>
      <c r="FG22" s="13">
        <f t="shared" si="47"/>
        <v>20.02896234091423</v>
      </c>
      <c r="FH22" s="20">
        <f t="shared" si="22"/>
        <v>159.2966810199494</v>
      </c>
      <c r="FI22" s="59">
        <f t="shared" si="23"/>
        <v>373.44877526297296</v>
      </c>
      <c r="FJ22" s="59">
        <f ca="1">AVERAGE(OFFSET($FI$3,0,0,'Données projet'!$E$16+1,1))-AVERAGE(OFFSET($H$3,0,0,'Données projet'!$E$16+1,1))</f>
        <v>664.59451650228573</v>
      </c>
      <c r="FK22" s="59">
        <f t="shared" si="48"/>
        <v>304.44325029106631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19.68</v>
      </c>
      <c r="N23" s="13">
        <f>IF('Données projet'!$A$36&gt;35,N22+M23-V22,IF(A23&lt;'Données projet'!$A$36,$K$205^A23,IF(A23='Données projet'!$A$36,'Données projet'!$B$36,N22+M23-V22)))</f>
        <v>101.2</v>
      </c>
      <c r="O23" s="13">
        <f>N23*VLOOKUP('Données projet'!$B$9,Paramètres!$A$1:$I$89,3,0)*VLOOKUP('Données projet'!$B$9,Paramètres!$A$1:$I$89,5,0)</f>
        <v>60.517600000000009</v>
      </c>
      <c r="P23" s="13">
        <f t="shared" si="33"/>
        <v>17.299069038249009</v>
      </c>
      <c r="Q23" s="20">
        <f t="shared" si="2"/>
        <v>135.53069857495038</v>
      </c>
      <c r="R23" s="59">
        <f t="shared" si="0"/>
        <v>352.0454014618461</v>
      </c>
      <c r="S23" s="59">
        <f ca="1">AVERAGE(OFFSET($R$3,0,0,'Données projet'!$E$9+1,1))-AVERAGE(OFFSET($H$3,0,0,'Données projet'!$E$9+1,1))</f>
        <v>460.88622650237176</v>
      </c>
      <c r="T23" s="59">
        <f t="shared" si="34"/>
        <v>396.05161661639647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4.8611994816274109</v>
      </c>
      <c r="AA23" s="21">
        <f>EXP(-LN(2)/25)*AA22+(1-EXP(-LN(2)/25))/(LN(2)/25)*Calculateur!V23*Calculateur!X23*VLOOKUP('Données projet'!$B$9,Paramètres!$A$1:$I$89,3,0)*0.475*44/12</f>
        <v>6.2450093692827693</v>
      </c>
      <c r="AB23" s="21">
        <f>EXP(-LN(2)/2)*AB22+(1-EXP(-LN(2)/2))/(LN(2)/2)*V23*Y23*VLOOKUP('Données projet'!$B$9,Paramètres!$A$1:$I$89,3,0)*0.475*44/12</f>
        <v>6.8717034669066663</v>
      </c>
      <c r="AC23" s="22">
        <f t="shared" si="3"/>
        <v>17.977912317816845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9.9228571428571435</v>
      </c>
      <c r="AI23" s="13">
        <f>IF('Données projet'!$A$62&gt;35,AI22+AH23-AQ22,IF(A23&lt;'Données projet'!$A$62,$AF$205^A23,IF(A23='Données projet'!$A$62,'Données projet'!$B$62,AI22+AH23-AQ22)))</f>
        <v>198.45714285714283</v>
      </c>
      <c r="AJ23" s="13">
        <f>AI23*VLOOKUP('Données projet'!$B$10,Paramètres!$A$1:$I$89,3,0)*VLOOKUP('Données projet'!$B$10,Paramètres!$A$1:$I$89,5,0)</f>
        <v>92.877942857142855</v>
      </c>
      <c r="AK23" s="13">
        <f t="shared" si="35"/>
        <v>25.258038876022667</v>
      </c>
      <c r="AL23" s="20">
        <f t="shared" si="4"/>
        <v>205.75350151859661</v>
      </c>
      <c r="AM23" s="59">
        <f t="shared" si="5"/>
        <v>422.26820440549233</v>
      </c>
      <c r="AN23" s="59">
        <f ca="1">AVERAGE(OFFSET($AM$3,0,0,'Données projet'!$E$10+1,1))-AVERAGE(OFFSET($H$3,0,0,'Données projet'!$E$10+1,1))</f>
        <v>387.50901594883317</v>
      </c>
      <c r="AO23" s="59">
        <f t="shared" si="36"/>
        <v>361.3623790401972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3.887142857142857</v>
      </c>
      <c r="BD23" s="12">
        <f>IF('Données projet'!$A$88&gt;35,BD22+BC23-BL22,IF(A23&lt;'Données projet'!$A$88,$BA$205^A23,IF(A23='Données projet'!$A$88,'Données projet'!$B$88,BD22+BC23-BL22)))</f>
        <v>77.742857142857133</v>
      </c>
      <c r="BE23" s="13">
        <f>BD23*VLOOKUP('Données projet'!$B$11,Paramètres!$A$1:$I$89,3,0)*VLOOKUP('Données projet'!$B$11,Paramètres!$A$1:$I$89,5,0)</f>
        <v>70.341737142857127</v>
      </c>
      <c r="BF23" s="13">
        <f t="shared" si="37"/>
        <v>19.758298879173367</v>
      </c>
      <c r="BG23" s="20">
        <f t="shared" si="7"/>
        <v>156.92422940503644</v>
      </c>
      <c r="BH23" s="59">
        <f t="shared" si="8"/>
        <v>373.43893229193213</v>
      </c>
      <c r="BI23" s="59">
        <f ca="1">AVERAGE(OFFSET($BH$3,0,0,'Données projet'!$E$11+1,1))-AVERAGE(OFFSET($H$3,0,0,'Données projet'!$E$11+1,1))</f>
        <v>627.65081154031589</v>
      </c>
      <c r="BJ23" s="59">
        <f t="shared" si="38"/>
        <v>288.78083487077618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3.887142857142857</v>
      </c>
      <c r="BY23" s="12">
        <f>IF('Données projet'!$A$114&gt;35,BY22+BX23-CG22,IF(A23&lt;'Données projet'!$A$114,$BV$205^A23,IF(A23='Données projet'!$A$114,'Données projet'!$B$114,BY22+BX23-CG22)))</f>
        <v>77.742857142857133</v>
      </c>
      <c r="BZ23" s="13">
        <f>BY23*VLOOKUP('Données projet'!$B$12,Paramètres!$A$1:$I$89,3,0)*VLOOKUP('Données projet'!$B$12,Paramètres!$A$1:$I$89,5,0)</f>
        <v>78.83125714285714</v>
      </c>
      <c r="CA23" s="13">
        <f t="shared" si="39"/>
        <v>21.851176119320101</v>
      </c>
      <c r="CB23" s="20">
        <f t="shared" si="10"/>
        <v>175.35523793162534</v>
      </c>
      <c r="CC23" s="59">
        <f t="shared" si="11"/>
        <v>391.86994081852106</v>
      </c>
      <c r="CD23" s="59">
        <f ca="1">AVERAGE(OFFSET($CC$3,0,0,'Données projet'!$E$12+1,1))-AVERAGE(OFFSET($H$3,0,0,'Données projet'!$E$12+1,1))</f>
        <v>692.2706942067415</v>
      </c>
      <c r="CE23" s="59">
        <f t="shared" si="40"/>
        <v>316.17529091924803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2.6285714285714286</v>
      </c>
      <c r="CT23" s="12">
        <f>IF('Données projet'!$A$140&gt;35,CT22+CS23-DB22,IF(A23&lt;'Données projet'!$A$140,$CQ$205^A23,IF(A23='Données projet'!$A$140,'Données projet'!$B$140,CT22+CS23-DB22)))</f>
        <v>13.248431749316659</v>
      </c>
      <c r="CU23" s="17">
        <f>CT23*VLOOKUP('Données projet'!$B$13,Paramètres!$A$1:$I$89,3,0)*VLOOKUP('Données projet'!$B$13,Paramètres!$A$1:$I$89,5,0)</f>
        <v>12.607207652649732</v>
      </c>
      <c r="CV23" s="13">
        <f t="shared" si="41"/>
        <v>4.3257252372639012</v>
      </c>
      <c r="CW23" s="20">
        <f t="shared" si="13"/>
        <v>29.491524783266243</v>
      </c>
      <c r="CX23" s="59">
        <f t="shared" si="14"/>
        <v>246.00622767016196</v>
      </c>
      <c r="CY23" s="59">
        <f ca="1">AVERAGE(OFFSET($CX$3,0,0,'Données projet'!$E$13+1,1))-AVERAGE(OFFSET($H$3,0,0,'Données projet'!$E$13+1,1))</f>
        <v>424.5933338095914</v>
      </c>
      <c r="CZ23" s="59">
        <f t="shared" si="42"/>
        <v>159.28977188196134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>
        <f>DO23*VLOOKUP('Données projet'!$B$14,Paramètres!$A$1:$I$89,3,0)*VLOOKUP('Données projet'!$B$14,Paramètres!$A$1:$I$89,5,0)</f>
        <v>0</v>
      </c>
      <c r="DQ23" s="13" t="e">
        <f t="shared" si="43"/>
        <v>#NUM!</v>
      </c>
      <c r="DR23" s="20" t="e">
        <f t="shared" si="16"/>
        <v>#NUM!</v>
      </c>
      <c r="DS23" s="59" t="e">
        <f t="shared" si="17"/>
        <v>#NUM!</v>
      </c>
      <c r="DT23" s="59">
        <f ca="1">AVERAGE(OFFSET($DS$3,0,0,'Données projet'!$E$14+1,1))-AVERAGE(OFFSET($H$3,0,0,'Données projet'!$E$14+1,1))</f>
        <v>-18.333333333333343</v>
      </c>
      <c r="DU23" s="59">
        <f t="shared" si="44"/>
        <v>-18.333333333333343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>
        <f>EJ23*VLOOKUP('Données projet'!$B$15,Paramètres!$A$1:$I$89,3,0)*VLOOKUP('Données projet'!$B$15,Paramètres!$A$1:$I$89,5,0)</f>
        <v>0</v>
      </c>
      <c r="EL23" s="13" t="e">
        <f t="shared" si="45"/>
        <v>#NUM!</v>
      </c>
      <c r="EM23" s="20" t="e">
        <f t="shared" si="19"/>
        <v>#NUM!</v>
      </c>
      <c r="EN23" s="59" t="e">
        <f t="shared" si="20"/>
        <v>#NUM!</v>
      </c>
      <c r="EO23" s="59">
        <f ca="1">AVERAGE(OFFSET($EN$3,0,0,'Données projet'!$E$15+1,1))-AVERAGE(OFFSET($H$3,0,0,'Données projet'!$E$15+1,1))</f>
        <v>-18.333333333333343</v>
      </c>
      <c r="EP23" s="59">
        <f t="shared" si="46"/>
        <v>-18.333333333333343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3.887142857142857</v>
      </c>
      <c r="FE23" s="12">
        <f>IF('Données projet'!$A$218&gt;35,FE22+FD23-FM22,IF(A23&lt;'Données projet'!$A$218,$FB$205^A23,IF(A23='Données projet'!$A$218,'Données projet'!$B$218,FE22+FD23-FM22)))</f>
        <v>77.742857142857133</v>
      </c>
      <c r="FF23" s="17">
        <f>FE23*VLOOKUP('Données projet'!$B$16,Paramètres!$A$1:$I$89,3,0)*VLOOKUP('Données projet'!$B$16,Paramètres!$A$1:$I$89,5,0)</f>
        <v>75.192891428571414</v>
      </c>
      <c r="FG23" s="13">
        <f t="shared" si="47"/>
        <v>20.957615695785943</v>
      </c>
      <c r="FH23" s="20">
        <f t="shared" si="22"/>
        <v>167.46213324158907</v>
      </c>
      <c r="FI23" s="59">
        <f t="shared" si="23"/>
        <v>383.97683612848482</v>
      </c>
      <c r="FJ23" s="59">
        <f ca="1">AVERAGE(OFFSET($FI$3,0,0,'Données projet'!$E$16+1,1))-AVERAGE(OFFSET($H$3,0,0,'Données projet'!$E$16+1,1))</f>
        <v>664.59451650228573</v>
      </c>
      <c r="FK23" s="59">
        <f t="shared" si="48"/>
        <v>304.44325029106631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19.68</v>
      </c>
      <c r="N24" s="13">
        <f>IF('Données projet'!$A$36&gt;35,N23+M24-V23,IF(A24&lt;'Données projet'!$A$36,$K$205^A24,IF(A24='Données projet'!$A$36,'Données projet'!$B$36,N23+M24-V23)))</f>
        <v>120.88</v>
      </c>
      <c r="O24" s="13">
        <f>N24*VLOOKUP('Données projet'!$B$9,Paramètres!$A$1:$I$89,3,0)*VLOOKUP('Données projet'!$B$9,Paramètres!$A$1:$I$89,5,0)</f>
        <v>72.286239999999992</v>
      </c>
      <c r="P24" s="13">
        <f t="shared" si="33"/>
        <v>20.240145222851208</v>
      </c>
      <c r="Q24" s="20">
        <f t="shared" si="2"/>
        <v>161.15012092979916</v>
      </c>
      <c r="R24" s="59">
        <f t="shared" si="0"/>
        <v>380.00764930567357</v>
      </c>
      <c r="S24" s="59">
        <f ca="1">AVERAGE(OFFSET($R$3,0,0,'Données projet'!$E$9+1,1))-AVERAGE(OFFSET($H$3,0,0,'Données projet'!$E$9+1,1))</f>
        <v>460.88622650237176</v>
      </c>
      <c r="T24" s="59">
        <f t="shared" si="34"/>
        <v>396.05161661639647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4.765874324831608</v>
      </c>
      <c r="AA24" s="21">
        <f>EXP(-LN(2)/25)*AA23+(1-EXP(-LN(2)/25))/(LN(2)/25)*Calculateur!V24*Calculateur!X24*VLOOKUP('Données projet'!$B$9,Paramètres!$A$1:$I$89,3,0)*0.475*44/12</f>
        <v>6.0742392596689623</v>
      </c>
      <c r="AB24" s="21">
        <f>EXP(-LN(2)/2)*AB23+(1-EXP(-LN(2)/2))/(LN(2)/2)*V24*Y24*VLOOKUP('Données projet'!$B$9,Paramètres!$A$1:$I$89,3,0)*0.475*44/12</f>
        <v>4.8590281197528125</v>
      </c>
      <c r="AC24" s="22">
        <f t="shared" si="3"/>
        <v>15.699141704253384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9.9228571428571435</v>
      </c>
      <c r="AI24" s="13">
        <f>IF('Données projet'!$A$62&gt;35,AI23+AH24-AQ23,IF(A24&lt;'Données projet'!$A$62,$AF$205^A24,IF(A24='Données projet'!$A$62,'Données projet'!$B$62,AI23+AH24-AQ23)))</f>
        <v>208.37999999999997</v>
      </c>
      <c r="AJ24" s="13">
        <f>AI24*VLOOKUP('Données projet'!$B$10,Paramètres!$A$1:$I$89,3,0)*VLOOKUP('Données projet'!$B$10,Paramètres!$A$1:$I$89,5,0)</f>
        <v>97.521839999999983</v>
      </c>
      <c r="AK24" s="13">
        <f t="shared" si="35"/>
        <v>26.370750634698393</v>
      </c>
      <c r="AL24" s="20">
        <f t="shared" si="4"/>
        <v>215.779595355433</v>
      </c>
      <c r="AM24" s="59">
        <f t="shared" si="5"/>
        <v>434.63712373130738</v>
      </c>
      <c r="AN24" s="59">
        <f ca="1">AVERAGE(OFFSET($AM$3,0,0,'Données projet'!$E$10+1,1))-AVERAGE(OFFSET($H$3,0,0,'Données projet'!$E$10+1,1))</f>
        <v>387.50901594883317</v>
      </c>
      <c r="AO24" s="59">
        <f t="shared" si="36"/>
        <v>361.3623790401972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3.887142857142857</v>
      </c>
      <c r="BD24" s="12">
        <f>IF('Données projet'!$A$88&gt;35,BD23+BC24-BL23,IF(A24&lt;'Données projet'!$A$88,$BA$205^A24,IF(A24='Données projet'!$A$88,'Données projet'!$B$88,BD23+BC24-BL23)))</f>
        <v>81.63</v>
      </c>
      <c r="BE24" s="13">
        <f>BD24*VLOOKUP('Données projet'!$B$11,Paramètres!$A$1:$I$89,3,0)*VLOOKUP('Données projet'!$B$11,Paramètres!$A$1:$I$89,5,0)</f>
        <v>73.858823999999984</v>
      </c>
      <c r="BF24" s="13">
        <f t="shared" si="37"/>
        <v>20.628726373651425</v>
      </c>
      <c r="BG24" s="20">
        <f t="shared" si="7"/>
        <v>164.56581690077618</v>
      </c>
      <c r="BH24" s="59">
        <f t="shared" si="8"/>
        <v>383.42334527665059</v>
      </c>
      <c r="BI24" s="59">
        <f ca="1">AVERAGE(OFFSET($BH$3,0,0,'Données projet'!$E$11+1,1))-AVERAGE(OFFSET($H$3,0,0,'Données projet'!$E$11+1,1))</f>
        <v>627.65081154031589</v>
      </c>
      <c r="BJ24" s="59">
        <f t="shared" si="38"/>
        <v>288.78083487077618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3.887142857142857</v>
      </c>
      <c r="BY24" s="12">
        <f>IF('Données projet'!$A$114&gt;35,BY23+BX24-CG23,IF(A24&lt;'Données projet'!$A$114,$BV$205^A24,IF(A24='Données projet'!$A$114,'Données projet'!$B$114,BY23+BX24-CG23)))</f>
        <v>81.63</v>
      </c>
      <c r="BZ24" s="13">
        <f>BY24*VLOOKUP('Données projet'!$B$12,Paramètres!$A$1:$I$89,3,0)*VLOOKUP('Données projet'!$B$12,Paramètres!$A$1:$I$89,5,0)</f>
        <v>82.772819999999996</v>
      </c>
      <c r="CA24" s="13">
        <f t="shared" si="39"/>
        <v>22.813802740025121</v>
      </c>
      <c r="CB24" s="20">
        <f t="shared" si="10"/>
        <v>183.89670127221041</v>
      </c>
      <c r="CC24" s="59">
        <f t="shared" si="11"/>
        <v>402.75422964808479</v>
      </c>
      <c r="CD24" s="59">
        <f ca="1">AVERAGE(OFFSET($CC$3,0,0,'Données projet'!$E$12+1,1))-AVERAGE(OFFSET($H$3,0,0,'Données projet'!$E$12+1,1))</f>
        <v>692.2706942067415</v>
      </c>
      <c r="CE24" s="59">
        <f t="shared" si="40"/>
        <v>316.17529091924803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2.6285714285714286</v>
      </c>
      <c r="CT24" s="12">
        <f>IF('Données projet'!$A$140&gt;35,CT23+CS24-DB23,IF(A24&lt;'Données projet'!$A$140,$CQ$205^A24,IF(A24='Données projet'!$A$140,'Données projet'!$B$140,CT23+CS24-DB23)))</f>
        <v>15.075533718961594</v>
      </c>
      <c r="CU24" s="17">
        <f>CT24*VLOOKUP('Données projet'!$B$13,Paramètres!$A$1:$I$89,3,0)*VLOOKUP('Données projet'!$B$13,Paramètres!$A$1:$I$89,5,0)</f>
        <v>14.345877886963853</v>
      </c>
      <c r="CV24" s="13">
        <f t="shared" si="41"/>
        <v>4.8488210538478436</v>
      </c>
      <c r="CW24" s="20">
        <f t="shared" si="13"/>
        <v>33.430767321913699</v>
      </c>
      <c r="CX24" s="59">
        <f t="shared" si="14"/>
        <v>252.28829569778807</v>
      </c>
      <c r="CY24" s="59">
        <f ca="1">AVERAGE(OFFSET($CX$3,0,0,'Données projet'!$E$13+1,1))-AVERAGE(OFFSET($H$3,0,0,'Données projet'!$E$13+1,1))</f>
        <v>424.5933338095914</v>
      </c>
      <c r="CZ24" s="59">
        <f t="shared" si="42"/>
        <v>159.28977188196134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>
        <f>DO24*VLOOKUP('Données projet'!$B$14,Paramètres!$A$1:$I$89,3,0)*VLOOKUP('Données projet'!$B$14,Paramètres!$A$1:$I$89,5,0)</f>
        <v>0</v>
      </c>
      <c r="DQ24" s="13" t="e">
        <f t="shared" si="43"/>
        <v>#NUM!</v>
      </c>
      <c r="DR24" s="20" t="e">
        <f t="shared" si="16"/>
        <v>#NUM!</v>
      </c>
      <c r="DS24" s="59" t="e">
        <f t="shared" si="17"/>
        <v>#NUM!</v>
      </c>
      <c r="DT24" s="59">
        <f ca="1">AVERAGE(OFFSET($DS$3,0,0,'Données projet'!$E$14+1,1))-AVERAGE(OFFSET($H$3,0,0,'Données projet'!$E$14+1,1))</f>
        <v>-18.333333333333343</v>
      </c>
      <c r="DU24" s="59">
        <f t="shared" si="44"/>
        <v>-18.333333333333343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>
        <f>EJ24*VLOOKUP('Données projet'!$B$15,Paramètres!$A$1:$I$89,3,0)*VLOOKUP('Données projet'!$B$15,Paramètres!$A$1:$I$89,5,0)</f>
        <v>0</v>
      </c>
      <c r="EL24" s="13" t="e">
        <f t="shared" si="45"/>
        <v>#NUM!</v>
      </c>
      <c r="EM24" s="20" t="e">
        <f t="shared" si="19"/>
        <v>#NUM!</v>
      </c>
      <c r="EN24" s="59" t="e">
        <f t="shared" si="20"/>
        <v>#NUM!</v>
      </c>
      <c r="EO24" s="59">
        <f ca="1">AVERAGE(OFFSET($EN$3,0,0,'Données projet'!$E$15+1,1))-AVERAGE(OFFSET($H$3,0,0,'Données projet'!$E$15+1,1))</f>
        <v>-18.333333333333343</v>
      </c>
      <c r="EP24" s="59">
        <f t="shared" si="46"/>
        <v>-18.333333333333343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3.887142857142857</v>
      </c>
      <c r="FE24" s="12">
        <f>IF('Données projet'!$A$218&gt;35,FE23+FD24-FM23,IF(A24&lt;'Données projet'!$A$218,$FB$205^A24,IF(A24='Données projet'!$A$218,'Données projet'!$B$218,FE23+FD24-FM23)))</f>
        <v>81.63</v>
      </c>
      <c r="FF24" s="17">
        <f>FE24*VLOOKUP('Données projet'!$B$16,Paramètres!$A$1:$I$89,3,0)*VLOOKUP('Données projet'!$B$16,Paramètres!$A$1:$I$89,5,0)</f>
        <v>78.952535999999995</v>
      </c>
      <c r="FG24" s="13">
        <f t="shared" si="47"/>
        <v>21.880877613822086</v>
      </c>
      <c r="FH24" s="20">
        <f t="shared" si="22"/>
        <v>175.61819537740678</v>
      </c>
      <c r="FI24" s="59">
        <f t="shared" si="23"/>
        <v>394.47572375328116</v>
      </c>
      <c r="FJ24" s="59">
        <f ca="1">AVERAGE(OFFSET($FI$3,0,0,'Données projet'!$E$16+1,1))-AVERAGE(OFFSET($H$3,0,0,'Données projet'!$E$16+1,1))</f>
        <v>664.59451650228573</v>
      </c>
      <c r="FK24" s="59">
        <f t="shared" si="48"/>
        <v>304.44325029106631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19.68</v>
      </c>
      <c r="N25" s="13">
        <f>IF('Données projet'!$A$36&gt;35,N24+M25-V24,IF(A25&lt;'Données projet'!$A$36,$K$205^A25,IF(A25='Données projet'!$A$36,'Données projet'!$B$36,N24+M25-V24)))</f>
        <v>140.56</v>
      </c>
      <c r="O25" s="13">
        <f>N25*VLOOKUP('Données projet'!$B$9,Paramètres!$A$1:$I$89,3,0)*VLOOKUP('Données projet'!$B$9,Paramètres!$A$1:$I$89,5,0)</f>
        <v>84.054880000000011</v>
      </c>
      <c r="P25" s="13">
        <f t="shared" si="33"/>
        <v>23.12575242793806</v>
      </c>
      <c r="Q25" s="20">
        <f t="shared" si="2"/>
        <v>186.67293481199212</v>
      </c>
      <c r="R25" s="59">
        <f t="shared" si="0"/>
        <v>407.85384871546051</v>
      </c>
      <c r="S25" s="59">
        <f ca="1">AVERAGE(OFFSET($R$3,0,0,'Données projet'!$E$9+1,1))-AVERAGE(OFFSET($H$3,0,0,'Données projet'!$E$9+1,1))</f>
        <v>460.88622650237176</v>
      </c>
      <c r="T25" s="59">
        <f t="shared" si="34"/>
        <v>396.05161661639647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4.6724184362179662</v>
      </c>
      <c r="AA25" s="21">
        <f>EXP(-LN(2)/25)*AA24+(1-EXP(-LN(2)/25))/(LN(2)/25)*Calculateur!V25*Calculateur!X25*VLOOKUP('Données projet'!$B$9,Paramètres!$A$1:$I$89,3,0)*0.475*44/12</f>
        <v>5.9081388676829549</v>
      </c>
      <c r="AB25" s="21">
        <f>EXP(-LN(2)/2)*AB24+(1-EXP(-LN(2)/2))/(LN(2)/2)*V25*Y25*VLOOKUP('Données projet'!$B$9,Paramètres!$A$1:$I$89,3,0)*0.475*44/12</f>
        <v>3.4358517334533336</v>
      </c>
      <c r="AC25" s="22">
        <f t="shared" si="3"/>
        <v>14.016409037354254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9.9228571428571435</v>
      </c>
      <c r="AI25" s="13">
        <f>IF('Données projet'!$A$62&gt;35,AI24+AH25-AQ24,IF(A25&lt;'Données projet'!$A$62,$AF$205^A25,IF(A25='Données projet'!$A$62,'Données projet'!$B$62,AI24+AH25-AQ24)))</f>
        <v>218.30285714285711</v>
      </c>
      <c r="AJ25" s="13">
        <f>AI25*VLOOKUP('Données projet'!$B$10,Paramètres!$A$1:$I$89,3,0)*VLOOKUP('Données projet'!$B$10,Paramètres!$A$1:$I$89,5,0)</f>
        <v>102.16573714285713</v>
      </c>
      <c r="AK25" s="13">
        <f t="shared" si="35"/>
        <v>27.477309397316059</v>
      </c>
      <c r="AL25" s="20">
        <f t="shared" si="4"/>
        <v>225.79497272413494</v>
      </c>
      <c r="AM25" s="59">
        <f t="shared" si="5"/>
        <v>446.97588662760336</v>
      </c>
      <c r="AN25" s="59">
        <f ca="1">AVERAGE(OFFSET($AM$3,0,0,'Données projet'!$E$10+1,1))-AVERAGE(OFFSET($H$3,0,0,'Données projet'!$E$10+1,1))</f>
        <v>387.50901594883317</v>
      </c>
      <c r="AO25" s="59">
        <f t="shared" si="36"/>
        <v>361.3623790401972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3.887142857142857</v>
      </c>
      <c r="BD25" s="12">
        <f>IF('Données projet'!$A$88&gt;35,BD24+BC25-BL24,IF(A25&lt;'Données projet'!$A$88,$BA$205^A25,IF(A25='Données projet'!$A$88,'Données projet'!$B$88,BD24+BC25-BL24)))</f>
        <v>85.517142857142858</v>
      </c>
      <c r="BE25" s="13">
        <f>BD25*VLOOKUP('Données projet'!$B$11,Paramètres!$A$1:$I$89,3,0)*VLOOKUP('Données projet'!$B$11,Paramètres!$A$1:$I$89,5,0)</f>
        <v>77.375910857142856</v>
      </c>
      <c r="BF25" s="13">
        <f t="shared" si="37"/>
        <v>21.49434063873689</v>
      </c>
      <c r="BG25" s="20">
        <f t="shared" si="7"/>
        <v>172.19902135532388</v>
      </c>
      <c r="BH25" s="59">
        <f t="shared" si="8"/>
        <v>393.37993525879227</v>
      </c>
      <c r="BI25" s="59">
        <f ca="1">AVERAGE(OFFSET($BH$3,0,0,'Données projet'!$E$11+1,1))-AVERAGE(OFFSET($H$3,0,0,'Données projet'!$E$11+1,1))</f>
        <v>627.65081154031589</v>
      </c>
      <c r="BJ25" s="59">
        <f t="shared" si="38"/>
        <v>288.78083487077618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3.887142857142857</v>
      </c>
      <c r="BY25" s="12">
        <f>IF('Données projet'!$A$114&gt;35,BY24+BX25-CG24,IF(A25&lt;'Données projet'!$A$114,$BV$205^A25,IF(A25='Données projet'!$A$114,'Données projet'!$B$114,BY24+BX25-CG24)))</f>
        <v>85.517142857142858</v>
      </c>
      <c r="BZ25" s="13">
        <f>BY25*VLOOKUP('Données projet'!$B$12,Paramètres!$A$1:$I$89,3,0)*VLOOKUP('Données projet'!$B$12,Paramètres!$A$1:$I$89,5,0)</f>
        <v>86.714382857142866</v>
      </c>
      <c r="CA25" s="13">
        <f t="shared" si="39"/>
        <v>23.771106295024762</v>
      </c>
      <c r="CB25" s="20">
        <f t="shared" si="10"/>
        <v>192.42889360669196</v>
      </c>
      <c r="CC25" s="59">
        <f t="shared" si="11"/>
        <v>413.60980751016035</v>
      </c>
      <c r="CD25" s="59">
        <f ca="1">AVERAGE(OFFSET($CC$3,0,0,'Données projet'!$E$12+1,1))-AVERAGE(OFFSET($H$3,0,0,'Données projet'!$E$12+1,1))</f>
        <v>692.2706942067415</v>
      </c>
      <c r="CE25" s="59">
        <f t="shared" si="40"/>
        <v>316.17529091924803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2.6285714285714286</v>
      </c>
      <c r="CT25" s="12">
        <f>IF('Données projet'!$A$140&gt;35,CT24+CS25-DB24,IF(A25&lt;'Données projet'!$A$140,$CQ$205^A25,IF(A25='Données projet'!$A$140,'Données projet'!$B$140,CT24+CS25-DB24)))</f>
        <v>17.154612803381085</v>
      </c>
      <c r="CU25" s="17">
        <f>CT25*VLOOKUP('Données projet'!$B$13,Paramètres!$A$1:$I$89,3,0)*VLOOKUP('Données projet'!$B$13,Paramètres!$A$1:$I$89,5,0)</f>
        <v>16.324329543697441</v>
      </c>
      <c r="CV25" s="13">
        <f t="shared" si="41"/>
        <v>5.4351731380676576</v>
      </c>
      <c r="CW25" s="20">
        <f t="shared" si="13"/>
        <v>37.897800504074212</v>
      </c>
      <c r="CX25" s="59">
        <f t="shared" si="14"/>
        <v>259.07871440754263</v>
      </c>
      <c r="CY25" s="59">
        <f ca="1">AVERAGE(OFFSET($CX$3,0,0,'Données projet'!$E$13+1,1))-AVERAGE(OFFSET($H$3,0,0,'Données projet'!$E$13+1,1))</f>
        <v>424.5933338095914</v>
      </c>
      <c r="CZ25" s="59">
        <f t="shared" si="42"/>
        <v>159.28977188196134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>
        <f>DO25*VLOOKUP('Données projet'!$B$14,Paramètres!$A$1:$I$89,3,0)*VLOOKUP('Données projet'!$B$14,Paramètres!$A$1:$I$89,5,0)</f>
        <v>0</v>
      </c>
      <c r="DQ25" s="13" t="e">
        <f t="shared" si="43"/>
        <v>#NUM!</v>
      </c>
      <c r="DR25" s="20" t="e">
        <f t="shared" si="16"/>
        <v>#NUM!</v>
      </c>
      <c r="DS25" s="59" t="e">
        <f t="shared" si="17"/>
        <v>#NUM!</v>
      </c>
      <c r="DT25" s="59">
        <f ca="1">AVERAGE(OFFSET($DS$3,0,0,'Données projet'!$E$14+1,1))-AVERAGE(OFFSET($H$3,0,0,'Données projet'!$E$14+1,1))</f>
        <v>-18.333333333333343</v>
      </c>
      <c r="DU25" s="59">
        <f t="shared" si="44"/>
        <v>-18.333333333333343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>
        <f>EJ25*VLOOKUP('Données projet'!$B$15,Paramètres!$A$1:$I$89,3,0)*VLOOKUP('Données projet'!$B$15,Paramètres!$A$1:$I$89,5,0)</f>
        <v>0</v>
      </c>
      <c r="EL25" s="13" t="e">
        <f t="shared" si="45"/>
        <v>#NUM!</v>
      </c>
      <c r="EM25" s="20" t="e">
        <f t="shared" si="19"/>
        <v>#NUM!</v>
      </c>
      <c r="EN25" s="59" t="e">
        <f t="shared" si="20"/>
        <v>#NUM!</v>
      </c>
      <c r="EO25" s="59">
        <f ca="1">AVERAGE(OFFSET($EN$3,0,0,'Données projet'!$E$15+1,1))-AVERAGE(OFFSET($H$3,0,0,'Données projet'!$E$15+1,1))</f>
        <v>-18.333333333333343</v>
      </c>
      <c r="EP25" s="59">
        <f t="shared" si="46"/>
        <v>-18.333333333333343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3.887142857142857</v>
      </c>
      <c r="FE25" s="12">
        <f>IF('Données projet'!$A$218&gt;35,FE24+FD25-FM24,IF(A25&lt;'Données projet'!$A$218,$FB$205^A25,IF(A25='Données projet'!$A$218,'Données projet'!$B$218,FE24+FD25-FM24)))</f>
        <v>85.517142857142858</v>
      </c>
      <c r="FF25" s="17">
        <f>FE25*VLOOKUP('Données projet'!$B$16,Paramètres!$A$1:$I$89,3,0)*VLOOKUP('Données projet'!$B$16,Paramètres!$A$1:$I$89,5,0)</f>
        <v>82.712180571428576</v>
      </c>
      <c r="FG25" s="13">
        <f t="shared" si="47"/>
        <v>22.799034142346564</v>
      </c>
      <c r="FH25" s="20">
        <f t="shared" si="22"/>
        <v>183.76536562649167</v>
      </c>
      <c r="FI25" s="59">
        <f t="shared" si="23"/>
        <v>404.94627952996007</v>
      </c>
      <c r="FJ25" s="59">
        <f ca="1">AVERAGE(OFFSET($FI$3,0,0,'Données projet'!$E$16+1,1))-AVERAGE(OFFSET($H$3,0,0,'Données projet'!$E$16+1,1))</f>
        <v>664.59451650228573</v>
      </c>
      <c r="FK25" s="59">
        <f t="shared" si="48"/>
        <v>304.44325029106631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19.68</v>
      </c>
      <c r="N26" s="13">
        <f>IF('Données projet'!$A$36&gt;35,N25+M26-V25,IF(A26&lt;'Données projet'!$A$36,$K$205^A26,IF(A26='Données projet'!$A$36,'Données projet'!$B$36,N25+M26-V25)))</f>
        <v>160.24</v>
      </c>
      <c r="O26" s="13">
        <f>N26*VLOOKUP('Données projet'!$B$9,Paramètres!$A$1:$I$89,3,0)*VLOOKUP('Données projet'!$B$9,Paramètres!$A$1:$I$89,5,0)</f>
        <v>95.823520000000016</v>
      </c>
      <c r="P26" s="13">
        <f t="shared" si="33"/>
        <v>25.964551808226819</v>
      </c>
      <c r="Q26" s="20">
        <f t="shared" si="2"/>
        <v>212.11422506599504</v>
      </c>
      <c r="R26" s="59">
        <f t="shared" si="0"/>
        <v>435.59942177554154</v>
      </c>
      <c r="S26" s="59">
        <f ca="1">AVERAGE(OFFSET($R$3,0,0,'Données projet'!$E$9+1,1))-AVERAGE(OFFSET($H$3,0,0,'Données projet'!$E$9+1,1))</f>
        <v>460.88622650237176</v>
      </c>
      <c r="T26" s="59">
        <f t="shared" si="34"/>
        <v>396.05161661639647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4.5807951605775745</v>
      </c>
      <c r="AA26" s="21">
        <f>EXP(-LN(2)/25)*AA25+(1-EXP(-LN(2)/25))/(LN(2)/25)*Calculateur!V26*Calculateur!X26*VLOOKUP('Données projet'!$B$9,Paramètres!$A$1:$I$89,3,0)*0.475*44/12</f>
        <v>5.7465804996506451</v>
      </c>
      <c r="AB26" s="21">
        <f>EXP(-LN(2)/2)*AB25+(1-EXP(-LN(2)/2))/(LN(2)/2)*V26*Y26*VLOOKUP('Données projet'!$B$9,Paramètres!$A$1:$I$89,3,0)*0.475*44/12</f>
        <v>2.4295140598764067</v>
      </c>
      <c r="AC26" s="22">
        <f t="shared" si="3"/>
        <v>12.756889720104628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9.9228571428571435</v>
      </c>
      <c r="AI26" s="13">
        <f>IF('Données projet'!$A$62&gt;35,AI25+AH26-AQ25,IF(A26&lt;'Données projet'!$A$62,$AF$205^A26,IF(A26='Données projet'!$A$62,'Données projet'!$B$62,AI25+AH26-AQ25)))</f>
        <v>228.22571428571425</v>
      </c>
      <c r="AJ26" s="13">
        <f>AI26*VLOOKUP('Données projet'!$B$10,Paramètres!$A$1:$I$89,3,0)*VLOOKUP('Données projet'!$B$10,Paramètres!$A$1:$I$89,5,0)</f>
        <v>106.80963428571427</v>
      </c>
      <c r="AK26" s="13">
        <f t="shared" si="35"/>
        <v>28.578026795188716</v>
      </c>
      <c r="AL26" s="20">
        <f t="shared" si="4"/>
        <v>235.80017638257266</v>
      </c>
      <c r="AM26" s="59">
        <f t="shared" si="5"/>
        <v>459.28537309211913</v>
      </c>
      <c r="AN26" s="59">
        <f ca="1">AVERAGE(OFFSET($AM$3,0,0,'Données projet'!$E$10+1,1))-AVERAGE(OFFSET($H$3,0,0,'Données projet'!$E$10+1,1))</f>
        <v>387.50901594883317</v>
      </c>
      <c r="AO26" s="59">
        <f t="shared" si="36"/>
        <v>361.3623790401972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3.887142857142857</v>
      </c>
      <c r="BD26" s="12">
        <f>IF('Données projet'!$A$88&gt;35,BD25+BC26-BL25,IF(A26&lt;'Données projet'!$A$88,$BA$205^A26,IF(A26='Données projet'!$A$88,'Données projet'!$B$88,BD25+BC26-BL25)))</f>
        <v>89.40428571428572</v>
      </c>
      <c r="BE26" s="13">
        <f>BD26*VLOOKUP('Données projet'!$B$11,Paramètres!$A$1:$I$89,3,0)*VLOOKUP('Données projet'!$B$11,Paramètres!$A$1:$I$89,5,0)</f>
        <v>80.892997714285713</v>
      </c>
      <c r="BF26" s="13">
        <f t="shared" si="37"/>
        <v>22.355385450466887</v>
      </c>
      <c r="BG26" s="20">
        <f t="shared" si="7"/>
        <v>179.82426734527743</v>
      </c>
      <c r="BH26" s="59">
        <f t="shared" si="8"/>
        <v>403.30946405482393</v>
      </c>
      <c r="BI26" s="59">
        <f ca="1">AVERAGE(OFFSET($BH$3,0,0,'Données projet'!$E$11+1,1))-AVERAGE(OFFSET($H$3,0,0,'Données projet'!$E$11+1,1))</f>
        <v>627.65081154031589</v>
      </c>
      <c r="BJ26" s="59">
        <f t="shared" si="38"/>
        <v>288.78083487077618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3.887142857142857</v>
      </c>
      <c r="BY26" s="12">
        <f>IF('Données projet'!$A$114&gt;35,BY25+BX26-CG25,IF(A26&lt;'Données projet'!$A$114,$BV$205^A26,IF(A26='Données projet'!$A$114,'Données projet'!$B$114,BY25+BX26-CG25)))</f>
        <v>89.40428571428572</v>
      </c>
      <c r="BZ26" s="13">
        <f>BY26*VLOOKUP('Données projet'!$B$12,Paramètres!$A$1:$I$89,3,0)*VLOOKUP('Données projet'!$B$12,Paramètres!$A$1:$I$89,5,0)</f>
        <v>90.655945714285721</v>
      </c>
      <c r="CA26" s="13">
        <f t="shared" si="39"/>
        <v>24.723356382079128</v>
      </c>
      <c r="CB26" s="20">
        <f t="shared" si="10"/>
        <v>200.95228448450212</v>
      </c>
      <c r="CC26" s="59">
        <f t="shared" si="11"/>
        <v>424.43748119404859</v>
      </c>
      <c r="CD26" s="59">
        <f ca="1">AVERAGE(OFFSET($CC$3,0,0,'Données projet'!$E$12+1,1))-AVERAGE(OFFSET($H$3,0,0,'Données projet'!$E$12+1,1))</f>
        <v>692.2706942067415</v>
      </c>
      <c r="CE26" s="59">
        <f t="shared" si="40"/>
        <v>316.17529091924803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2.6285714285714286</v>
      </c>
      <c r="CT26" s="12">
        <f>IF('Données projet'!$A$140&gt;35,CT25+CS26-DB25,IF(A26&lt;'Données projet'!$A$140,$CQ$205^A26,IF(A26='Données projet'!$A$140,'Données projet'!$B$140,CT25+CS26-DB25)))</f>
        <v>19.520419370876933</v>
      </c>
      <c r="CU26" s="17">
        <f>CT26*VLOOKUP('Données projet'!$B$13,Paramètres!$A$1:$I$89,3,0)*VLOOKUP('Données projet'!$B$13,Paramètres!$A$1:$I$89,5,0)</f>
        <v>18.575631073326491</v>
      </c>
      <c r="CV26" s="13">
        <f t="shared" si="41"/>
        <v>6.0924308636487075</v>
      </c>
      <c r="CW26" s="20">
        <f t="shared" si="13"/>
        <v>42.963541206898469</v>
      </c>
      <c r="CX26" s="59">
        <f t="shared" si="14"/>
        <v>266.448737916445</v>
      </c>
      <c r="CY26" s="59">
        <f ca="1">AVERAGE(OFFSET($CX$3,0,0,'Données projet'!$E$13+1,1))-AVERAGE(OFFSET($H$3,0,0,'Données projet'!$E$13+1,1))</f>
        <v>424.5933338095914</v>
      </c>
      <c r="CZ26" s="59">
        <f t="shared" si="42"/>
        <v>159.28977188196134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>
        <f>DO26*VLOOKUP('Données projet'!$B$14,Paramètres!$A$1:$I$89,3,0)*VLOOKUP('Données projet'!$B$14,Paramètres!$A$1:$I$89,5,0)</f>
        <v>0</v>
      </c>
      <c r="DQ26" s="13" t="e">
        <f t="shared" si="43"/>
        <v>#NUM!</v>
      </c>
      <c r="DR26" s="20" t="e">
        <f t="shared" si="16"/>
        <v>#NUM!</v>
      </c>
      <c r="DS26" s="59" t="e">
        <f t="shared" si="17"/>
        <v>#NUM!</v>
      </c>
      <c r="DT26" s="59">
        <f ca="1">AVERAGE(OFFSET($DS$3,0,0,'Données projet'!$E$14+1,1))-AVERAGE(OFFSET($H$3,0,0,'Données projet'!$E$14+1,1))</f>
        <v>-18.333333333333343</v>
      </c>
      <c r="DU26" s="59">
        <f t="shared" si="44"/>
        <v>-18.333333333333343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>
        <f>EJ26*VLOOKUP('Données projet'!$B$15,Paramètres!$A$1:$I$89,3,0)*VLOOKUP('Données projet'!$B$15,Paramètres!$A$1:$I$89,5,0)</f>
        <v>0</v>
      </c>
      <c r="EL26" s="13" t="e">
        <f t="shared" si="45"/>
        <v>#NUM!</v>
      </c>
      <c r="EM26" s="20" t="e">
        <f t="shared" si="19"/>
        <v>#NUM!</v>
      </c>
      <c r="EN26" s="59" t="e">
        <f t="shared" si="20"/>
        <v>#NUM!</v>
      </c>
      <c r="EO26" s="59">
        <f ca="1">AVERAGE(OFFSET($EN$3,0,0,'Données projet'!$E$15+1,1))-AVERAGE(OFFSET($H$3,0,0,'Données projet'!$E$15+1,1))</f>
        <v>-18.333333333333343</v>
      </c>
      <c r="EP26" s="59">
        <f t="shared" si="46"/>
        <v>-18.333333333333343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3.887142857142857</v>
      </c>
      <c r="FE26" s="12">
        <f>IF('Données projet'!$A$218&gt;35,FE25+FD26-FM25,IF(A26&lt;'Données projet'!$A$218,$FB$205^A26,IF(A26='Données projet'!$A$218,'Données projet'!$B$218,FE25+FD26-FM25)))</f>
        <v>89.40428571428572</v>
      </c>
      <c r="FF26" s="17">
        <f>FE26*VLOOKUP('Données projet'!$B$16,Paramètres!$A$1:$I$89,3,0)*VLOOKUP('Données projet'!$B$16,Paramètres!$A$1:$I$89,5,0)</f>
        <v>86.471825142857142</v>
      </c>
      <c r="FG26" s="13">
        <f t="shared" si="47"/>
        <v>23.71234385445489</v>
      </c>
      <c r="FH26" s="20">
        <f t="shared" si="22"/>
        <v>191.90409433698508</v>
      </c>
      <c r="FI26" s="59">
        <f t="shared" si="23"/>
        <v>415.38929104653158</v>
      </c>
      <c r="FJ26" s="59">
        <f ca="1">AVERAGE(OFFSET($FI$3,0,0,'Données projet'!$E$16+1,1))-AVERAGE(OFFSET($H$3,0,0,'Données projet'!$E$16+1,1))</f>
        <v>664.59451650228573</v>
      </c>
      <c r="FK26" s="59">
        <f t="shared" si="48"/>
        <v>304.44325029106631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179.92</v>
      </c>
      <c r="L27" s="12">
        <f>VLOOKUP(A27,'Données projet'!$A$35:$I$55,9,0)</f>
        <v>19.68</v>
      </c>
      <c r="M27" s="12">
        <f t="array" ref="M27">INDEX(L:L,MIN(IF(ISNUMBER(L27:L223),ROW(L27:L223),"")))</f>
        <v>19.68</v>
      </c>
      <c r="N27" s="13">
        <f>IF('Données projet'!$A$36&gt;35,N26+M27-V26,IF(A27&lt;'Données projet'!$A$36,$K$205^A27,IF(A27='Données projet'!$A$36,'Données projet'!$B$36,N26+M27-V26)))</f>
        <v>179.92000000000002</v>
      </c>
      <c r="O27" s="13">
        <f>N27*VLOOKUP('Données projet'!$B$9,Paramètres!$A$1:$I$89,3,0)*VLOOKUP('Données projet'!$B$9,Paramètres!$A$1:$I$89,5,0)</f>
        <v>107.59216000000002</v>
      </c>
      <c r="P27" s="13">
        <f t="shared" si="33"/>
        <v>28.762950003220435</v>
      </c>
      <c r="Q27" s="20">
        <f t="shared" si="2"/>
        <v>237.48514992227561</v>
      </c>
      <c r="R27" s="59">
        <f t="shared" si="0"/>
        <v>463.25585810589541</v>
      </c>
      <c r="S27" s="59">
        <f ca="1">AVERAGE(OFFSET($R$3,0,0,'Données projet'!$E$9+1,1))-AVERAGE(OFFSET($H$3,0,0,'Données projet'!$E$9+1,1))</f>
        <v>460.88622650237176</v>
      </c>
      <c r="T27" s="59">
        <f t="shared" si="34"/>
        <v>396.05161661639647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44.84</v>
      </c>
      <c r="W27" s="16">
        <f>IF(ISNA(VLOOKUP(A27,'Données projet'!$A$35:$I$55,5,0)),0%,VLOOKUP(A27,'Données projet'!$A$35:$I$55,5,0)*VLOOKUP('Données projet'!$B$9,Paramètres!$A$1:$I$89,7,0))</f>
        <v>0.18000000000000002</v>
      </c>
      <c r="X27" s="16">
        <f>IF(ISNA(VLOOKUP(A27,'Données projet'!$A$35:$I$55,6,0)),0%,VLOOKUP(A27,'Données projet'!$A$35:$I$55,6,0)*VLOOKUP('Données projet'!$B$9,Paramètres!$A$1:$I$89,7,0))</f>
        <v>0.15300000000000002</v>
      </c>
      <c r="Y27" s="16">
        <f>IF(ISNA(VLOOKUP(A27,'Données projet'!$A$35:$I$55,7,0)),0%,VLOOKUP(A27,'Données projet'!$A$35:$I$55,7,0))</f>
        <v>0.26</v>
      </c>
      <c r="Z27" s="21">
        <f>EXP(-LN(2)/35)*Z26+(1-EXP(-LN(2)/35))/(LN(2)/35)*V27*W27*VLOOKUP('Données projet'!$B$9,Paramètres!$A$1:$I$89,3,0)*0.475*44/12</f>
        <v>10.893734847068496</v>
      </c>
      <c r="AA27" s="21">
        <f>EXP(-LN(2)/25)*AA26+(1-EXP(-LN(2)/25))/(LN(2)/25)*Calculateur!V27*Calculateur!X27*VLOOKUP('Données projet'!$B$9,Paramètres!$A$1:$I$89,3,0)*0.475*44/12</f>
        <v>11.010362685496926</v>
      </c>
      <c r="AB27" s="21">
        <f>EXP(-LN(2)/2)*AB26+(1-EXP(-LN(2)/2))/(LN(2)/2)*V27*Y27*VLOOKUP('Données projet'!$B$9,Paramètres!$A$1:$I$89,3,0)*0.475*44/12</f>
        <v>9.6115360431812338</v>
      </c>
      <c r="AC27" s="22">
        <f t="shared" si="3"/>
        <v>31.515633575746655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9.9228571428571435</v>
      </c>
      <c r="AI27" s="13">
        <f>IF('Données projet'!$A$62&gt;35,AI26+AH27-AQ26,IF(A27&lt;'Données projet'!$A$62,$AF$205^A27,IF(A27='Données projet'!$A$62,'Données projet'!$B$62,AI26+AH27-AQ26)))</f>
        <v>238.14857142857139</v>
      </c>
      <c r="AJ27" s="13">
        <f>AI27*VLOOKUP('Données projet'!$B$10,Paramètres!$A$1:$I$89,3,0)*VLOOKUP('Données projet'!$B$10,Paramètres!$A$1:$I$89,5,0)</f>
        <v>111.45353142857141</v>
      </c>
      <c r="AK27" s="13">
        <f t="shared" si="35"/>
        <v>29.673185828840097</v>
      </c>
      <c r="AL27" s="20">
        <f t="shared" si="4"/>
        <v>245.79569922332504</v>
      </c>
      <c r="AM27" s="59">
        <f t="shared" si="5"/>
        <v>471.56640740694485</v>
      </c>
      <c r="AN27" s="59">
        <f ca="1">AVERAGE(OFFSET($AM$3,0,0,'Données projet'!$E$10+1,1))-AVERAGE(OFFSET($H$3,0,0,'Données projet'!$E$10+1,1))</f>
        <v>387.50901594883317</v>
      </c>
      <c r="AO27" s="59">
        <f t="shared" si="36"/>
        <v>361.3623790401972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3.887142857142857</v>
      </c>
      <c r="BD27" s="12">
        <f>IF('Données projet'!$A$88&gt;35,BD26+BC27-BL26,IF(A27&lt;'Données projet'!$A$88,$BA$205^A27,IF(A27='Données projet'!$A$88,'Données projet'!$B$88,BD26+BC27-BL26)))</f>
        <v>93.291428571428582</v>
      </c>
      <c r="BE27" s="13">
        <f>BD27*VLOOKUP('Données projet'!$B$11,Paramètres!$A$1:$I$89,3,0)*VLOOKUP('Données projet'!$B$11,Paramètres!$A$1:$I$89,5,0)</f>
        <v>84.410084571428584</v>
      </c>
      <c r="BF27" s="13">
        <f t="shared" si="37"/>
        <v>23.212082188219242</v>
      </c>
      <c r="BG27" s="20">
        <f t="shared" si="7"/>
        <v>187.44194043971996</v>
      </c>
      <c r="BH27" s="59">
        <f t="shared" si="8"/>
        <v>413.21264862333976</v>
      </c>
      <c r="BI27" s="59">
        <f ca="1">AVERAGE(OFFSET($BH$3,0,0,'Données projet'!$E$11+1,1))-AVERAGE(OFFSET($H$3,0,0,'Données projet'!$E$11+1,1))</f>
        <v>627.65081154031589</v>
      </c>
      <c r="BJ27" s="59">
        <f t="shared" si="38"/>
        <v>288.78083487077618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3.887142857142857</v>
      </c>
      <c r="BY27" s="12">
        <f>IF('Données projet'!$A$114&gt;35,BY26+BX27-CG26,IF(A27&lt;'Données projet'!$A$114,$BV$205^A27,IF(A27='Données projet'!$A$114,'Données projet'!$B$114,BY26+BX27-CG26)))</f>
        <v>93.291428571428582</v>
      </c>
      <c r="BZ27" s="13">
        <f>BY27*VLOOKUP('Données projet'!$B$12,Paramètres!$A$1:$I$89,3,0)*VLOOKUP('Données projet'!$B$12,Paramètres!$A$1:$I$89,5,0)</f>
        <v>94.597508571428591</v>
      </c>
      <c r="CA27" s="13">
        <f t="shared" si="39"/>
        <v>25.670797829946185</v>
      </c>
      <c r="CB27" s="20">
        <f t="shared" si="10"/>
        <v>209.4673003157277</v>
      </c>
      <c r="CC27" s="59">
        <f t="shared" si="11"/>
        <v>435.23800849934753</v>
      </c>
      <c r="CD27" s="59">
        <f ca="1">AVERAGE(OFFSET($CC$3,0,0,'Données projet'!$E$12+1,1))-AVERAGE(OFFSET($H$3,0,0,'Données projet'!$E$12+1,1))</f>
        <v>692.2706942067415</v>
      </c>
      <c r="CE27" s="59">
        <f t="shared" si="40"/>
        <v>316.17529091924803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2.6285714285714286</v>
      </c>
      <c r="CT27" s="12">
        <f>IF('Données projet'!$A$140&gt;35,CT26+CS27-DB26,IF(A27&lt;'Données projet'!$A$140,$CQ$205^A27,IF(A27='Données projet'!$A$140,'Données projet'!$B$140,CT26+CS27-DB26)))</f>
        <v>22.212496241232852</v>
      </c>
      <c r="CU27" s="17">
        <f>CT27*VLOOKUP('Données projet'!$B$13,Paramètres!$A$1:$I$89,3,0)*VLOOKUP('Données projet'!$B$13,Paramètres!$A$1:$I$89,5,0)</f>
        <v>21.137411423157182</v>
      </c>
      <c r="CV27" s="13">
        <f t="shared" si="41"/>
        <v>6.8291686180829911</v>
      </c>
      <c r="CW27" s="20">
        <f t="shared" si="13"/>
        <v>48.708460238493302</v>
      </c>
      <c r="CX27" s="59">
        <f t="shared" si="14"/>
        <v>274.4791684221131</v>
      </c>
      <c r="CY27" s="59">
        <f ca="1">AVERAGE(OFFSET($CX$3,0,0,'Données projet'!$E$13+1,1))-AVERAGE(OFFSET($H$3,0,0,'Données projet'!$E$13+1,1))</f>
        <v>424.5933338095914</v>
      </c>
      <c r="CZ27" s="59">
        <f t="shared" si="42"/>
        <v>159.28977188196134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>
        <f>DO27*VLOOKUP('Données projet'!$B$14,Paramètres!$A$1:$I$89,3,0)*VLOOKUP('Données projet'!$B$14,Paramètres!$A$1:$I$89,5,0)</f>
        <v>0</v>
      </c>
      <c r="DQ27" s="13" t="e">
        <f t="shared" si="43"/>
        <v>#NUM!</v>
      </c>
      <c r="DR27" s="20" t="e">
        <f t="shared" si="16"/>
        <v>#NUM!</v>
      </c>
      <c r="DS27" s="59" t="e">
        <f t="shared" si="17"/>
        <v>#NUM!</v>
      </c>
      <c r="DT27" s="59">
        <f ca="1">AVERAGE(OFFSET($DS$3,0,0,'Données projet'!$E$14+1,1))-AVERAGE(OFFSET($H$3,0,0,'Données projet'!$E$14+1,1))</f>
        <v>-18.333333333333343</v>
      </c>
      <c r="DU27" s="59">
        <f t="shared" si="44"/>
        <v>-18.333333333333343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>
        <f>EJ27*VLOOKUP('Données projet'!$B$15,Paramètres!$A$1:$I$89,3,0)*VLOOKUP('Données projet'!$B$15,Paramètres!$A$1:$I$89,5,0)</f>
        <v>0</v>
      </c>
      <c r="EL27" s="13" t="e">
        <f t="shared" si="45"/>
        <v>#NUM!</v>
      </c>
      <c r="EM27" s="20" t="e">
        <f t="shared" si="19"/>
        <v>#NUM!</v>
      </c>
      <c r="EN27" s="59" t="e">
        <f t="shared" si="20"/>
        <v>#NUM!</v>
      </c>
      <c r="EO27" s="59">
        <f ca="1">AVERAGE(OFFSET($EN$3,0,0,'Données projet'!$E$15+1,1))-AVERAGE(OFFSET($H$3,0,0,'Données projet'!$E$15+1,1))</f>
        <v>-18.333333333333343</v>
      </c>
      <c r="EP27" s="59">
        <f t="shared" si="46"/>
        <v>-18.333333333333343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3.887142857142857</v>
      </c>
      <c r="FE27" s="12">
        <f>IF('Données projet'!$A$218&gt;35,FE26+FD27-FM26,IF(A27&lt;'Données projet'!$A$218,$FB$205^A27,IF(A27='Données projet'!$A$218,'Données projet'!$B$218,FE26+FD27-FM26)))</f>
        <v>93.291428571428582</v>
      </c>
      <c r="FF27" s="17">
        <f>FE27*VLOOKUP('Données projet'!$B$16,Paramètres!$A$1:$I$89,3,0)*VLOOKUP('Données projet'!$B$16,Paramètres!$A$1:$I$89,5,0)</f>
        <v>90.231469714285723</v>
      </c>
      <c r="FG27" s="13">
        <f t="shared" si="47"/>
        <v>24.621041567119438</v>
      </c>
      <c r="FH27" s="20">
        <f t="shared" si="22"/>
        <v>200.03479048178065</v>
      </c>
      <c r="FI27" s="59">
        <f t="shared" si="23"/>
        <v>425.80549866540048</v>
      </c>
      <c r="FJ27" s="59">
        <f ca="1">AVERAGE(OFFSET($FI$3,0,0,'Données projet'!$E$16+1,1))-AVERAGE(OFFSET($H$3,0,0,'Données projet'!$E$16+1,1))</f>
        <v>664.59451650228573</v>
      </c>
      <c r="FK27" s="59">
        <f t="shared" si="48"/>
        <v>304.44325029106631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20.836666666666673</v>
      </c>
      <c r="N28" s="13">
        <f>IF('Données projet'!$A$36&gt;35,N27+M28-V27,IF(A28&lt;'Données projet'!$A$36,$K$205^A28,IF(A28='Données projet'!$A$36,'Données projet'!$B$36,N27+M28-V27)))</f>
        <v>155.91666666666669</v>
      </c>
      <c r="O28" s="13">
        <f>N28*VLOOKUP('Données projet'!$B$9,Paramètres!$A$1:$I$89,3,0)*VLOOKUP('Données projet'!$B$9,Paramètres!$A$1:$I$89,5,0)</f>
        <v>93.238166666666686</v>
      </c>
      <c r="P28" s="13">
        <f t="shared" si="33"/>
        <v>25.344578949571218</v>
      </c>
      <c r="Q28" s="20">
        <f t="shared" si="2"/>
        <v>206.53161528161434</v>
      </c>
      <c r="R28" s="59">
        <f t="shared" si="0"/>
        <v>434.56938924794645</v>
      </c>
      <c r="S28" s="59">
        <f ca="1">AVERAGE(OFFSET($R$3,0,0,'Données projet'!$E$9+1,1))-AVERAGE(OFFSET($H$3,0,0,'Données projet'!$E$9+1,1))</f>
        <v>460.88622650237176</v>
      </c>
      <c r="T28" s="59">
        <f t="shared" si="34"/>
        <v>396.05161661639647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10.680115351239648</v>
      </c>
      <c r="AA28" s="21">
        <f>EXP(-LN(2)/25)*AA27+(1-EXP(-LN(2)/25))/(LN(2)/25)*Calculateur!V28*Calculateur!X28*VLOOKUP('Données projet'!$B$9,Paramètres!$A$1:$I$89,3,0)*0.475*44/12</f>
        <v>10.709283738852204</v>
      </c>
      <c r="AB28" s="21">
        <f>EXP(-LN(2)/2)*AB27+(1-EXP(-LN(2)/2))/(LN(2)/2)*V28*Y28*VLOOKUP('Données projet'!$B$9,Paramètres!$A$1:$I$89,3,0)*0.475*44/12</f>
        <v>6.7963823137523676</v>
      </c>
      <c r="AC28" s="22">
        <f t="shared" si="3"/>
        <v>28.185781403844217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9.9228571428571435</v>
      </c>
      <c r="AI28" s="13">
        <f>IF('Données projet'!$A$62&gt;35,AI27+AH28-AQ27,IF(A28&lt;'Données projet'!$A$62,$AF$205^A28,IF(A28='Données projet'!$A$62,'Données projet'!$B$62,AI27+AH28-AQ27)))</f>
        <v>248.07142857142853</v>
      </c>
      <c r="AJ28" s="13">
        <f>AI28*VLOOKUP('Données projet'!$B$10,Paramètres!$A$1:$I$89,3,0)*VLOOKUP('Données projet'!$B$10,Paramètres!$A$1:$I$89,5,0)</f>
        <v>116.09742857142854</v>
      </c>
      <c r="AK28" s="13">
        <f t="shared" si="35"/>
        <v>30.763044581165421</v>
      </c>
      <c r="AL28" s="20">
        <f t="shared" si="4"/>
        <v>255.78199074076778</v>
      </c>
      <c r="AM28" s="59">
        <f t="shared" si="5"/>
        <v>483.81976470709992</v>
      </c>
      <c r="AN28" s="59">
        <f ca="1">AVERAGE(OFFSET($AM$3,0,0,'Données projet'!$E$10+1,1))-AVERAGE(OFFSET($H$3,0,0,'Données projet'!$E$10+1,1))</f>
        <v>387.50901594883317</v>
      </c>
      <c r="AO28" s="59">
        <f t="shared" si="36"/>
        <v>361.3623790401972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3.887142857142857</v>
      </c>
      <c r="BD28" s="12">
        <f>IF('Données projet'!$A$88&gt;35,BD27+BC28-BL27,IF(A28&lt;'Données projet'!$A$88,$BA$205^A28,IF(A28='Données projet'!$A$88,'Données projet'!$B$88,BD27+BC28-BL27)))</f>
        <v>97.178571428571445</v>
      </c>
      <c r="BE28" s="13">
        <f>BD28*VLOOKUP('Données projet'!$B$11,Paramètres!$A$1:$I$89,3,0)*VLOOKUP('Données projet'!$B$11,Paramètres!$A$1:$I$89,5,0)</f>
        <v>87.927171428571441</v>
      </c>
      <c r="BF28" s="13">
        <f t="shared" si="37"/>
        <v>24.06463273936156</v>
      </c>
      <c r="BG28" s="20">
        <f t="shared" si="7"/>
        <v>195.05239225914997</v>
      </c>
      <c r="BH28" s="59">
        <f t="shared" si="8"/>
        <v>423.09016622548211</v>
      </c>
      <c r="BI28" s="59">
        <f ca="1">AVERAGE(OFFSET($BH$3,0,0,'Données projet'!$E$11+1,1))-AVERAGE(OFFSET($H$3,0,0,'Données projet'!$E$11+1,1))</f>
        <v>627.65081154031589</v>
      </c>
      <c r="BJ28" s="59">
        <f t="shared" si="38"/>
        <v>288.78083487077618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3.887142857142857</v>
      </c>
      <c r="BY28" s="12">
        <f>IF('Données projet'!$A$114&gt;35,BY27+BX28-CG27,IF(A28&lt;'Données projet'!$A$114,$BV$205^A28,IF(A28='Données projet'!$A$114,'Données projet'!$B$114,BY27+BX28-CG27)))</f>
        <v>97.178571428571445</v>
      </c>
      <c r="BZ28" s="13">
        <f>BY28*VLOOKUP('Données projet'!$B$12,Paramètres!$A$1:$I$89,3,0)*VLOOKUP('Données projet'!$B$12,Paramètres!$A$1:$I$89,5,0)</f>
        <v>98.539071428571447</v>
      </c>
      <c r="CA28" s="13">
        <f t="shared" si="39"/>
        <v>26.613653910702727</v>
      </c>
      <c r="CB28" s="20">
        <f t="shared" si="10"/>
        <v>217.97432996590248</v>
      </c>
      <c r="CC28" s="59">
        <f t="shared" si="11"/>
        <v>446.0121039322346</v>
      </c>
      <c r="CD28" s="59">
        <f ca="1">AVERAGE(OFFSET($CC$3,0,0,'Données projet'!$E$12+1,1))-AVERAGE(OFFSET($H$3,0,0,'Données projet'!$E$12+1,1))</f>
        <v>692.2706942067415</v>
      </c>
      <c r="CE28" s="59">
        <f t="shared" si="40"/>
        <v>316.17529091924803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2.6285714285714286</v>
      </c>
      <c r="CT28" s="12">
        <f>IF('Données projet'!$A$140&gt;35,CT27+CS28-DB27,IF(A28&lt;'Données projet'!$A$140,$CQ$205^A28,IF(A28='Données projet'!$A$140,'Données projet'!$B$140,CT27+CS28-DB27)))</f>
        <v>25.275839616585987</v>
      </c>
      <c r="CU28" s="17">
        <f>CT28*VLOOKUP('Données projet'!$B$13,Paramètres!$A$1:$I$89,3,0)*VLOOKUP('Données projet'!$B$13,Paramètres!$A$1:$I$89,5,0)</f>
        <v>24.052488979143227</v>
      </c>
      <c r="CV28" s="13">
        <f t="shared" si="41"/>
        <v>7.6549976615210573</v>
      </c>
      <c r="CW28" s="20">
        <f t="shared" si="13"/>
        <v>55.223872565823626</v>
      </c>
      <c r="CX28" s="59">
        <f t="shared" si="14"/>
        <v>283.26164653215574</v>
      </c>
      <c r="CY28" s="59">
        <f ca="1">AVERAGE(OFFSET($CX$3,0,0,'Données projet'!$E$13+1,1))-AVERAGE(OFFSET($H$3,0,0,'Données projet'!$E$13+1,1))</f>
        <v>424.5933338095914</v>
      </c>
      <c r="CZ28" s="59">
        <f t="shared" si="42"/>
        <v>159.28977188196134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>
        <f>DO28*VLOOKUP('Données projet'!$B$14,Paramètres!$A$1:$I$89,3,0)*VLOOKUP('Données projet'!$B$14,Paramètres!$A$1:$I$89,5,0)</f>
        <v>0</v>
      </c>
      <c r="DQ28" s="13" t="e">
        <f t="shared" si="43"/>
        <v>#NUM!</v>
      </c>
      <c r="DR28" s="20" t="e">
        <f t="shared" si="16"/>
        <v>#NUM!</v>
      </c>
      <c r="DS28" s="59" t="e">
        <f t="shared" si="17"/>
        <v>#NUM!</v>
      </c>
      <c r="DT28" s="59">
        <f ca="1">AVERAGE(OFFSET($DS$3,0,0,'Données projet'!$E$14+1,1))-AVERAGE(OFFSET($H$3,0,0,'Données projet'!$E$14+1,1))</f>
        <v>-18.333333333333343</v>
      </c>
      <c r="DU28" s="59">
        <f t="shared" si="44"/>
        <v>-18.333333333333343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>
        <f>EJ28*VLOOKUP('Données projet'!$B$15,Paramètres!$A$1:$I$89,3,0)*VLOOKUP('Données projet'!$B$15,Paramètres!$A$1:$I$89,5,0)</f>
        <v>0</v>
      </c>
      <c r="EL28" s="13" t="e">
        <f t="shared" si="45"/>
        <v>#NUM!</v>
      </c>
      <c r="EM28" s="20" t="e">
        <f t="shared" si="19"/>
        <v>#NUM!</v>
      </c>
      <c r="EN28" s="59" t="e">
        <f t="shared" si="20"/>
        <v>#NUM!</v>
      </c>
      <c r="EO28" s="59">
        <f ca="1">AVERAGE(OFFSET($EN$3,0,0,'Données projet'!$E$15+1,1))-AVERAGE(OFFSET($H$3,0,0,'Données projet'!$E$15+1,1))</f>
        <v>-18.333333333333343</v>
      </c>
      <c r="EP28" s="59">
        <f t="shared" si="46"/>
        <v>-18.333333333333343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3.887142857142857</v>
      </c>
      <c r="FE28" s="12">
        <f>IF('Données projet'!$A$218&gt;35,FE27+FD28-FM27,IF(A28&lt;'Données projet'!$A$218,$FB$205^A28,IF(A28='Données projet'!$A$218,'Données projet'!$B$218,FE27+FD28-FM27)))</f>
        <v>97.178571428571445</v>
      </c>
      <c r="FF28" s="17">
        <f>FE28*VLOOKUP('Données projet'!$B$16,Paramètres!$A$1:$I$89,3,0)*VLOOKUP('Données projet'!$B$16,Paramètres!$A$1:$I$89,5,0)</f>
        <v>93.991114285714303</v>
      </c>
      <c r="FG28" s="13">
        <f t="shared" si="47"/>
        <v>25.525341422149168</v>
      </c>
      <c r="FH28" s="20">
        <f t="shared" si="22"/>
        <v>208.15782702452887</v>
      </c>
      <c r="FI28" s="59">
        <f t="shared" si="23"/>
        <v>436.19560099086095</v>
      </c>
      <c r="FJ28" s="59">
        <f ca="1">AVERAGE(OFFSET($FI$3,0,0,'Données projet'!$E$16+1,1))-AVERAGE(OFFSET($H$3,0,0,'Données projet'!$E$16+1,1))</f>
        <v>664.59451650228573</v>
      </c>
      <c r="FK28" s="59">
        <f t="shared" si="48"/>
        <v>304.44325029106631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20.836666666666673</v>
      </c>
      <c r="N29" s="13">
        <f>IF('Données projet'!$A$36&gt;35,N28+M29-V28,IF(A29&lt;'Données projet'!$A$36,$K$205^A29,IF(A29='Données projet'!$A$36,'Données projet'!$B$36,N28+M29-V28)))</f>
        <v>176.75333333333336</v>
      </c>
      <c r="O29" s="13">
        <f>N29*VLOOKUP('Données projet'!$B$9,Paramètres!$A$1:$I$89,3,0)*VLOOKUP('Données projet'!$B$9,Paramètres!$A$1:$I$89,5,0)</f>
        <v>105.69849333333336</v>
      </c>
      <c r="P29" s="13">
        <f t="shared" si="33"/>
        <v>28.315175233519099</v>
      </c>
      <c r="Q29" s="20">
        <f t="shared" si="2"/>
        <v>233.40713942060134</v>
      </c>
      <c r="R29" s="59">
        <f t="shared" si="0"/>
        <v>463.69385346979152</v>
      </c>
      <c r="S29" s="59">
        <f ca="1">AVERAGE(OFFSET($R$3,0,0,'Données projet'!$E$9+1,1))-AVERAGE(OFFSET($H$3,0,0,'Données projet'!$E$9+1,1))</f>
        <v>460.88622650237176</v>
      </c>
      <c r="T29" s="59">
        <f t="shared" si="34"/>
        <v>396.05161661639647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10.470684803428975</v>
      </c>
      <c r="AA29" s="21">
        <f>EXP(-LN(2)/25)*AA28+(1-EXP(-LN(2)/25))/(LN(2)/25)*Calculateur!V29*Calculateur!X29*VLOOKUP('Données projet'!$B$9,Paramètres!$A$1:$I$89,3,0)*0.475*44/12</f>
        <v>10.416437811836534</v>
      </c>
      <c r="AB29" s="21">
        <f>EXP(-LN(2)/2)*AB28+(1-EXP(-LN(2)/2))/(LN(2)/2)*V29*Y29*VLOOKUP('Données projet'!$B$9,Paramètres!$A$1:$I$89,3,0)*0.475*44/12</f>
        <v>4.8057680215906169</v>
      </c>
      <c r="AC29" s="22">
        <f t="shared" si="3"/>
        <v>25.692890636856127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9.9228571428571435</v>
      </c>
      <c r="AI29" s="13">
        <f>IF('Données projet'!$A$62&gt;35,AI28+AH29-AQ28,IF(A29&lt;'Données projet'!$A$62,$AF$205^A29,IF(A29='Données projet'!$A$62,'Données projet'!$B$62,AI28+AH29-AQ28)))</f>
        <v>257.9942857142857</v>
      </c>
      <c r="AJ29" s="13">
        <f>AI29*VLOOKUP('Données projet'!$B$10,Paramètres!$A$1:$I$89,3,0)*VLOOKUP('Données projet'!$B$10,Paramètres!$A$1:$I$89,5,0)</f>
        <v>120.74132571428569</v>
      </c>
      <c r="AK29" s="13">
        <f t="shared" si="35"/>
        <v>31.847839319762979</v>
      </c>
      <c r="AL29" s="20">
        <f t="shared" si="4"/>
        <v>265.75946243430144</v>
      </c>
      <c r="AM29" s="59">
        <f t="shared" si="5"/>
        <v>496.04617648349165</v>
      </c>
      <c r="AN29" s="59">
        <f ca="1">AVERAGE(OFFSET($AM$3,0,0,'Données projet'!$E$10+1,1))-AVERAGE(OFFSET($H$3,0,0,'Données projet'!$E$10+1,1))</f>
        <v>387.50901594883317</v>
      </c>
      <c r="AO29" s="59">
        <f t="shared" si="36"/>
        <v>361.3623790401972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3.887142857142857</v>
      </c>
      <c r="BD29" s="12">
        <f>IF('Données projet'!$A$88&gt;35,BD28+BC29-BL28,IF(A29&lt;'Données projet'!$A$88,$BA$205^A29,IF(A29='Données projet'!$A$88,'Données projet'!$B$88,BD28+BC29-BL28)))</f>
        <v>101.06571428571431</v>
      </c>
      <c r="BE29" s="13">
        <f>BD29*VLOOKUP('Données projet'!$B$11,Paramètres!$A$1:$I$89,3,0)*VLOOKUP('Données projet'!$B$11,Paramètres!$A$1:$I$89,5,0)</f>
        <v>91.444258285714298</v>
      </c>
      <c r="BF29" s="13">
        <f t="shared" si="37"/>
        <v>24.913221926074399</v>
      </c>
      <c r="BG29" s="20">
        <f t="shared" si="7"/>
        <v>202.65594470219867</v>
      </c>
      <c r="BH29" s="59">
        <f t="shared" si="8"/>
        <v>432.94265875138888</v>
      </c>
      <c r="BI29" s="59">
        <f ca="1">AVERAGE(OFFSET($BH$3,0,0,'Données projet'!$E$11+1,1))-AVERAGE(OFFSET($H$3,0,0,'Données projet'!$E$11+1,1))</f>
        <v>627.65081154031589</v>
      </c>
      <c r="BJ29" s="59">
        <f t="shared" si="38"/>
        <v>288.78083487077618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3.887142857142857</v>
      </c>
      <c r="BY29" s="12">
        <f>IF('Données projet'!$A$114&gt;35,BY28+BX29-CG28,IF(A29&lt;'Données projet'!$A$114,$BV$205^A29,IF(A29='Données projet'!$A$114,'Données projet'!$B$114,BY28+BX29-CG28)))</f>
        <v>101.06571428571431</v>
      </c>
      <c r="BZ29" s="13">
        <f>BY29*VLOOKUP('Données projet'!$B$12,Paramètres!$A$1:$I$89,3,0)*VLOOKUP('Données projet'!$B$12,Paramètres!$A$1:$I$89,5,0)</f>
        <v>102.48063428571432</v>
      </c>
      <c r="CA29" s="13">
        <f t="shared" si="39"/>
        <v>27.552129023626446</v>
      </c>
      <c r="CB29" s="20">
        <f t="shared" si="10"/>
        <v>226.47372943043516</v>
      </c>
      <c r="CC29" s="59">
        <f t="shared" si="11"/>
        <v>456.76044347962534</v>
      </c>
      <c r="CD29" s="59">
        <f ca="1">AVERAGE(OFFSET($CC$3,0,0,'Données projet'!$E$12+1,1))-AVERAGE(OFFSET($H$3,0,0,'Données projet'!$E$12+1,1))</f>
        <v>692.2706942067415</v>
      </c>
      <c r="CE29" s="59">
        <f t="shared" si="40"/>
        <v>316.17529091924803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2.6285714285714286</v>
      </c>
      <c r="CT29" s="12">
        <f>IF('Données projet'!$A$140&gt;35,CT28+CS29-DB28,IF(A29&lt;'Données projet'!$A$140,$CQ$205^A29,IF(A29='Données projet'!$A$140,'Données projet'!$B$140,CT28+CS29-DB28)))</f>
        <v>28.761651161811006</v>
      </c>
      <c r="CU29" s="17">
        <f>CT29*VLOOKUP('Données projet'!$B$13,Paramètres!$A$1:$I$89,3,0)*VLOOKUP('Données projet'!$B$13,Paramètres!$A$1:$I$89,5,0)</f>
        <v>27.369587245579357</v>
      </c>
      <c r="CV29" s="13">
        <f t="shared" si="41"/>
        <v>8.580691512394095</v>
      </c>
      <c r="CW29" s="20">
        <f t="shared" si="13"/>
        <v>62.6134021701371</v>
      </c>
      <c r="CX29" s="59">
        <f t="shared" si="14"/>
        <v>292.90011621932729</v>
      </c>
      <c r="CY29" s="59">
        <f ca="1">AVERAGE(OFFSET($CX$3,0,0,'Données projet'!$E$13+1,1))-AVERAGE(OFFSET($H$3,0,0,'Données projet'!$E$13+1,1))</f>
        <v>424.5933338095914</v>
      </c>
      <c r="CZ29" s="59">
        <f t="shared" si="42"/>
        <v>159.28977188196134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>
        <f>DO29*VLOOKUP('Données projet'!$B$14,Paramètres!$A$1:$I$89,3,0)*VLOOKUP('Données projet'!$B$14,Paramètres!$A$1:$I$89,5,0)</f>
        <v>0</v>
      </c>
      <c r="DQ29" s="13" t="e">
        <f t="shared" si="43"/>
        <v>#NUM!</v>
      </c>
      <c r="DR29" s="20" t="e">
        <f t="shared" si="16"/>
        <v>#NUM!</v>
      </c>
      <c r="DS29" s="59" t="e">
        <f t="shared" si="17"/>
        <v>#NUM!</v>
      </c>
      <c r="DT29" s="59">
        <f ca="1">AVERAGE(OFFSET($DS$3,0,0,'Données projet'!$E$14+1,1))-AVERAGE(OFFSET($H$3,0,0,'Données projet'!$E$14+1,1))</f>
        <v>-18.333333333333343</v>
      </c>
      <c r="DU29" s="59">
        <f t="shared" si="44"/>
        <v>-18.333333333333343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>
        <f>EJ29*VLOOKUP('Données projet'!$B$15,Paramètres!$A$1:$I$89,3,0)*VLOOKUP('Données projet'!$B$15,Paramètres!$A$1:$I$89,5,0)</f>
        <v>0</v>
      </c>
      <c r="EL29" s="13" t="e">
        <f t="shared" si="45"/>
        <v>#NUM!</v>
      </c>
      <c r="EM29" s="20" t="e">
        <f t="shared" si="19"/>
        <v>#NUM!</v>
      </c>
      <c r="EN29" s="59" t="e">
        <f t="shared" si="20"/>
        <v>#NUM!</v>
      </c>
      <c r="EO29" s="59">
        <f ca="1">AVERAGE(OFFSET($EN$3,0,0,'Données projet'!$E$15+1,1))-AVERAGE(OFFSET($H$3,0,0,'Données projet'!$E$15+1,1))</f>
        <v>-18.333333333333343</v>
      </c>
      <c r="EP29" s="59">
        <f t="shared" si="46"/>
        <v>-18.333333333333343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3.887142857142857</v>
      </c>
      <c r="FE29" s="12">
        <f>IF('Données projet'!$A$218&gt;35,FE28+FD29-FM28,IF(A29&lt;'Données projet'!$A$218,$FB$205^A29,IF(A29='Données projet'!$A$218,'Données projet'!$B$218,FE28+FD29-FM28)))</f>
        <v>101.06571428571431</v>
      </c>
      <c r="FF29" s="17">
        <f>FE29*VLOOKUP('Données projet'!$B$16,Paramètres!$A$1:$I$89,3,0)*VLOOKUP('Données projet'!$B$16,Paramètres!$A$1:$I$89,5,0)</f>
        <v>97.750758857142884</v>
      </c>
      <c r="FG29" s="13">
        <f t="shared" si="47"/>
        <v>26.425439460319531</v>
      </c>
      <c r="FH29" s="20">
        <f t="shared" si="22"/>
        <v>216.2735454029137</v>
      </c>
      <c r="FI29" s="59">
        <f t="shared" si="23"/>
        <v>446.56025945210388</v>
      </c>
      <c r="FJ29" s="59">
        <f ca="1">AVERAGE(OFFSET($FI$3,0,0,'Données projet'!$E$16+1,1))-AVERAGE(OFFSET($H$3,0,0,'Données projet'!$E$16+1,1))</f>
        <v>664.59451650228573</v>
      </c>
      <c r="FK29" s="59">
        <f t="shared" si="48"/>
        <v>304.44325029106631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20.836666666666673</v>
      </c>
      <c r="N30" s="13">
        <f>IF('Données projet'!$A$36&gt;35,N29+M30-V29,IF(A30&lt;'Données projet'!$A$36,$K$205^A30,IF(A30='Données projet'!$A$36,'Données projet'!$B$36,N29+M30-V29)))</f>
        <v>197.59000000000003</v>
      </c>
      <c r="O30" s="13">
        <f>N30*VLOOKUP('Données projet'!$B$9,Paramètres!$A$1:$I$89,3,0)*VLOOKUP('Données projet'!$B$9,Paramètres!$A$1:$I$89,5,0)</f>
        <v>118.15882000000003</v>
      </c>
      <c r="P30" s="13">
        <f t="shared" si="33"/>
        <v>31.245188622686264</v>
      </c>
      <c r="Q30" s="20">
        <f t="shared" si="2"/>
        <v>260.21198168451195</v>
      </c>
      <c r="R30" s="59">
        <f t="shared" si="0"/>
        <v>492.72982455707546</v>
      </c>
      <c r="S30" s="59">
        <f ca="1">AVERAGE(OFFSET($R$3,0,0,'Données projet'!$E$9+1,1))-AVERAGE(OFFSET($H$3,0,0,'Données projet'!$E$9+1,1))</f>
        <v>460.88622650237176</v>
      </c>
      <c r="T30" s="59">
        <f t="shared" si="34"/>
        <v>396.05161661639647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10.265361060920849</v>
      </c>
      <c r="AA30" s="21">
        <f>EXP(-LN(2)/25)*AA29+(1-EXP(-LN(2)/25))/(LN(2)/25)*Calculateur!V30*Calculateur!X30*VLOOKUP('Données projet'!$B$9,Paramètres!$A$1:$I$89,3,0)*0.475*44/12</f>
        <v>10.131599772095207</v>
      </c>
      <c r="AB30" s="21">
        <f>EXP(-LN(2)/2)*AB29+(1-EXP(-LN(2)/2))/(LN(2)/2)*V30*Y30*VLOOKUP('Données projet'!$B$9,Paramètres!$A$1:$I$89,3,0)*0.475*44/12</f>
        <v>3.3981911568761838</v>
      </c>
      <c r="AC30" s="22">
        <f t="shared" si="3"/>
        <v>23.79515198989224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9.9228571428571435</v>
      </c>
      <c r="AI30" s="13">
        <f>IF('Données projet'!$A$62&gt;35,AI29+AH30-AQ29,IF(A30&lt;'Données projet'!$A$62,$AF$205^A30,IF(A30='Données projet'!$A$62,'Données projet'!$B$62,AI29+AH30-AQ29)))</f>
        <v>267.91714285714284</v>
      </c>
      <c r="AJ30" s="13">
        <f>AI30*VLOOKUP('Données projet'!$B$10,Paramètres!$A$1:$I$89,3,0)*VLOOKUP('Données projet'!$B$10,Paramètres!$A$1:$I$89,5,0)</f>
        <v>125.38522285714285</v>
      </c>
      <c r="AK30" s="13">
        <f t="shared" si="35"/>
        <v>32.927787108559478</v>
      </c>
      <c r="AL30" s="20">
        <f t="shared" si="4"/>
        <v>275.72849235693155</v>
      </c>
      <c r="AM30" s="59">
        <f t="shared" si="5"/>
        <v>508.24633522949506</v>
      </c>
      <c r="AN30" s="59">
        <f ca="1">AVERAGE(OFFSET($AM$3,0,0,'Données projet'!$E$10+1,1))-AVERAGE(OFFSET($H$3,0,0,'Données projet'!$E$10+1,1))</f>
        <v>387.50901594883317</v>
      </c>
      <c r="AO30" s="59">
        <f t="shared" si="36"/>
        <v>361.3623790401972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3.887142857142857</v>
      </c>
      <c r="BD30" s="12">
        <f>IF('Données projet'!$A$88&gt;35,BD29+BC30-BL29,IF(A30&lt;'Données projet'!$A$88,$BA$205^A30,IF(A30='Données projet'!$A$88,'Données projet'!$B$88,BD29+BC30-BL29)))</f>
        <v>104.95285714285717</v>
      </c>
      <c r="BE30" s="13">
        <f>BD30*VLOOKUP('Données projet'!$B$11,Paramètres!$A$1:$I$89,3,0)*VLOOKUP('Données projet'!$B$11,Paramètres!$A$1:$I$89,5,0)</f>
        <v>94.961345142857169</v>
      </c>
      <c r="BF30" s="13">
        <f t="shared" si="37"/>
        <v>25.758019548315733</v>
      </c>
      <c r="BG30" s="20">
        <f t="shared" si="7"/>
        <v>210.25289350379276</v>
      </c>
      <c r="BH30" s="59">
        <f t="shared" si="8"/>
        <v>442.77073637635624</v>
      </c>
      <c r="BI30" s="59">
        <f ca="1">AVERAGE(OFFSET($BH$3,0,0,'Données projet'!$E$11+1,1))-AVERAGE(OFFSET($H$3,0,0,'Données projet'!$E$11+1,1))</f>
        <v>627.65081154031589</v>
      </c>
      <c r="BJ30" s="59">
        <f t="shared" si="38"/>
        <v>288.78083487077618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3.887142857142857</v>
      </c>
      <c r="BY30" s="12">
        <f>IF('Données projet'!$A$114&gt;35,BY29+BX30-CG29,IF(A30&lt;'Données projet'!$A$114,$BV$205^A30,IF(A30='Données projet'!$A$114,'Données projet'!$B$114,BY29+BX30-CG29)))</f>
        <v>104.95285714285717</v>
      </c>
      <c r="BZ30" s="13">
        <f>BY30*VLOOKUP('Données projet'!$B$12,Paramètres!$A$1:$I$89,3,0)*VLOOKUP('Données projet'!$B$12,Paramètres!$A$1:$I$89,5,0)</f>
        <v>106.42219714285717</v>
      </c>
      <c r="CA30" s="13">
        <f t="shared" si="39"/>
        <v>28.486410954559084</v>
      </c>
      <c r="CB30" s="20">
        <f t="shared" si="10"/>
        <v>234.96582576966659</v>
      </c>
      <c r="CC30" s="59">
        <f t="shared" si="11"/>
        <v>467.4836686422301</v>
      </c>
      <c r="CD30" s="59">
        <f ca="1">AVERAGE(OFFSET($CC$3,0,0,'Données projet'!$E$12+1,1))-AVERAGE(OFFSET($H$3,0,0,'Données projet'!$E$12+1,1))</f>
        <v>692.2706942067415</v>
      </c>
      <c r="CE30" s="59">
        <f t="shared" si="40"/>
        <v>316.17529091924803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2.6285714285714286</v>
      </c>
      <c r="CT30" s="12">
        <f>IF('Données projet'!$A$140&gt;35,CT29+CS30-DB29,IF(A30&lt;'Données projet'!$A$140,$CQ$205^A30,IF(A30='Données projet'!$A$140,'Données projet'!$B$140,CT29+CS30-DB29)))</f>
        <v>32.728193804920146</v>
      </c>
      <c r="CU30" s="17">
        <f>CT30*VLOOKUP('Données projet'!$B$13,Paramètres!$A$1:$I$89,3,0)*VLOOKUP('Données projet'!$B$13,Paramètres!$A$1:$I$89,5,0)</f>
        <v>31.144149224762014</v>
      </c>
      <c r="CV30" s="13">
        <f t="shared" si="41"/>
        <v>9.6183264955096117</v>
      </c>
      <c r="CW30" s="20">
        <f t="shared" si="13"/>
        <v>70.994645212806404</v>
      </c>
      <c r="CX30" s="59">
        <f t="shared" si="14"/>
        <v>303.51248808536991</v>
      </c>
      <c r="CY30" s="59">
        <f ca="1">AVERAGE(OFFSET($CX$3,0,0,'Données projet'!$E$13+1,1))-AVERAGE(OFFSET($H$3,0,0,'Données projet'!$E$13+1,1))</f>
        <v>424.5933338095914</v>
      </c>
      <c r="CZ30" s="59">
        <f t="shared" si="42"/>
        <v>159.28977188196134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>
        <f>DO30*VLOOKUP('Données projet'!$B$14,Paramètres!$A$1:$I$89,3,0)*VLOOKUP('Données projet'!$B$14,Paramètres!$A$1:$I$89,5,0)</f>
        <v>0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-18.333333333333343</v>
      </c>
      <c r="DU30" s="59">
        <f t="shared" si="44"/>
        <v>-18.333333333333343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>
        <f>EJ30*VLOOKUP('Données projet'!$B$15,Paramètres!$A$1:$I$89,3,0)*VLOOKUP('Données projet'!$B$15,Paramètres!$A$1:$I$89,5,0)</f>
        <v>0</v>
      </c>
      <c r="EL30" s="13" t="e">
        <f t="shared" si="45"/>
        <v>#NUM!</v>
      </c>
      <c r="EM30" s="20" t="e">
        <f t="shared" si="19"/>
        <v>#NUM!</v>
      </c>
      <c r="EN30" s="59" t="e">
        <f t="shared" si="20"/>
        <v>#NUM!</v>
      </c>
      <c r="EO30" s="59">
        <f ca="1">AVERAGE(OFFSET($EN$3,0,0,'Données projet'!$E$15+1,1))-AVERAGE(OFFSET($H$3,0,0,'Données projet'!$E$15+1,1))</f>
        <v>-18.333333333333343</v>
      </c>
      <c r="EP30" s="59">
        <f t="shared" si="46"/>
        <v>-18.333333333333343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3.887142857142857</v>
      </c>
      <c r="FE30" s="12">
        <f>IF('Données projet'!$A$218&gt;35,FE29+FD30-FM29,IF(A30&lt;'Données projet'!$A$218,$FB$205^A30,IF(A30='Données projet'!$A$218,'Données projet'!$B$218,FE29+FD30-FM29)))</f>
        <v>104.95285714285717</v>
      </c>
      <c r="FF30" s="17">
        <f>FE30*VLOOKUP('Données projet'!$B$16,Paramètres!$A$1:$I$89,3,0)*VLOOKUP('Données projet'!$B$16,Paramètres!$A$1:$I$89,5,0)</f>
        <v>101.51040342857146</v>
      </c>
      <c r="FG30" s="13">
        <f t="shared" si="47"/>
        <v>27.32151578834339</v>
      </c>
      <c r="FH30" s="20">
        <f t="shared" si="22"/>
        <v>224.38225930279336</v>
      </c>
      <c r="FI30" s="59">
        <f t="shared" si="23"/>
        <v>456.90010217535689</v>
      </c>
      <c r="FJ30" s="59">
        <f ca="1">AVERAGE(OFFSET($FI$3,0,0,'Données projet'!$E$16+1,1))-AVERAGE(OFFSET($H$3,0,0,'Données projet'!$E$16+1,1))</f>
        <v>664.59451650228573</v>
      </c>
      <c r="FK30" s="59">
        <f t="shared" si="48"/>
        <v>304.44325029106631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20.836666666666673</v>
      </c>
      <c r="N31" s="13">
        <f>IF('Données projet'!$A$36&gt;35,N30+M31-V30,IF(A31&lt;'Données projet'!$A$36,$K$205^A31,IF(A31='Données projet'!$A$36,'Données projet'!$B$36,N30+M31-V30)))</f>
        <v>218.4266666666667</v>
      </c>
      <c r="O31" s="13">
        <f>N31*VLOOKUP('Données projet'!$B$9,Paramètres!$A$1:$I$89,3,0)*VLOOKUP('Données projet'!$B$9,Paramètres!$A$1:$I$89,5,0)</f>
        <v>130.61914666666669</v>
      </c>
      <c r="P31" s="13">
        <f t="shared" si="33"/>
        <v>34.139386362296221</v>
      </c>
      <c r="Q31" s="20">
        <f t="shared" si="2"/>
        <v>286.9544450254437</v>
      </c>
      <c r="R31" s="59">
        <f t="shared" si="0"/>
        <v>521.68591444742776</v>
      </c>
      <c r="S31" s="59">
        <f ca="1">AVERAGE(OFFSET($R$3,0,0,'Données projet'!$E$9+1,1))-AVERAGE(OFFSET($H$3,0,0,'Données projet'!$E$9+1,1))</f>
        <v>460.88622650237176</v>
      </c>
      <c r="T31" s="59">
        <f t="shared" si="34"/>
        <v>396.05161661639647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10.064063591768191</v>
      </c>
      <c r="AA31" s="21">
        <f>EXP(-LN(2)/25)*AA30+(1-EXP(-LN(2)/25))/(LN(2)/25)*Calculateur!V31*Calculateur!X31*VLOOKUP('Données projet'!$B$9,Paramètres!$A$1:$I$89,3,0)*0.475*44/12</f>
        <v>9.8545506435295884</v>
      </c>
      <c r="AB31" s="21">
        <f>EXP(-LN(2)/2)*AB30+(1-EXP(-LN(2)/2))/(LN(2)/2)*V31*Y31*VLOOKUP('Données projet'!$B$9,Paramètres!$A$1:$I$89,3,0)*0.475*44/12</f>
        <v>2.4028840107953084</v>
      </c>
      <c r="AC31" s="22">
        <f t="shared" si="3"/>
        <v>22.321498246093089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9.9228571428571435</v>
      </c>
      <c r="AI31" s="13">
        <f>IF('Données projet'!$A$62&gt;35,AI30+AH31-AQ30,IF(A31&lt;'Données projet'!$A$62,$AF$205^A31,IF(A31='Données projet'!$A$62,'Données projet'!$B$62,AI30+AH31-AQ30)))</f>
        <v>277.83999999999997</v>
      </c>
      <c r="AJ31" s="13">
        <f>AI31*VLOOKUP('Données projet'!$B$10,Paramètres!$A$1:$I$89,3,0)*VLOOKUP('Données projet'!$B$10,Paramètres!$A$1:$I$89,5,0)</f>
        <v>130.02912000000001</v>
      </c>
      <c r="AK31" s="13">
        <f t="shared" si="35"/>
        <v>34.003088021651131</v>
      </c>
      <c r="AL31" s="20">
        <f t="shared" si="4"/>
        <v>285.68942897104239</v>
      </c>
      <c r="AM31" s="59">
        <f t="shared" si="5"/>
        <v>520.4208983930265</v>
      </c>
      <c r="AN31" s="59">
        <f ca="1">AVERAGE(OFFSET($AM$3,0,0,'Données projet'!$E$10+1,1))-AVERAGE(OFFSET($H$3,0,0,'Données projet'!$E$10+1,1))</f>
        <v>387.50901594883317</v>
      </c>
      <c r="AO31" s="59">
        <f t="shared" si="36"/>
        <v>361.3623790401972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3.887142857142857</v>
      </c>
      <c r="BD31" s="12">
        <f>IF('Données projet'!$A$88&gt;35,BD30+BC31-BL30,IF(A31&lt;'Données projet'!$A$88,$BA$205^A31,IF(A31='Données projet'!$A$88,'Données projet'!$B$88,BD30+BC31-BL30)))</f>
        <v>108.84000000000003</v>
      </c>
      <c r="BE31" s="13">
        <f>BD31*VLOOKUP('Données projet'!$B$11,Paramètres!$A$1:$I$89,3,0)*VLOOKUP('Données projet'!$B$11,Paramètres!$A$1:$I$89,5,0)</f>
        <v>98.478432000000026</v>
      </c>
      <c r="BF31" s="13">
        <f t="shared" si="37"/>
        <v>26.599182115615513</v>
      </c>
      <c r="BG31" s="20">
        <f t="shared" si="7"/>
        <v>217.84351125136371</v>
      </c>
      <c r="BH31" s="59">
        <f t="shared" si="8"/>
        <v>452.5749806733478</v>
      </c>
      <c r="BI31" s="59">
        <f ca="1">AVERAGE(OFFSET($BH$3,0,0,'Données projet'!$E$11+1,1))-AVERAGE(OFFSET($H$3,0,0,'Données projet'!$E$11+1,1))</f>
        <v>627.65081154031589</v>
      </c>
      <c r="BJ31" s="59">
        <f t="shared" si="38"/>
        <v>288.78083487077618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3.887142857142857</v>
      </c>
      <c r="BY31" s="12">
        <f>IF('Données projet'!$A$114&gt;35,BY30+BX31-CG30,IF(A31&lt;'Données projet'!$A$114,$BV$205^A31,IF(A31='Données projet'!$A$114,'Données projet'!$B$114,BY30+BX31-CG30)))</f>
        <v>108.84000000000003</v>
      </c>
      <c r="BZ31" s="13">
        <f>BY31*VLOOKUP('Données projet'!$B$12,Paramètres!$A$1:$I$89,3,0)*VLOOKUP('Données projet'!$B$12,Paramètres!$A$1:$I$89,5,0)</f>
        <v>110.36376000000004</v>
      </c>
      <c r="CA31" s="13">
        <f t="shared" si="39"/>
        <v>29.416672791139618</v>
      </c>
      <c r="CB31" s="20">
        <f t="shared" si="10"/>
        <v>243.45092044456825</v>
      </c>
      <c r="CC31" s="59">
        <f t="shared" si="11"/>
        <v>478.18238986655234</v>
      </c>
      <c r="CD31" s="59">
        <f ca="1">AVERAGE(OFFSET($CC$3,0,0,'Données projet'!$E$12+1,1))-AVERAGE(OFFSET($H$3,0,0,'Données projet'!$E$12+1,1))</f>
        <v>692.2706942067415</v>
      </c>
      <c r="CE31" s="59">
        <f t="shared" si="40"/>
        <v>316.17529091924803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2.6285714285714286</v>
      </c>
      <c r="CT31" s="12">
        <f>IF('Données projet'!$A$140&gt;35,CT30+CS31-DB30,IF(A31&lt;'Données projet'!$A$140,$CQ$205^A31,IF(A31='Données projet'!$A$140,'Données projet'!$B$140,CT30+CS31-DB30)))</f>
        <v>37.241765561590526</v>
      </c>
      <c r="CU31" s="17">
        <f>CT31*VLOOKUP('Données projet'!$B$13,Paramètres!$A$1:$I$89,3,0)*VLOOKUP('Données projet'!$B$13,Paramètres!$A$1:$I$89,5,0)</f>
        <v>35.439264108409546</v>
      </c>
      <c r="CV31" s="13">
        <f t="shared" si="41"/>
        <v>10.781439286168951</v>
      </c>
      <c r="CW31" s="20">
        <f t="shared" si="13"/>
        <v>80.501058412224211</v>
      </c>
      <c r="CX31" s="59">
        <f t="shared" si="14"/>
        <v>315.23252783420833</v>
      </c>
      <c r="CY31" s="59">
        <f ca="1">AVERAGE(OFFSET($CX$3,0,0,'Données projet'!$E$13+1,1))-AVERAGE(OFFSET($H$3,0,0,'Données projet'!$E$13+1,1))</f>
        <v>424.5933338095914</v>
      </c>
      <c r="CZ31" s="59">
        <f t="shared" si="42"/>
        <v>159.28977188196134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>
        <f>DO31*VLOOKUP('Données projet'!$B$14,Paramètres!$A$1:$I$89,3,0)*VLOOKUP('Données projet'!$B$14,Paramètres!$A$1:$I$89,5,0)</f>
        <v>0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-18.333333333333343</v>
      </c>
      <c r="DU31" s="59">
        <f t="shared" si="44"/>
        <v>-18.333333333333343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>
        <f>EJ31*VLOOKUP('Données projet'!$B$15,Paramètres!$A$1:$I$89,3,0)*VLOOKUP('Données projet'!$B$15,Paramètres!$A$1:$I$89,5,0)</f>
        <v>0</v>
      </c>
      <c r="EL31" s="13" t="e">
        <f t="shared" si="45"/>
        <v>#NUM!</v>
      </c>
      <c r="EM31" s="20" t="e">
        <f t="shared" si="19"/>
        <v>#NUM!</v>
      </c>
      <c r="EN31" s="59" t="e">
        <f t="shared" si="20"/>
        <v>#NUM!</v>
      </c>
      <c r="EO31" s="59">
        <f ca="1">AVERAGE(OFFSET($EN$3,0,0,'Données projet'!$E$15+1,1))-AVERAGE(OFFSET($H$3,0,0,'Données projet'!$E$15+1,1))</f>
        <v>-18.333333333333343</v>
      </c>
      <c r="EP31" s="59">
        <f t="shared" si="46"/>
        <v>-18.333333333333343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3.887142857142857</v>
      </c>
      <c r="FE31" s="12">
        <f>IF('Données projet'!$A$218&gt;35,FE30+FD31-FM30,IF(A31&lt;'Données projet'!$A$218,$FB$205^A31,IF(A31='Données projet'!$A$218,'Données projet'!$B$218,FE30+FD31-FM30)))</f>
        <v>108.84000000000003</v>
      </c>
      <c r="FF31" s="17">
        <f>FE31*VLOOKUP('Données projet'!$B$16,Paramètres!$A$1:$I$89,3,0)*VLOOKUP('Données projet'!$B$16,Paramètres!$A$1:$I$89,5,0)</f>
        <v>105.27004800000003</v>
      </c>
      <c r="FG31" s="13">
        <f t="shared" si="47"/>
        <v>28.213736415784727</v>
      </c>
      <c r="FH31" s="20">
        <f t="shared" si="22"/>
        <v>232.48425785749177</v>
      </c>
      <c r="FI31" s="59">
        <f t="shared" si="23"/>
        <v>467.21572727947586</v>
      </c>
      <c r="FJ31" s="59">
        <f ca="1">AVERAGE(OFFSET($FI$3,0,0,'Données projet'!$E$16+1,1))-AVERAGE(OFFSET($H$3,0,0,'Données projet'!$E$16+1,1))</f>
        <v>664.59451650228573</v>
      </c>
      <c r="FK31" s="59">
        <f t="shared" si="48"/>
        <v>304.44325029106631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20.836666666666673</v>
      </c>
      <c r="N32" s="13">
        <f>IF('Données projet'!$A$36&gt;35,N31+M32-V31,IF(A32&lt;'Données projet'!$A$36,$K$205^A32,IF(A32='Données projet'!$A$36,'Données projet'!$B$36,N31+M32-V31)))</f>
        <v>239.26333333333338</v>
      </c>
      <c r="O32" s="13">
        <f>N32*VLOOKUP('Données projet'!$B$9,Paramètres!$A$1:$I$89,3,0)*VLOOKUP('Données projet'!$B$9,Paramètres!$A$1:$I$89,5,0)</f>
        <v>143.07947333333337</v>
      </c>
      <c r="P32" s="13">
        <f t="shared" si="33"/>
        <v>37.001573778174709</v>
      </c>
      <c r="Q32" s="20">
        <f t="shared" si="2"/>
        <v>313.64115705254318</v>
      </c>
      <c r="R32" s="59">
        <f t="shared" si="0"/>
        <v>550.56905437531896</v>
      </c>
      <c r="S32" s="59">
        <f ca="1">AVERAGE(OFFSET($R$3,0,0,'Données projet'!$E$9+1,1))-AVERAGE(OFFSET($H$3,0,0,'Données projet'!$E$9+1,1))</f>
        <v>460.88622650237176</v>
      </c>
      <c r="T32" s="59">
        <f t="shared" si="34"/>
        <v>396.05161661639647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9.8667134432062831</v>
      </c>
      <c r="AA32" s="21">
        <f>EXP(-LN(2)/25)*AA31+(1-EXP(-LN(2)/25))/(LN(2)/25)*Calculateur!V32*Calculateur!X32*VLOOKUP('Données projet'!$B$9,Paramètres!$A$1:$I$89,3,0)*0.475*44/12</f>
        <v>9.5850774379539772</v>
      </c>
      <c r="AB32" s="21">
        <f>EXP(-LN(2)/2)*AB31+(1-EXP(-LN(2)/2))/(LN(2)/2)*V32*Y32*VLOOKUP('Données projet'!$B$9,Paramètres!$A$1:$I$89,3,0)*0.475*44/12</f>
        <v>1.6990955784380919</v>
      </c>
      <c r="AC32" s="22">
        <f t="shared" si="3"/>
        <v>21.150886459598354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9.9228571428571435</v>
      </c>
      <c r="AI32" s="13">
        <f>IF('Données projet'!$A$62&gt;35,AI31+AH32-AQ31,IF(A32&lt;'Données projet'!$A$62,$AF$205^A32,IF(A32='Données projet'!$A$62,'Données projet'!$B$62,AI31+AH32-AQ31)))</f>
        <v>287.76285714285711</v>
      </c>
      <c r="AJ32" s="13">
        <f>AI32*VLOOKUP('Données projet'!$B$10,Paramètres!$A$1:$I$89,3,0)*VLOOKUP('Données projet'!$B$10,Paramètres!$A$1:$I$89,5,0)</f>
        <v>134.67301714285713</v>
      </c>
      <c r="AK32" s="13">
        <f t="shared" si="35"/>
        <v>35.073927031994522</v>
      </c>
      <c r="AL32" s="20">
        <f t="shared" si="4"/>
        <v>295.64259443786659</v>
      </c>
      <c r="AM32" s="59">
        <f t="shared" si="5"/>
        <v>532.57049176064243</v>
      </c>
      <c r="AN32" s="59">
        <f ca="1">AVERAGE(OFFSET($AM$3,0,0,'Données projet'!$E$10+1,1))-AVERAGE(OFFSET($H$3,0,0,'Données projet'!$E$10+1,1))</f>
        <v>387.50901594883317</v>
      </c>
      <c r="AO32" s="59">
        <f t="shared" si="36"/>
        <v>361.3623790401972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3.887142857142857</v>
      </c>
      <c r="BD32" s="12">
        <f>IF('Données projet'!$A$88&gt;35,BD31+BC32-BL31,IF(A32&lt;'Données projet'!$A$88,$BA$205^A32,IF(A32='Données projet'!$A$88,'Données projet'!$B$88,BD31+BC32-BL31)))</f>
        <v>112.72714285714289</v>
      </c>
      <c r="BE32" s="13">
        <f>BD32*VLOOKUP('Données projet'!$B$11,Paramètres!$A$1:$I$89,3,0)*VLOOKUP('Données projet'!$B$11,Paramètres!$A$1:$I$89,5,0)</f>
        <v>101.99551885714288</v>
      </c>
      <c r="BF32" s="13">
        <f t="shared" si="37"/>
        <v>27.436854324518826</v>
      </c>
      <c r="BG32" s="20">
        <f t="shared" si="7"/>
        <v>225.4280499580608</v>
      </c>
      <c r="BH32" s="59">
        <f t="shared" si="8"/>
        <v>462.35594728083663</v>
      </c>
      <c r="BI32" s="59">
        <f ca="1">AVERAGE(OFFSET($BH$3,0,0,'Données projet'!$E$11+1,1))-AVERAGE(OFFSET($H$3,0,0,'Données projet'!$E$11+1,1))</f>
        <v>627.65081154031589</v>
      </c>
      <c r="BJ32" s="59">
        <f t="shared" si="38"/>
        <v>288.78083487077618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3.887142857142857</v>
      </c>
      <c r="BY32" s="12">
        <f>IF('Données projet'!$A$114&gt;35,BY31+BX32-CG31,IF(A32&lt;'Données projet'!$A$114,$BV$205^A32,IF(A32='Données projet'!$A$114,'Données projet'!$B$114,BY31+BX32-CG31)))</f>
        <v>112.72714285714289</v>
      </c>
      <c r="BZ32" s="13">
        <f>BY32*VLOOKUP('Données projet'!$B$12,Paramètres!$A$1:$I$89,3,0)*VLOOKUP('Données projet'!$B$12,Paramètres!$A$1:$I$89,5,0)</f>
        <v>114.3053228571429</v>
      </c>
      <c r="CA32" s="13">
        <f t="shared" si="39"/>
        <v>30.343074556744043</v>
      </c>
      <c r="CB32" s="20">
        <f t="shared" si="10"/>
        <v>251.92929216251972</v>
      </c>
      <c r="CC32" s="59">
        <f t="shared" si="11"/>
        <v>488.85718948529552</v>
      </c>
      <c r="CD32" s="59">
        <f ca="1">AVERAGE(OFFSET($CC$3,0,0,'Données projet'!$E$12+1,1))-AVERAGE(OFFSET($H$3,0,0,'Données projet'!$E$12+1,1))</f>
        <v>692.2706942067415</v>
      </c>
      <c r="CE32" s="59">
        <f t="shared" si="40"/>
        <v>316.17529091924803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2.6285714285714286</v>
      </c>
      <c r="CT32" s="12">
        <f>IF('Données projet'!$A$140&gt;35,CT31+CS32-DB31,IF(A32&lt;'Données projet'!$A$140,$CQ$205^A32,IF(A32='Données projet'!$A$140,'Données projet'!$B$140,CT31+CS32-DB31)))</f>
        <v>42.377807660622111</v>
      </c>
      <c r="CU32" s="17">
        <f>CT32*VLOOKUP('Données projet'!$B$13,Paramètres!$A$1:$I$89,3,0)*VLOOKUP('Données projet'!$B$13,Paramètres!$A$1:$I$89,5,0)</f>
        <v>40.326721769848</v>
      </c>
      <c r="CV32" s="13">
        <f t="shared" si="41"/>
        <v>12.085203505580159</v>
      </c>
      <c r="CW32" s="20">
        <f t="shared" si="13"/>
        <v>91.284103188037378</v>
      </c>
      <c r="CX32" s="59">
        <f t="shared" si="14"/>
        <v>328.2120005108132</v>
      </c>
      <c r="CY32" s="59">
        <f ca="1">AVERAGE(OFFSET($CX$3,0,0,'Données projet'!$E$13+1,1))-AVERAGE(OFFSET($H$3,0,0,'Données projet'!$E$13+1,1))</f>
        <v>424.5933338095914</v>
      </c>
      <c r="CZ32" s="59">
        <f t="shared" si="42"/>
        <v>159.28977188196134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>
        <f>DO32*VLOOKUP('Données projet'!$B$14,Paramètres!$A$1:$I$89,3,0)*VLOOKUP('Données projet'!$B$14,Paramètres!$A$1:$I$89,5,0)</f>
        <v>0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-18.333333333333343</v>
      </c>
      <c r="DU32" s="59">
        <f t="shared" si="44"/>
        <v>-18.333333333333343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>
        <f>EJ32*VLOOKUP('Données projet'!$B$15,Paramètres!$A$1:$I$89,3,0)*VLOOKUP('Données projet'!$B$15,Paramètres!$A$1:$I$89,5,0)</f>
        <v>0</v>
      </c>
      <c r="EL32" s="13" t="e">
        <f t="shared" si="45"/>
        <v>#NUM!</v>
      </c>
      <c r="EM32" s="20" t="e">
        <f t="shared" si="19"/>
        <v>#NUM!</v>
      </c>
      <c r="EN32" s="59" t="e">
        <f t="shared" si="20"/>
        <v>#NUM!</v>
      </c>
      <c r="EO32" s="59">
        <f ca="1">AVERAGE(OFFSET($EN$3,0,0,'Données projet'!$E$15+1,1))-AVERAGE(OFFSET($H$3,0,0,'Données projet'!$E$15+1,1))</f>
        <v>-18.333333333333343</v>
      </c>
      <c r="EP32" s="59">
        <f t="shared" si="46"/>
        <v>-18.333333333333343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3.887142857142857</v>
      </c>
      <c r="FE32" s="12">
        <f>IF('Données projet'!$A$218&gt;35,FE31+FD32-FM31,IF(A32&lt;'Données projet'!$A$218,$FB$205^A32,IF(A32='Données projet'!$A$218,'Données projet'!$B$218,FE31+FD32-FM31)))</f>
        <v>112.72714285714289</v>
      </c>
      <c r="FF32" s="17">
        <f>FE32*VLOOKUP('Données projet'!$B$16,Paramètres!$A$1:$I$89,3,0)*VLOOKUP('Données projet'!$B$16,Paramètres!$A$1:$I$89,5,0)</f>
        <v>109.02969257142863</v>
      </c>
      <c r="FG32" s="13">
        <f t="shared" si="47"/>
        <v>29.102254822181546</v>
      </c>
      <c r="FH32" s="20">
        <f t="shared" si="22"/>
        <v>240.57980837720436</v>
      </c>
      <c r="FI32" s="59">
        <f t="shared" si="23"/>
        <v>477.50770569998019</v>
      </c>
      <c r="FJ32" s="59">
        <f ca="1">AVERAGE(OFFSET($FI$3,0,0,'Données projet'!$E$16+1,1))-AVERAGE(OFFSET($H$3,0,0,'Données projet'!$E$16+1,1))</f>
        <v>664.59451650228573</v>
      </c>
      <c r="FK32" s="59">
        <f t="shared" si="48"/>
        <v>304.44325029106631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260.10000000000002</v>
      </c>
      <c r="L33" s="12">
        <f>VLOOKUP(A33,'Données projet'!$A$35:$I$55,9,0)</f>
        <v>20.836666666666673</v>
      </c>
      <c r="M33" s="12">
        <f t="array" ref="M33">INDEX(L:L,MIN(IF(ISNUMBER(L33:L229),ROW(L33:L229),"")))</f>
        <v>20.836666666666673</v>
      </c>
      <c r="N33" s="13">
        <f>IF('Données projet'!$A$36&gt;35,N32+M33-V32,IF(A33&lt;'Données projet'!$A$36,$K$205^A33,IF(A33='Données projet'!$A$36,'Données projet'!$B$36,N32+M33-V32)))</f>
        <v>260.10000000000002</v>
      </c>
      <c r="O33" s="13">
        <f>N33*VLOOKUP('Données projet'!$B$9,Paramètres!$A$1:$I$89,3,0)*VLOOKUP('Données projet'!$B$9,Paramètres!$A$1:$I$89,5,0)</f>
        <v>155.53980000000001</v>
      </c>
      <c r="P33" s="13">
        <f t="shared" si="33"/>
        <v>39.834855511973885</v>
      </c>
      <c r="Q33" s="20">
        <f t="shared" si="2"/>
        <v>340.27752501668789</v>
      </c>
      <c r="R33" s="59">
        <f t="shared" si="0"/>
        <v>579.38494994972984</v>
      </c>
      <c r="S33" s="59">
        <f ca="1">AVERAGE(OFFSET($R$3,0,0,'Données projet'!$E$9+1,1))-AVERAGE(OFFSET($H$3,0,0,'Données projet'!$E$9+1,1))</f>
        <v>460.88622650237176</v>
      </c>
      <c r="T33" s="59">
        <f t="shared" si="34"/>
        <v>396.05161661639647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66.989999999999995</v>
      </c>
      <c r="W33" s="16">
        <f>IF(ISNA(VLOOKUP(A33,'Données projet'!$A$35:$I$55,5,0)),0%,VLOOKUP(A33,'Données projet'!$A$35:$I$55,5,0)*VLOOKUP('Données projet'!$B$9,Paramètres!$A$1:$I$89,7,0))</f>
        <v>0.22500000000000001</v>
      </c>
      <c r="X33" s="16">
        <f>IF(ISNA(VLOOKUP(A33,'Données projet'!$A$35:$I$55,6,0)),0%,VLOOKUP(A33,'Données projet'!$A$35:$I$55,6,0)*VLOOKUP('Données projet'!$B$9,Paramètres!$A$1:$I$89,7,0))</f>
        <v>0.12600000000000003</v>
      </c>
      <c r="Y33" s="16">
        <f>IF(ISNA(VLOOKUP(A33,'Données projet'!$A$35:$I$55,7,0)),0%,VLOOKUP(A33,'Données projet'!$A$35:$I$55,7,0))</f>
        <v>0.22</v>
      </c>
      <c r="Z33" s="21">
        <f>EXP(-LN(2)/35)*Z32+(1-EXP(-LN(2)/35))/(LN(2)/35)*V33*W33*VLOOKUP('Données projet'!$B$9,Paramètres!$A$1:$I$89,3,0)*0.475*44/12</f>
        <v>21.630227899330318</v>
      </c>
      <c r="AA33" s="21">
        <f>EXP(-LN(2)/25)*AA32+(1-EXP(-LN(2)/25))/(LN(2)/25)*Calculateur!V33*Calculateur!X33*VLOOKUP('Données projet'!$B$9,Paramètres!$A$1:$I$89,3,0)*0.475*44/12</f>
        <v>15.992525640322288</v>
      </c>
      <c r="AB33" s="21">
        <f>EXP(-LN(2)/2)*AB32+(1-EXP(-LN(2)/2))/(LN(2)/2)*V33*Y33*VLOOKUP('Données projet'!$B$9,Paramètres!$A$1:$I$89,3,0)*0.475*44/12</f>
        <v>11.180036671780012</v>
      </c>
      <c r="AC33" s="22">
        <f t="shared" si="3"/>
        <v>48.802790211432622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9.9228571428571435</v>
      </c>
      <c r="AI33" s="13">
        <f>IF('Données projet'!$A$62&gt;35,AI32+AH33-AQ32,IF(A33&lt;'Données projet'!$A$62,$AF$205^A33,IF(A33='Données projet'!$A$62,'Données projet'!$B$62,AI32+AH33-AQ32)))</f>
        <v>297.68571428571425</v>
      </c>
      <c r="AJ33" s="13">
        <f>AI33*VLOOKUP('Données projet'!$B$10,Paramètres!$A$1:$I$89,3,0)*VLOOKUP('Données projet'!$B$10,Paramètres!$A$1:$I$89,5,0)</f>
        <v>139.31691428571426</v>
      </c>
      <c r="AK33" s="13">
        <f t="shared" si="35"/>
        <v>36.14047563226957</v>
      </c>
      <c r="AL33" s="20">
        <f t="shared" si="4"/>
        <v>305.58828744048856</v>
      </c>
      <c r="AM33" s="59">
        <f t="shared" si="5"/>
        <v>544.69571237353057</v>
      </c>
      <c r="AN33" s="59">
        <f ca="1">AVERAGE(OFFSET($AM$3,0,0,'Données projet'!$E$10+1,1))-AVERAGE(OFFSET($H$3,0,0,'Données projet'!$E$10+1,1))</f>
        <v>387.50901594883317</v>
      </c>
      <c r="AO33" s="59">
        <f t="shared" si="36"/>
        <v>361.3623790401972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3.887142857142857</v>
      </c>
      <c r="BD33" s="12">
        <f>IF('Données projet'!$A$88&gt;35,BD32+BC33-BL32,IF(A33&lt;'Données projet'!$A$88,$BA$205^A33,IF(A33='Données projet'!$A$88,'Données projet'!$B$88,BD32+BC33-BL32)))</f>
        <v>116.61428571428576</v>
      </c>
      <c r="BE33" s="13">
        <f>BD33*VLOOKUP('Données projet'!$B$11,Paramètres!$A$1:$I$89,3,0)*VLOOKUP('Données projet'!$B$11,Paramètres!$A$1:$I$89,5,0)</f>
        <v>105.51260571428575</v>
      </c>
      <c r="BF33" s="13">
        <f t="shared" si="37"/>
        <v>28.271170326518615</v>
      </c>
      <c r="BG33" s="20">
        <f t="shared" si="7"/>
        <v>233.00674327106756</v>
      </c>
      <c r="BH33" s="59">
        <f t="shared" si="8"/>
        <v>472.11416820410955</v>
      </c>
      <c r="BI33" s="59">
        <f ca="1">AVERAGE(OFFSET($BH$3,0,0,'Données projet'!$E$11+1,1))-AVERAGE(OFFSET($H$3,0,0,'Données projet'!$E$11+1,1))</f>
        <v>627.65081154031589</v>
      </c>
      <c r="BJ33" s="59">
        <f t="shared" si="38"/>
        <v>288.78083487077618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3.887142857142857</v>
      </c>
      <c r="BY33" s="12">
        <f>IF('Données projet'!$A$114&gt;35,BY32+BX33-CG32,IF(A33&lt;'Données projet'!$A$114,$BV$205^A33,IF(A33='Données projet'!$A$114,'Données projet'!$B$114,BY32+BX33-CG32)))</f>
        <v>116.61428571428576</v>
      </c>
      <c r="BZ33" s="13">
        <f>BY33*VLOOKUP('Données projet'!$B$12,Paramètres!$A$1:$I$89,3,0)*VLOOKUP('Données projet'!$B$12,Paramètres!$A$1:$I$89,5,0)</f>
        <v>118.24688571428577</v>
      </c>
      <c r="CA33" s="13">
        <f t="shared" si="39"/>
        <v>31.265764612722538</v>
      </c>
      <c r="CB33" s="20">
        <f t="shared" si="10"/>
        <v>260.40119931953944</v>
      </c>
      <c r="CC33" s="59">
        <f t="shared" si="11"/>
        <v>499.5086242525814</v>
      </c>
      <c r="CD33" s="59">
        <f ca="1">AVERAGE(OFFSET($CC$3,0,0,'Données projet'!$E$12+1,1))-AVERAGE(OFFSET($H$3,0,0,'Données projet'!$E$12+1,1))</f>
        <v>692.2706942067415</v>
      </c>
      <c r="CE33" s="59">
        <f t="shared" si="40"/>
        <v>316.17529091924803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2.6285714285714286</v>
      </c>
      <c r="CT33" s="12">
        <f>IF('Données projet'!$A$140&gt;35,CT32+CS33-DB32,IF(A33&lt;'Données projet'!$A$140,$CQ$205^A33,IF(A33='Données projet'!$A$140,'Données projet'!$B$140,CT32+CS33-DB32)))</f>
        <v>48.22216549187641</v>
      </c>
      <c r="CU33" s="17">
        <f>CT33*VLOOKUP('Données projet'!$B$13,Paramètres!$A$1:$I$89,3,0)*VLOOKUP('Données projet'!$B$13,Paramètres!$A$1:$I$89,5,0)</f>
        <v>45.888212682069593</v>
      </c>
      <c r="CV33" s="13">
        <f t="shared" si="41"/>
        <v>13.546627671376962</v>
      </c>
      <c r="CW33" s="20">
        <f t="shared" si="13"/>
        <v>103.51568028225273</v>
      </c>
      <c r="CX33" s="59">
        <f t="shared" si="14"/>
        <v>342.62310521529469</v>
      </c>
      <c r="CY33" s="59">
        <f ca="1">AVERAGE(OFFSET($CX$3,0,0,'Données projet'!$E$13+1,1))-AVERAGE(OFFSET($H$3,0,0,'Données projet'!$E$13+1,1))</f>
        <v>424.5933338095914</v>
      </c>
      <c r="CZ33" s="59">
        <f t="shared" si="42"/>
        <v>159.28977188196134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>
        <f>DO33*VLOOKUP('Données projet'!$B$14,Paramètres!$A$1:$I$89,3,0)*VLOOKUP('Données projet'!$B$14,Paramètres!$A$1:$I$89,5,0)</f>
        <v>0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-18.333333333333343</v>
      </c>
      <c r="DU33" s="59">
        <f t="shared" si="44"/>
        <v>-18.333333333333343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>
        <f>EJ33*VLOOKUP('Données projet'!$B$15,Paramètres!$A$1:$I$89,3,0)*VLOOKUP('Données projet'!$B$15,Paramètres!$A$1:$I$89,5,0)</f>
        <v>0</v>
      </c>
      <c r="EL33" s="13" t="e">
        <f t="shared" si="45"/>
        <v>#NUM!</v>
      </c>
      <c r="EM33" s="20" t="e">
        <f t="shared" si="19"/>
        <v>#NUM!</v>
      </c>
      <c r="EN33" s="59" t="e">
        <f t="shared" si="20"/>
        <v>#NUM!</v>
      </c>
      <c r="EO33" s="59">
        <f ca="1">AVERAGE(OFFSET($EN$3,0,0,'Données projet'!$E$15+1,1))-AVERAGE(OFFSET($H$3,0,0,'Données projet'!$E$15+1,1))</f>
        <v>-18.333333333333343</v>
      </c>
      <c r="EP33" s="59">
        <f t="shared" si="46"/>
        <v>-18.333333333333343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3.887142857142857</v>
      </c>
      <c r="FE33" s="12">
        <f>IF('Données projet'!$A$218&gt;35,FE32+FD33-FM32,IF(A33&lt;'Données projet'!$A$218,$FB$205^A33,IF(A33='Données projet'!$A$218,'Données projet'!$B$218,FE32+FD33-FM32)))</f>
        <v>116.61428571428576</v>
      </c>
      <c r="FF33" s="17">
        <f>FE33*VLOOKUP('Données projet'!$B$16,Paramètres!$A$1:$I$89,3,0)*VLOOKUP('Données projet'!$B$16,Paramètres!$A$1:$I$89,5,0)</f>
        <v>112.78933714285719</v>
      </c>
      <c r="FG33" s="13">
        <f t="shared" si="47"/>
        <v>29.987213301941502</v>
      </c>
      <c r="FH33" s="20">
        <f t="shared" si="22"/>
        <v>248.66915869135769</v>
      </c>
      <c r="FI33" s="59">
        <f t="shared" si="23"/>
        <v>487.77658362439968</v>
      </c>
      <c r="FJ33" s="59">
        <f ca="1">AVERAGE(OFFSET($FI$3,0,0,'Données projet'!$E$16+1,1))-AVERAGE(OFFSET($H$3,0,0,'Données projet'!$E$16+1,1))</f>
        <v>664.59451650228573</v>
      </c>
      <c r="FK33" s="59">
        <f t="shared" si="48"/>
        <v>304.44325029106631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20.572857142857142</v>
      </c>
      <c r="N34" s="13">
        <f>IF('Données projet'!$A$36&gt;35,N33+M34-V33,IF(A34&lt;'Données projet'!$A$36,$K$205^A34,IF(A34='Données projet'!$A$36,'Données projet'!$B$36,N33+M34-V33)))</f>
        <v>213.68285714285713</v>
      </c>
      <c r="O34" s="13">
        <f>N34*VLOOKUP('Données projet'!$B$9,Paramètres!$A$1:$I$89,3,0)*VLOOKUP('Données projet'!$B$9,Paramètres!$A$1:$I$89,5,0)</f>
        <v>127.78234857142857</v>
      </c>
      <c r="P34" s="13">
        <f t="shared" si="33"/>
        <v>33.483413182243972</v>
      </c>
      <c r="Q34" s="20">
        <f t="shared" si="2"/>
        <v>280.87120172097963</v>
      </c>
      <c r="R34" s="59">
        <f t="shared" si="0"/>
        <v>520.91932493379716</v>
      </c>
      <c r="S34" s="59">
        <f ca="1">AVERAGE(OFFSET($R$3,0,0,'Données projet'!$E$9+1,1))-AVERAGE(OFFSET($H$3,0,0,'Données projet'!$E$9+1,1))</f>
        <v>460.88622650237176</v>
      </c>
      <c r="T34" s="59">
        <f t="shared" si="34"/>
        <v>396.05161661639647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21.206072323360754</v>
      </c>
      <c r="AA34" s="21">
        <f>EXP(-LN(2)/25)*AA33+(1-EXP(-LN(2)/25))/(LN(2)/25)*Calculateur!V34*Calculateur!X34*VLOOKUP('Données projet'!$B$9,Paramètres!$A$1:$I$89,3,0)*0.475*44/12</f>
        <v>15.555209185677302</v>
      </c>
      <c r="AB34" s="21">
        <f>EXP(-LN(2)/2)*AB33+(1-EXP(-LN(2)/2))/(LN(2)/2)*V34*Y34*VLOOKUP('Données projet'!$B$9,Paramètres!$A$1:$I$89,3,0)*0.475*44/12</f>
        <v>7.9054797445299272</v>
      </c>
      <c r="AC34" s="22">
        <f t="shared" si="3"/>
        <v>44.666761253567984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9.9228571428571435</v>
      </c>
      <c r="AI34" s="13">
        <f>IF('Données projet'!$A$62&gt;35,AI33+AH34-AQ33,IF(A34&lt;'Données projet'!$A$62,$AF$205^A34,IF(A34='Données projet'!$A$62,'Données projet'!$B$62,AI33+AH34-AQ33)))</f>
        <v>307.60857142857139</v>
      </c>
      <c r="AJ34" s="13">
        <f>AI34*VLOOKUP('Données projet'!$B$10,Paramètres!$A$1:$I$89,3,0)*VLOOKUP('Données projet'!$B$10,Paramètres!$A$1:$I$89,5,0)</f>
        <v>143.96081142857142</v>
      </c>
      <c r="AK34" s="13">
        <f t="shared" si="35"/>
        <v>37.202893233556154</v>
      </c>
      <c r="AL34" s="20">
        <f t="shared" si="4"/>
        <v>315.52678561987216</v>
      </c>
      <c r="AM34" s="59">
        <f t="shared" si="5"/>
        <v>555.57490883268974</v>
      </c>
      <c r="AN34" s="59">
        <f ca="1">AVERAGE(OFFSET($AM$3,0,0,'Données projet'!$E$10+1,1))-AVERAGE(OFFSET($H$3,0,0,'Données projet'!$E$10+1,1))</f>
        <v>387.50901594883317</v>
      </c>
      <c r="AO34" s="59">
        <f t="shared" si="36"/>
        <v>361.3623790401972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3.887142857142857</v>
      </c>
      <c r="BD34" s="12">
        <f>IF('Données projet'!$A$88&gt;35,BD33+BC34-BL33,IF(A34&lt;'Données projet'!$A$88,$BA$205^A34,IF(A34='Données projet'!$A$88,'Données projet'!$B$88,BD33+BC34-BL33)))</f>
        <v>120.50142857142862</v>
      </c>
      <c r="BE34" s="13">
        <f>BD34*VLOOKUP('Données projet'!$B$11,Paramètres!$A$1:$I$89,3,0)*VLOOKUP('Données projet'!$B$11,Paramètres!$A$1:$I$89,5,0)</f>
        <v>109.02969257142863</v>
      </c>
      <c r="BF34" s="13">
        <f t="shared" si="37"/>
        <v>29.102254822181546</v>
      </c>
      <c r="BG34" s="20">
        <f t="shared" si="7"/>
        <v>240.57980837720436</v>
      </c>
      <c r="BH34" s="59">
        <f t="shared" si="8"/>
        <v>480.62793159002194</v>
      </c>
      <c r="BI34" s="59">
        <f ca="1">AVERAGE(OFFSET($BH$3,0,0,'Données projet'!$E$11+1,1))-AVERAGE(OFFSET($H$3,0,0,'Données projet'!$E$11+1,1))</f>
        <v>627.65081154031589</v>
      </c>
      <c r="BJ34" s="59">
        <f t="shared" si="38"/>
        <v>288.78083487077618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3.887142857142857</v>
      </c>
      <c r="BY34" s="12">
        <f>IF('Données projet'!$A$114&gt;35,BY33+BX34-CG33,IF(A34&lt;'Données projet'!$A$114,$BV$205^A34,IF(A34='Données projet'!$A$114,'Données projet'!$B$114,BY33+BX34-CG33)))</f>
        <v>120.50142857142862</v>
      </c>
      <c r="BZ34" s="13">
        <f>BY34*VLOOKUP('Données projet'!$B$12,Paramètres!$A$1:$I$89,3,0)*VLOOKUP('Données projet'!$B$12,Paramètres!$A$1:$I$89,5,0)</f>
        <v>122.18844857142862</v>
      </c>
      <c r="CA34" s="13">
        <f t="shared" si="39"/>
        <v>32.184880868419519</v>
      </c>
      <c r="CB34" s="20">
        <f t="shared" si="10"/>
        <v>268.86688210773553</v>
      </c>
      <c r="CC34" s="59">
        <f t="shared" si="11"/>
        <v>508.91500532055306</v>
      </c>
      <c r="CD34" s="59">
        <f ca="1">AVERAGE(OFFSET($CC$3,0,0,'Données projet'!$E$12+1,1))-AVERAGE(OFFSET($H$3,0,0,'Données projet'!$E$12+1,1))</f>
        <v>692.2706942067415</v>
      </c>
      <c r="CE34" s="59">
        <f t="shared" si="40"/>
        <v>316.17529091924803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2.6285714285714286</v>
      </c>
      <c r="CT34" s="12">
        <f>IF('Données projet'!$A$140&gt;35,CT33+CS34-DB33,IF(A34&lt;'Données projet'!$A$140,$CQ$205^A34,IF(A34='Données projet'!$A$140,'Données projet'!$B$140,CT33+CS34-DB33)))</f>
        <v>54.872523452568331</v>
      </c>
      <c r="CU34" s="17">
        <f>CT34*VLOOKUP('Données projet'!$B$13,Paramètres!$A$1:$I$89,3,0)*VLOOKUP('Données projet'!$B$13,Paramètres!$A$1:$I$89,5,0)</f>
        <v>52.216693317464028</v>
      </c>
      <c r="CV34" s="13">
        <f t="shared" si="41"/>
        <v>15.184777085647132</v>
      </c>
      <c r="CW34" s="20">
        <f t="shared" si="13"/>
        <v>117.39089428541861</v>
      </c>
      <c r="CX34" s="59">
        <f t="shared" si="14"/>
        <v>357.43901749823618</v>
      </c>
      <c r="CY34" s="59">
        <f ca="1">AVERAGE(OFFSET($CX$3,0,0,'Données projet'!$E$13+1,1))-AVERAGE(OFFSET($H$3,0,0,'Données projet'!$E$13+1,1))</f>
        <v>424.5933338095914</v>
      </c>
      <c r="CZ34" s="59">
        <f t="shared" si="42"/>
        <v>159.28977188196134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>
        <f>DO34*VLOOKUP('Données projet'!$B$14,Paramètres!$A$1:$I$89,3,0)*VLOOKUP('Données projet'!$B$14,Paramètres!$A$1:$I$89,5,0)</f>
        <v>0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-18.333333333333343</v>
      </c>
      <c r="DU34" s="59">
        <f t="shared" si="44"/>
        <v>-18.333333333333343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>
        <f>EJ34*VLOOKUP('Données projet'!$B$15,Paramètres!$A$1:$I$89,3,0)*VLOOKUP('Données projet'!$B$15,Paramètres!$A$1:$I$89,5,0)</f>
        <v>0</v>
      </c>
      <c r="EL34" s="13" t="e">
        <f t="shared" si="45"/>
        <v>#NUM!</v>
      </c>
      <c r="EM34" s="20" t="e">
        <f t="shared" si="19"/>
        <v>#NUM!</v>
      </c>
      <c r="EN34" s="59" t="e">
        <f t="shared" si="20"/>
        <v>#NUM!</v>
      </c>
      <c r="EO34" s="59">
        <f ca="1">AVERAGE(OFFSET($EN$3,0,0,'Données projet'!$E$15+1,1))-AVERAGE(OFFSET($H$3,0,0,'Données projet'!$E$15+1,1))</f>
        <v>-18.333333333333343</v>
      </c>
      <c r="EP34" s="59">
        <f t="shared" si="46"/>
        <v>-18.333333333333343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3.887142857142857</v>
      </c>
      <c r="FE34" s="12">
        <f>IF('Données projet'!$A$218&gt;35,FE33+FD34-FM33,IF(A34&lt;'Données projet'!$A$218,$FB$205^A34,IF(A34='Données projet'!$A$218,'Données projet'!$B$218,FE33+FD34-FM33)))</f>
        <v>120.50142857142862</v>
      </c>
      <c r="FF34" s="17">
        <f>FE34*VLOOKUP('Données projet'!$B$16,Paramètres!$A$1:$I$89,3,0)*VLOOKUP('Données projet'!$B$16,Paramètres!$A$1:$I$89,5,0)</f>
        <v>116.54898171428576</v>
      </c>
      <c r="FG34" s="13">
        <f t="shared" si="47"/>
        <v>30.868744124880426</v>
      </c>
      <c r="FH34" s="20">
        <f t="shared" si="22"/>
        <v>256.75253916988112</v>
      </c>
      <c r="FI34" s="59">
        <f t="shared" si="23"/>
        <v>496.80066238269865</v>
      </c>
      <c r="FJ34" s="59">
        <f ca="1">AVERAGE(OFFSET($FI$3,0,0,'Données projet'!$E$16+1,1))-AVERAGE(OFFSET($H$3,0,0,'Données projet'!$E$16+1,1))</f>
        <v>664.59451650228573</v>
      </c>
      <c r="FK34" s="59">
        <f t="shared" si="48"/>
        <v>304.44325029106631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20.572857142857142</v>
      </c>
      <c r="N35" s="13">
        <f>IF('Données projet'!$A$36&gt;35,N34+M35-V34,IF(A35&lt;'Données projet'!$A$36,$K$205^A35,IF(A35='Données projet'!$A$36,'Données projet'!$B$36,N34+M35-V34)))</f>
        <v>234.25571428571428</v>
      </c>
      <c r="O35" s="13">
        <f>N35*VLOOKUP('Données projet'!$B$9,Paramètres!$A$1:$I$89,3,0)*VLOOKUP('Données projet'!$B$9,Paramètres!$A$1:$I$89,5,0)</f>
        <v>140.08491714285714</v>
      </c>
      <c r="P35" s="13">
        <f t="shared" si="33"/>
        <v>36.316458133418756</v>
      </c>
      <c r="Q35" s="20">
        <f t="shared" ref="Q35:Q66" si="53">(O35+P35)*0.475*44/12</f>
        <v>307.23239527284721</v>
      </c>
      <c r="R35" s="59">
        <f t="shared" si="0"/>
        <v>548.20489775337251</v>
      </c>
      <c r="S35" s="59">
        <f ca="1">AVERAGE(OFFSET($R$3,0,0,'Données projet'!$E$9+1,1))-AVERAGE(OFFSET($H$3,0,0,'Données projet'!$E$9+1,1))</f>
        <v>460.88622650237176</v>
      </c>
      <c r="T35" s="59">
        <f t="shared" si="34"/>
        <v>396.05161661639647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20.7902341795266</v>
      </c>
      <c r="AA35" s="21">
        <f>EXP(-LN(2)/25)*AA34+(1-EXP(-LN(2)/25))/(LN(2)/25)*Calculateur!V35*Calculateur!X35*VLOOKUP('Données projet'!$B$9,Paramètres!$A$1:$I$89,3,0)*0.475*44/12</f>
        <v>15.129851172482057</v>
      </c>
      <c r="AB35" s="21">
        <f>EXP(-LN(2)/2)*AB34+(1-EXP(-LN(2)/2))/(LN(2)/2)*V35*Y35*VLOOKUP('Données projet'!$B$9,Paramètres!$A$1:$I$89,3,0)*0.475*44/12</f>
        <v>5.5900183358900071</v>
      </c>
      <c r="AC35" s="22">
        <f t="shared" si="3"/>
        <v>41.510103687898663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9.9228571428571435</v>
      </c>
      <c r="AI35" s="13">
        <f>IF('Données projet'!$A$62&gt;35,AI34+AH35-AQ34,IF(A35&lt;'Données projet'!$A$62,$AF$205^A35,IF(A35='Données projet'!$A$62,'Données projet'!$B$62,AI34+AH35-AQ34)))</f>
        <v>317.53142857142853</v>
      </c>
      <c r="AJ35" s="13">
        <f>AI35*VLOOKUP('Données projet'!$B$10,Paramètres!$A$1:$I$89,3,0)*VLOOKUP('Données projet'!$B$10,Paramètres!$A$1:$I$89,5,0)</f>
        <v>148.60470857142857</v>
      </c>
      <c r="AK35" s="13">
        <f t="shared" si="35"/>
        <v>38.261328378466914</v>
      </c>
      <c r="AL35" s="20">
        <f t="shared" si="4"/>
        <v>325.4583476877346</v>
      </c>
      <c r="AM35" s="59">
        <f t="shared" si="5"/>
        <v>566.43085016825989</v>
      </c>
      <c r="AN35" s="59">
        <f ca="1">AVERAGE(OFFSET($AM$3,0,0,'Données projet'!$E$10+1,1))-AVERAGE(OFFSET($H$3,0,0,'Données projet'!$E$10+1,1))</f>
        <v>387.50901594883317</v>
      </c>
      <c r="AO35" s="59">
        <f t="shared" si="36"/>
        <v>361.3623790401972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3.887142857142857</v>
      </c>
      <c r="BD35" s="12">
        <f>IF('Données projet'!$A$88&gt;35,BD34+BC35-BL34,IF(A35&lt;'Données projet'!$A$88,$BA$205^A35,IF(A35='Données projet'!$A$88,'Données projet'!$B$88,BD34+BC35-BL34)))</f>
        <v>124.38857142857148</v>
      </c>
      <c r="BE35" s="13">
        <f>BD35*VLOOKUP('Données projet'!$B$11,Paramètres!$A$1:$I$89,3,0)*VLOOKUP('Données projet'!$B$11,Paramètres!$A$1:$I$89,5,0)</f>
        <v>112.54677942857147</v>
      </c>
      <c r="BF35" s="13">
        <f t="shared" si="37"/>
        <v>29.930224010130704</v>
      </c>
      <c r="BG35" s="20">
        <f t="shared" si="7"/>
        <v>248.14744765573963</v>
      </c>
      <c r="BH35" s="59">
        <f t="shared" si="8"/>
        <v>489.11995013626495</v>
      </c>
      <c r="BI35" s="59">
        <f ca="1">AVERAGE(OFFSET($BH$3,0,0,'Données projet'!$E$11+1,1))-AVERAGE(OFFSET($H$3,0,0,'Données projet'!$E$11+1,1))</f>
        <v>627.65081154031589</v>
      </c>
      <c r="BJ35" s="59">
        <f t="shared" si="38"/>
        <v>288.78083487077618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3.887142857142857</v>
      </c>
      <c r="BY35" s="12">
        <f>IF('Données projet'!$A$114&gt;35,BY34+BX35-CG34,IF(A35&lt;'Données projet'!$A$114,$BV$205^A35,IF(A35='Données projet'!$A$114,'Données projet'!$B$114,BY34+BX35-CG34)))</f>
        <v>124.38857142857148</v>
      </c>
      <c r="BZ35" s="13">
        <f>BY35*VLOOKUP('Données projet'!$B$12,Paramètres!$A$1:$I$89,3,0)*VLOOKUP('Données projet'!$B$12,Paramètres!$A$1:$I$89,5,0)</f>
        <v>126.13001142857149</v>
      </c>
      <c r="CA35" s="13">
        <f t="shared" si="39"/>
        <v>33.100551830676153</v>
      </c>
      <c r="CB35" s="20">
        <f t="shared" si="10"/>
        <v>277.32656434318966</v>
      </c>
      <c r="CC35" s="59">
        <f t="shared" si="11"/>
        <v>518.29906682371495</v>
      </c>
      <c r="CD35" s="59">
        <f ca="1">AVERAGE(OFFSET($CC$3,0,0,'Données projet'!$E$12+1,1))-AVERAGE(OFFSET($H$3,0,0,'Données projet'!$E$12+1,1))</f>
        <v>692.2706942067415</v>
      </c>
      <c r="CE35" s="59">
        <f t="shared" si="40"/>
        <v>316.17529091924803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2.6285714285714286</v>
      </c>
      <c r="CT35" s="12">
        <f>IF('Données projet'!$A$140&gt;35,CT34+CS35-DB34,IF(A35&lt;'Données projet'!$A$140,$CQ$205^A35,IF(A35='Données projet'!$A$140,'Données projet'!$B$140,CT34+CS35-DB34)))</f>
        <v>62.44003767437399</v>
      </c>
      <c r="CU35" s="17">
        <f>CT35*VLOOKUP('Données projet'!$B$13,Paramètres!$A$1:$I$89,3,0)*VLOOKUP('Données projet'!$B$13,Paramètres!$A$1:$I$89,5,0)</f>
        <v>59.417939850934289</v>
      </c>
      <c r="CV35" s="13">
        <f t="shared" si="41"/>
        <v>17.02102255515501</v>
      </c>
      <c r="CW35" s="20">
        <f t="shared" si="13"/>
        <v>133.1311928572722</v>
      </c>
      <c r="CX35" s="59">
        <f t="shared" si="14"/>
        <v>374.10369533779749</v>
      </c>
      <c r="CY35" s="59">
        <f ca="1">AVERAGE(OFFSET($CX$3,0,0,'Données projet'!$E$13+1,1))-AVERAGE(OFFSET($H$3,0,0,'Données projet'!$E$13+1,1))</f>
        <v>424.5933338095914</v>
      </c>
      <c r="CZ35" s="59">
        <f t="shared" si="42"/>
        <v>159.28977188196134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>
        <f>DO35*VLOOKUP('Données projet'!$B$14,Paramètres!$A$1:$I$89,3,0)*VLOOKUP('Données projet'!$B$14,Paramètres!$A$1:$I$89,5,0)</f>
        <v>0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-18.333333333333343</v>
      </c>
      <c r="DU35" s="59">
        <f t="shared" si="44"/>
        <v>-18.333333333333343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>
        <f>EJ35*VLOOKUP('Données projet'!$B$15,Paramètres!$A$1:$I$89,3,0)*VLOOKUP('Données projet'!$B$15,Paramètres!$A$1:$I$89,5,0)</f>
        <v>0</v>
      </c>
      <c r="EL35" s="13" t="e">
        <f t="shared" si="45"/>
        <v>#NUM!</v>
      </c>
      <c r="EM35" s="20" t="e">
        <f t="shared" si="19"/>
        <v>#NUM!</v>
      </c>
      <c r="EN35" s="59" t="e">
        <f t="shared" si="20"/>
        <v>#NUM!</v>
      </c>
      <c r="EO35" s="59">
        <f ca="1">AVERAGE(OFFSET($EN$3,0,0,'Données projet'!$E$15+1,1))-AVERAGE(OFFSET($H$3,0,0,'Données projet'!$E$15+1,1))</f>
        <v>-18.333333333333343</v>
      </c>
      <c r="EP35" s="59">
        <f t="shared" si="46"/>
        <v>-18.333333333333343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3.887142857142857</v>
      </c>
      <c r="FE35" s="12">
        <f>IF('Données projet'!$A$218&gt;35,FE34+FD35-FM34,IF(A35&lt;'Données projet'!$A$218,$FB$205^A35,IF(A35='Données projet'!$A$218,'Données projet'!$B$218,FE34+FD35-FM34)))</f>
        <v>124.38857142857148</v>
      </c>
      <c r="FF35" s="17">
        <f>FE35*VLOOKUP('Données projet'!$B$16,Paramètres!$A$1:$I$89,3,0)*VLOOKUP('Données projet'!$B$16,Paramètres!$A$1:$I$89,5,0)</f>
        <v>120.30862628571434</v>
      </c>
      <c r="FG35" s="13">
        <f t="shared" si="47"/>
        <v>31.746970542807571</v>
      </c>
      <c r="FH35" s="20">
        <f t="shared" si="22"/>
        <v>264.8301644763423</v>
      </c>
      <c r="FI35" s="59">
        <f t="shared" si="23"/>
        <v>505.8026669568676</v>
      </c>
      <c r="FJ35" s="59">
        <f ca="1">AVERAGE(OFFSET($FI$3,0,0,'Données projet'!$E$16+1,1))-AVERAGE(OFFSET($H$3,0,0,'Données projet'!$E$16+1,1))</f>
        <v>664.59451650228573</v>
      </c>
      <c r="FK35" s="59">
        <f t="shared" si="48"/>
        <v>304.44325029106631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20.572857142857142</v>
      </c>
      <c r="N36" s="13">
        <f>IF('Données projet'!$A$36&gt;35,N35+M36-V35,IF(A36&lt;'Données projet'!$A$36,$K$205^A36,IF(A36='Données projet'!$A$36,'Données projet'!$B$36,N35+M36-V35)))</f>
        <v>254.82857142857142</v>
      </c>
      <c r="O36" s="13">
        <f>N36*VLOOKUP('Données projet'!$B$9,Paramètres!$A$1:$I$89,3,0)*VLOOKUP('Données projet'!$B$9,Paramètres!$A$1:$I$89,5,0)</f>
        <v>152.38748571428573</v>
      </c>
      <c r="P36" s="13">
        <f t="shared" si="33"/>
        <v>39.120650666923964</v>
      </c>
      <c r="Q36" s="20">
        <f t="shared" si="53"/>
        <v>333.54333753060683</v>
      </c>
      <c r="R36" s="59">
        <f t="shared" si="0"/>
        <v>575.42418336514754</v>
      </c>
      <c r="S36" s="59">
        <f ca="1">AVERAGE(OFFSET($R$3,0,0,'Données projet'!$E$9+1,1))-AVERAGE(OFFSET($H$3,0,0,'Données projet'!$E$9+1,1))</f>
        <v>460.88622650237176</v>
      </c>
      <c r="T36" s="59">
        <f t="shared" si="34"/>
        <v>396.05161661639647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20.382550368056808</v>
      </c>
      <c r="AA36" s="21">
        <f>EXP(-LN(2)/25)*AA35+(1-EXP(-LN(2)/25))/(LN(2)/25)*Calculateur!V36*Calculateur!X36*VLOOKUP('Données projet'!$B$9,Paramètres!$A$1:$I$89,3,0)*0.475*44/12</f>
        <v>14.716124596526242</v>
      </c>
      <c r="AB36" s="21">
        <f>EXP(-LN(2)/2)*AB35+(1-EXP(-LN(2)/2))/(LN(2)/2)*V36*Y36*VLOOKUP('Données projet'!$B$9,Paramètres!$A$1:$I$89,3,0)*0.475*44/12</f>
        <v>3.952739872264964</v>
      </c>
      <c r="AC36" s="22">
        <f t="shared" si="3"/>
        <v>39.051414836848018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9.9228571428571435</v>
      </c>
      <c r="AI36" s="13">
        <f>IF('Données projet'!$A$62&gt;35,AI35+AH36-AQ35,IF(A36&lt;'Données projet'!$A$62,$AF$205^A36,IF(A36='Données projet'!$A$62,'Données projet'!$B$62,AI35+AH36-AQ35)))</f>
        <v>327.45428571428567</v>
      </c>
      <c r="AJ36" s="13">
        <f>AI36*VLOOKUP('Données projet'!$B$10,Paramètres!$A$1:$I$89,3,0)*VLOOKUP('Données projet'!$B$10,Paramètres!$A$1:$I$89,5,0)</f>
        <v>153.2486057142857</v>
      </c>
      <c r="AK36" s="13">
        <f t="shared" si="35"/>
        <v>39.315919798378474</v>
      </c>
      <c r="AL36" s="20">
        <f t="shared" si="4"/>
        <v>335.38321526789008</v>
      </c>
      <c r="AM36" s="59">
        <f t="shared" si="5"/>
        <v>577.26406110243079</v>
      </c>
      <c r="AN36" s="59">
        <f ca="1">AVERAGE(OFFSET($AM$3,0,0,'Données projet'!$E$10+1,1))-AVERAGE(OFFSET($H$3,0,0,'Données projet'!$E$10+1,1))</f>
        <v>387.50901594883317</v>
      </c>
      <c r="AO36" s="59">
        <f t="shared" si="36"/>
        <v>361.3623790401972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3.887142857142857</v>
      </c>
      <c r="BD36" s="12">
        <f>IF('Données projet'!$A$88&gt;35,BD35+BC36-BL35,IF(A36&lt;'Données projet'!$A$88,$BA$205^A36,IF(A36='Données projet'!$A$88,'Données projet'!$B$88,BD35+BC36-BL35)))</f>
        <v>128.27571428571434</v>
      </c>
      <c r="BE36" s="13">
        <f>BD36*VLOOKUP('Données projet'!$B$11,Paramètres!$A$1:$I$89,3,0)*VLOOKUP('Données projet'!$B$11,Paramètres!$A$1:$I$89,5,0)</f>
        <v>116.06386628571434</v>
      </c>
      <c r="BF36" s="13">
        <f t="shared" si="37"/>
        <v>30.755186414072718</v>
      </c>
      <c r="BG36" s="20">
        <f t="shared" si="7"/>
        <v>255.70985011879577</v>
      </c>
      <c r="BH36" s="59">
        <f t="shared" si="8"/>
        <v>497.59069595333654</v>
      </c>
      <c r="BI36" s="59">
        <f ca="1">AVERAGE(OFFSET($BH$3,0,0,'Données projet'!$E$11+1,1))-AVERAGE(OFFSET($H$3,0,0,'Données projet'!$E$11+1,1))</f>
        <v>627.65081154031589</v>
      </c>
      <c r="BJ36" s="59">
        <f t="shared" si="38"/>
        <v>288.78083487077618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3.887142857142857</v>
      </c>
      <c r="BY36" s="12">
        <f>IF('Données projet'!$A$114&gt;35,BY35+BX36-CG35,IF(A36&lt;'Données projet'!$A$114,$BV$205^A36,IF(A36='Données projet'!$A$114,'Données projet'!$B$114,BY35+BX36-CG35)))</f>
        <v>128.27571428571434</v>
      </c>
      <c r="BZ36" s="13">
        <f>BY36*VLOOKUP('Données projet'!$B$12,Paramètres!$A$1:$I$89,3,0)*VLOOKUP('Données projet'!$B$12,Paramètres!$A$1:$I$89,5,0)</f>
        <v>130.07157428571435</v>
      </c>
      <c r="CA36" s="13">
        <f t="shared" si="39"/>
        <v>34.012897518459816</v>
      </c>
      <c r="CB36" s="20">
        <f t="shared" si="10"/>
        <v>285.78045505893664</v>
      </c>
      <c r="CC36" s="59">
        <f t="shared" si="11"/>
        <v>527.66130089347735</v>
      </c>
      <c r="CD36" s="59">
        <f ca="1">AVERAGE(OFFSET($CC$3,0,0,'Données projet'!$E$12+1,1))-AVERAGE(OFFSET($H$3,0,0,'Données projet'!$E$12+1,1))</f>
        <v>692.2706942067415</v>
      </c>
      <c r="CE36" s="59">
        <f t="shared" si="40"/>
        <v>316.17529091924803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2.6285714285714286</v>
      </c>
      <c r="CT36" s="12">
        <f>IF('Données projet'!$A$140&gt;35,CT35+CS36-DB35,IF(A36&lt;'Données projet'!$A$140,$CQ$205^A36,IF(A36='Données projet'!$A$140,'Données projet'!$B$140,CT35+CS36-DB35)))</f>
        <v>71.051193921258616</v>
      </c>
      <c r="CU36" s="17">
        <f>CT36*VLOOKUP('Données projet'!$B$13,Paramètres!$A$1:$I$89,3,0)*VLOOKUP('Données projet'!$B$13,Paramètres!$A$1:$I$89,5,0)</f>
        <v>67.612316135469698</v>
      </c>
      <c r="CV36" s="13">
        <f t="shared" si="41"/>
        <v>19.07931918848768</v>
      </c>
      <c r="CW36" s="20">
        <f t="shared" si="13"/>
        <v>150.98793152255908</v>
      </c>
      <c r="CX36" s="59">
        <f t="shared" si="14"/>
        <v>392.86877735709982</v>
      </c>
      <c r="CY36" s="59">
        <f ca="1">AVERAGE(OFFSET($CX$3,0,0,'Données projet'!$E$13+1,1))-AVERAGE(OFFSET($H$3,0,0,'Données projet'!$E$13+1,1))</f>
        <v>424.5933338095914</v>
      </c>
      <c r="CZ36" s="59">
        <f t="shared" si="42"/>
        <v>159.28977188196134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>
        <f>DO36*VLOOKUP('Données projet'!$B$14,Paramètres!$A$1:$I$89,3,0)*VLOOKUP('Données projet'!$B$14,Paramètres!$A$1:$I$89,5,0)</f>
        <v>0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-18.333333333333343</v>
      </c>
      <c r="DU36" s="59">
        <f t="shared" si="44"/>
        <v>-18.333333333333343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>
        <f>EJ36*VLOOKUP('Données projet'!$B$15,Paramètres!$A$1:$I$89,3,0)*VLOOKUP('Données projet'!$B$15,Paramètres!$A$1:$I$89,5,0)</f>
        <v>0</v>
      </c>
      <c r="EL36" s="13" t="e">
        <f t="shared" si="45"/>
        <v>#NUM!</v>
      </c>
      <c r="EM36" s="20" t="e">
        <f t="shared" si="19"/>
        <v>#NUM!</v>
      </c>
      <c r="EN36" s="59" t="e">
        <f t="shared" si="20"/>
        <v>#NUM!</v>
      </c>
      <c r="EO36" s="59">
        <f ca="1">AVERAGE(OFFSET($EN$3,0,0,'Données projet'!$E$15+1,1))-AVERAGE(OFFSET($H$3,0,0,'Données projet'!$E$15+1,1))</f>
        <v>-18.333333333333343</v>
      </c>
      <c r="EP36" s="59">
        <f t="shared" si="46"/>
        <v>-18.333333333333343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3.887142857142857</v>
      </c>
      <c r="FE36" s="12">
        <f>IF('Données projet'!$A$218&gt;35,FE35+FD36-FM35,IF(A36&lt;'Données projet'!$A$218,$FB$205^A36,IF(A36='Données projet'!$A$218,'Données projet'!$B$218,FE35+FD36-FM35)))</f>
        <v>128.27571428571434</v>
      </c>
      <c r="FF36" s="17">
        <f>FE36*VLOOKUP('Données projet'!$B$16,Paramètres!$A$1:$I$89,3,0)*VLOOKUP('Données projet'!$B$16,Paramètres!$A$1:$I$89,5,0)</f>
        <v>124.06827085714291</v>
      </c>
      <c r="FG36" s="13">
        <f t="shared" si="47"/>
        <v>32.622007666753092</v>
      </c>
      <c r="FH36" s="20">
        <f t="shared" si="22"/>
        <v>272.9022350957855</v>
      </c>
      <c r="FI36" s="59">
        <f t="shared" si="23"/>
        <v>514.78308093032626</v>
      </c>
      <c r="FJ36" s="59">
        <f ca="1">AVERAGE(OFFSET($FI$3,0,0,'Données projet'!$E$16+1,1))-AVERAGE(OFFSET($H$3,0,0,'Données projet'!$E$16+1,1))</f>
        <v>664.59451650228573</v>
      </c>
      <c r="FK36" s="59">
        <f t="shared" si="48"/>
        <v>304.44325029106631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20.572857142857142</v>
      </c>
      <c r="N37" s="13">
        <f>IF('Données projet'!$A$36&gt;35,N36+M37-V36,IF(A37&lt;'Données projet'!$A$36,$K$205^A37,IF(A37='Données projet'!$A$36,'Données projet'!$B$36,N36+M37-V36)))</f>
        <v>275.40142857142854</v>
      </c>
      <c r="O37" s="13">
        <f>N37*VLOOKUP('Données projet'!$B$9,Paramètres!$A$1:$I$89,3,0)*VLOOKUP('Données projet'!$B$9,Paramètres!$A$1:$I$89,5,0)</f>
        <v>164.69005428571427</v>
      </c>
      <c r="P37" s="13">
        <f t="shared" si="33"/>
        <v>41.898584920743353</v>
      </c>
      <c r="Q37" s="20">
        <f t="shared" si="53"/>
        <v>359.80854661791369</v>
      </c>
      <c r="R37" s="59">
        <f t="shared" si="0"/>
        <v>602.58197808002933</v>
      </c>
      <c r="S37" s="59">
        <f ca="1">AVERAGE(OFFSET($R$3,0,0,'Données projet'!$E$9+1,1))-AVERAGE(OFFSET($H$3,0,0,'Données projet'!$E$9+1,1))</f>
        <v>460.88622650237176</v>
      </c>
      <c r="T37" s="59">
        <f t="shared" si="34"/>
        <v>396.05161661639647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19.982860987467369</v>
      </c>
      <c r="AA37" s="21">
        <f>EXP(-LN(2)/25)*AA36+(1-EXP(-LN(2)/25))/(LN(2)/25)*Calculateur!V37*Calculateur!X37*VLOOKUP('Données projet'!$B$9,Paramètres!$A$1:$I$89,3,0)*0.475*44/12</f>
        <v>14.313711395546873</v>
      </c>
      <c r="AB37" s="21">
        <f>EXP(-LN(2)/2)*AB36+(1-EXP(-LN(2)/2))/(LN(2)/2)*V37*Y37*VLOOKUP('Données projet'!$B$9,Paramètres!$A$1:$I$89,3,0)*0.475*44/12</f>
        <v>2.795009167945004</v>
      </c>
      <c r="AC37" s="22">
        <f t="shared" si="3"/>
        <v>37.091581550959248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9.9228571428571435</v>
      </c>
      <c r="AI37" s="13">
        <f>IF('Données projet'!$A$62&gt;35,AI36+AH37-AQ36,IF(A37&lt;'Données projet'!$A$62,$AF$205^A37,IF(A37='Données projet'!$A$62,'Données projet'!$B$62,AI36+AH37-AQ36)))</f>
        <v>337.37714285714281</v>
      </c>
      <c r="AJ37" s="13">
        <f>AI37*VLOOKUP('Données projet'!$B$10,Paramètres!$A$1:$I$89,3,0)*VLOOKUP('Données projet'!$B$10,Paramètres!$A$1:$I$89,5,0)</f>
        <v>157.89250285714283</v>
      </c>
      <c r="AK37" s="13">
        <f t="shared" si="35"/>
        <v>40.366797338912775</v>
      </c>
      <c r="AL37" s="20">
        <f t="shared" si="4"/>
        <v>345.30161450813017</v>
      </c>
      <c r="AM37" s="59">
        <f t="shared" si="5"/>
        <v>588.07504597024581</v>
      </c>
      <c r="AN37" s="59">
        <f ca="1">AVERAGE(OFFSET($AM$3,0,0,'Données projet'!$E$10+1,1))-AVERAGE(OFFSET($H$3,0,0,'Données projet'!$E$10+1,1))</f>
        <v>387.50901594883317</v>
      </c>
      <c r="AO37" s="59">
        <f t="shared" si="36"/>
        <v>361.3623790401972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3.887142857142857</v>
      </c>
      <c r="BD37" s="12">
        <f>IF('Données projet'!$A$88&gt;35,BD36+BC37-BL36,IF(A37&lt;'Données projet'!$A$88,$BA$205^A37,IF(A37='Données projet'!$A$88,'Données projet'!$B$88,BD36+BC37-BL36)))</f>
        <v>132.16285714285721</v>
      </c>
      <c r="BE37" s="13">
        <f>BD37*VLOOKUP('Données projet'!$B$11,Paramètres!$A$1:$I$89,3,0)*VLOOKUP('Données projet'!$B$11,Paramètres!$A$1:$I$89,5,0)</f>
        <v>119.58095314285718</v>
      </c>
      <c r="BF37" s="13">
        <f t="shared" si="37"/>
        <v>31.577243606763055</v>
      </c>
      <c r="BG37" s="20">
        <f t="shared" si="7"/>
        <v>263.26719267225525</v>
      </c>
      <c r="BH37" s="59">
        <f t="shared" si="8"/>
        <v>506.04062413437083</v>
      </c>
      <c r="BI37" s="59">
        <f ca="1">AVERAGE(OFFSET($BH$3,0,0,'Données projet'!$E$11+1,1))-AVERAGE(OFFSET($H$3,0,0,'Données projet'!$E$11+1,1))</f>
        <v>627.65081154031589</v>
      </c>
      <c r="BJ37" s="59">
        <f t="shared" si="38"/>
        <v>288.78083487077618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3.887142857142857</v>
      </c>
      <c r="BY37" s="12">
        <f>IF('Données projet'!$A$114&gt;35,BY36+BX37-CG36,IF(A37&lt;'Données projet'!$A$114,$BV$205^A37,IF(A37='Données projet'!$A$114,'Données projet'!$B$114,BY36+BX37-CG36)))</f>
        <v>132.16285714285721</v>
      </c>
      <c r="BZ37" s="13">
        <f>BY37*VLOOKUP('Données projet'!$B$12,Paramètres!$A$1:$I$89,3,0)*VLOOKUP('Données projet'!$B$12,Paramètres!$A$1:$I$89,5,0)</f>
        <v>134.0131371428572</v>
      </c>
      <c r="CA37" s="13">
        <f t="shared" si="39"/>
        <v>34.92203026351433</v>
      </c>
      <c r="CB37" s="20">
        <f t="shared" si="10"/>
        <v>294.2287498994304</v>
      </c>
      <c r="CC37" s="59">
        <f t="shared" si="11"/>
        <v>537.00218136154604</v>
      </c>
      <c r="CD37" s="59">
        <f ca="1">AVERAGE(OFFSET($CC$3,0,0,'Données projet'!$E$12+1,1))-AVERAGE(OFFSET($H$3,0,0,'Données projet'!$E$12+1,1))</f>
        <v>692.2706942067415</v>
      </c>
      <c r="CE37" s="59">
        <f t="shared" si="40"/>
        <v>316.17529091924803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2.6285714285714286</v>
      </c>
      <c r="CT37" s="12">
        <f>IF('Données projet'!$A$140&gt;35,CT36+CS37-DB36,IF(A37&lt;'Données projet'!$A$140,$CQ$205^A37,IF(A37='Données projet'!$A$140,'Données projet'!$B$140,CT36+CS37-DB36)))</f>
        <v>80.849921711500798</v>
      </c>
      <c r="CU37" s="17">
        <f>CT37*VLOOKUP('Données projet'!$B$13,Paramètres!$A$1:$I$89,3,0)*VLOOKUP('Données projet'!$B$13,Paramètres!$A$1:$I$89,5,0)</f>
        <v>76.936785500664158</v>
      </c>
      <c r="CV37" s="13">
        <f t="shared" si="41"/>
        <v>21.386518907229025</v>
      </c>
      <c r="CW37" s="20">
        <f t="shared" si="13"/>
        <v>171.24642184374727</v>
      </c>
      <c r="CX37" s="59">
        <f t="shared" si="14"/>
        <v>414.01985330586285</v>
      </c>
      <c r="CY37" s="59">
        <f ca="1">AVERAGE(OFFSET($CX$3,0,0,'Données projet'!$E$13+1,1))-AVERAGE(OFFSET($H$3,0,0,'Données projet'!$E$13+1,1))</f>
        <v>424.5933338095914</v>
      </c>
      <c r="CZ37" s="59">
        <f t="shared" si="42"/>
        <v>159.28977188196134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>
        <f>DO37*VLOOKUP('Données projet'!$B$14,Paramètres!$A$1:$I$89,3,0)*VLOOKUP('Données projet'!$B$14,Paramètres!$A$1:$I$89,5,0)</f>
        <v>0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-18.333333333333343</v>
      </c>
      <c r="DU37" s="59">
        <f t="shared" si="44"/>
        <v>-18.333333333333343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>
        <f>EJ37*VLOOKUP('Données projet'!$B$15,Paramètres!$A$1:$I$89,3,0)*VLOOKUP('Données projet'!$B$15,Paramètres!$A$1:$I$89,5,0)</f>
        <v>0</v>
      </c>
      <c r="EL37" s="13" t="e">
        <f t="shared" si="45"/>
        <v>#NUM!</v>
      </c>
      <c r="EM37" s="20" t="e">
        <f t="shared" si="19"/>
        <v>#NUM!</v>
      </c>
      <c r="EN37" s="59" t="e">
        <f t="shared" si="20"/>
        <v>#NUM!</v>
      </c>
      <c r="EO37" s="59">
        <f ca="1">AVERAGE(OFFSET($EN$3,0,0,'Données projet'!$E$15+1,1))-AVERAGE(OFFSET($H$3,0,0,'Données projet'!$E$15+1,1))</f>
        <v>-18.333333333333343</v>
      </c>
      <c r="EP37" s="59">
        <f t="shared" si="46"/>
        <v>-18.333333333333343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3.887142857142857</v>
      </c>
      <c r="FE37" s="12">
        <f>IF('Données projet'!$A$218&gt;35,FE36+FD37-FM36,IF(A37&lt;'Données projet'!$A$218,$FB$205^A37,IF(A37='Données projet'!$A$218,'Données projet'!$B$218,FE36+FD37-FM36)))</f>
        <v>132.16285714285721</v>
      </c>
      <c r="FF37" s="17">
        <f>FE37*VLOOKUP('Données projet'!$B$16,Paramètres!$A$1:$I$89,3,0)*VLOOKUP('Données projet'!$B$16,Paramètres!$A$1:$I$89,5,0)</f>
        <v>127.8279154285715</v>
      </c>
      <c r="FG37" s="13">
        <f t="shared" si="47"/>
        <v>33.493963234877462</v>
      </c>
      <c r="FH37" s="20">
        <f t="shared" si="22"/>
        <v>280.96893867217358</v>
      </c>
      <c r="FI37" s="59">
        <f t="shared" si="23"/>
        <v>523.7423701342891</v>
      </c>
      <c r="FJ37" s="59">
        <f ca="1">AVERAGE(OFFSET($FI$3,0,0,'Données projet'!$E$16+1,1))-AVERAGE(OFFSET($H$3,0,0,'Données projet'!$E$16+1,1))</f>
        <v>664.59451650228573</v>
      </c>
      <c r="FK37" s="59">
        <f t="shared" si="48"/>
        <v>304.44325029106631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20.572857142857142</v>
      </c>
      <c r="N38" s="13">
        <f>IF('Données projet'!$A$36&gt;35,N37+M38-V37,IF(A38&lt;'Données projet'!$A$36,$K$205^A38,IF(A38='Données projet'!$A$36,'Données projet'!$B$36,N37+M38-V37)))</f>
        <v>295.97428571428566</v>
      </c>
      <c r="O38" s="13">
        <f>N38*VLOOKUP('Données projet'!$B$9,Paramètres!$A$1:$I$89,3,0)*VLOOKUP('Données projet'!$B$9,Paramètres!$A$1:$I$89,5,0)</f>
        <v>176.99262285714283</v>
      </c>
      <c r="P38" s="13">
        <f t="shared" si="33"/>
        <v>44.652445469250452</v>
      </c>
      <c r="Q38" s="20">
        <f t="shared" si="53"/>
        <v>386.03182733513495</v>
      </c>
      <c r="R38" s="59">
        <f t="shared" si="0"/>
        <v>629.68236005970948</v>
      </c>
      <c r="S38" s="59">
        <f ca="1">AVERAGE(OFFSET($R$3,0,0,'Données projet'!$E$9+1,1))-AVERAGE(OFFSET($H$3,0,0,'Données projet'!$E$9+1,1))</f>
        <v>460.88622650237176</v>
      </c>
      <c r="T38" s="59">
        <f t="shared" si="34"/>
        <v>396.05161661639647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19.591009271844836</v>
      </c>
      <c r="AA38" s="21">
        <f>EXP(-LN(2)/25)*AA37+(1-EXP(-LN(2)/25))/(LN(2)/25)*Calculateur!V38*Calculateur!X38*VLOOKUP('Données projet'!$B$9,Paramètres!$A$1:$I$89,3,0)*0.475*44/12</f>
        <v>13.922302204710276</v>
      </c>
      <c r="AB38" s="21">
        <f>EXP(-LN(2)/2)*AB37+(1-EXP(-LN(2)/2))/(LN(2)/2)*V38*Y38*VLOOKUP('Données projet'!$B$9,Paramètres!$A$1:$I$89,3,0)*0.475*44/12</f>
        <v>1.9763699361324822</v>
      </c>
      <c r="AC38" s="22">
        <f t="shared" si="3"/>
        <v>35.489681412687595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9.9228571428571435</v>
      </c>
      <c r="AI38" s="13">
        <f>IF('Données projet'!$A$62&gt;35,AI37+AH38-AQ37,IF(A38&lt;'Données projet'!$A$62,$AF$205^A38,IF(A38='Données projet'!$A$62,'Données projet'!$B$62,AI37+AH38-AQ37)))</f>
        <v>347.29999999999995</v>
      </c>
      <c r="AJ38" s="13">
        <f>AI38*VLOOKUP('Données projet'!$B$10,Paramètres!$A$1:$I$89,3,0)*VLOOKUP('Données projet'!$B$10,Paramètres!$A$1:$I$89,5,0)</f>
        <v>162.53639999999999</v>
      </c>
      <c r="AK38" s="13">
        <f t="shared" si="35"/>
        <v>41.414082773478739</v>
      </c>
      <c r="AL38" s="20">
        <f t="shared" si="4"/>
        <v>355.21375749714207</v>
      </c>
      <c r="AM38" s="59">
        <f t="shared" si="5"/>
        <v>598.8642902217166</v>
      </c>
      <c r="AN38" s="59">
        <f ca="1">AVERAGE(OFFSET($AM$3,0,0,'Données projet'!$E$10+1,1))-AVERAGE(OFFSET($H$3,0,0,'Données projet'!$E$10+1,1))</f>
        <v>387.50901594883317</v>
      </c>
      <c r="AO38" s="59">
        <f t="shared" si="36"/>
        <v>361.3623790401972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3.887142857142857</v>
      </c>
      <c r="BD38" s="12">
        <f>IF('Données projet'!$A$88&gt;35,BD37+BC38-BL37,IF(A38&lt;'Données projet'!$A$88,$BA$205^A38,IF(A38='Données projet'!$A$88,'Données projet'!$B$88,BD37+BC38-BL37)))</f>
        <v>136.05000000000007</v>
      </c>
      <c r="BE38" s="13">
        <f>BD38*VLOOKUP('Données projet'!$B$11,Paramètres!$A$1:$I$89,3,0)*VLOOKUP('Données projet'!$B$11,Paramètres!$A$1:$I$89,5,0)</f>
        <v>123.09804000000005</v>
      </c>
      <c r="BF38" s="13">
        <f t="shared" si="37"/>
        <v>32.396490846405321</v>
      </c>
      <c r="BG38" s="20">
        <f t="shared" si="7"/>
        <v>270.81964122415599</v>
      </c>
      <c r="BH38" s="59">
        <f t="shared" si="8"/>
        <v>514.47017394873046</v>
      </c>
      <c r="BI38" s="59">
        <f ca="1">AVERAGE(OFFSET($BH$3,0,0,'Données projet'!$E$11+1,1))-AVERAGE(OFFSET($H$3,0,0,'Données projet'!$E$11+1,1))</f>
        <v>627.65081154031589</v>
      </c>
      <c r="BJ38" s="59">
        <f t="shared" si="38"/>
        <v>288.78083487077618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3.887142857142857</v>
      </c>
      <c r="BY38" s="12">
        <f>IF('Données projet'!$A$114&gt;35,BY37+BX38-CG37,IF(A38&lt;'Données projet'!$A$114,$BV$205^A38,IF(A38='Données projet'!$A$114,'Données projet'!$B$114,BY37+BX38-CG37)))</f>
        <v>136.05000000000007</v>
      </c>
      <c r="BZ38" s="13">
        <f>BY38*VLOOKUP('Données projet'!$B$12,Paramètres!$A$1:$I$89,3,0)*VLOOKUP('Données projet'!$B$12,Paramètres!$A$1:$I$89,5,0)</f>
        <v>137.95470000000009</v>
      </c>
      <c r="CA38" s="13">
        <f t="shared" si="39"/>
        <v>35.828055414169384</v>
      </c>
      <c r="CB38" s="20">
        <f t="shared" si="10"/>
        <v>302.67163234634512</v>
      </c>
      <c r="CC38" s="59">
        <f t="shared" si="11"/>
        <v>546.3221650709196</v>
      </c>
      <c r="CD38" s="59">
        <f ca="1">AVERAGE(OFFSET($CC$3,0,0,'Données projet'!$E$12+1,1))-AVERAGE(OFFSET($H$3,0,0,'Données projet'!$E$12+1,1))</f>
        <v>692.2706942067415</v>
      </c>
      <c r="CE38" s="59">
        <f t="shared" si="40"/>
        <v>316.17529091924803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92</v>
      </c>
      <c r="CR38" s="12">
        <f>VLOOKUP(A38,'Données projet'!$A$139:$I$159,9,0)</f>
        <v>2.6285714285714286</v>
      </c>
      <c r="CS38" s="12">
        <f t="array" ref="CS38">INDEX(CR:CR,MIN(IF(ISNUMBER(CR38:CR234),ROW(CR38:CR234),"")))</f>
        <v>2.6285714285714286</v>
      </c>
      <c r="CT38" s="12">
        <f>IF('Données projet'!$A$140&gt;35,CT37+CS38-DB37,IF(A38&lt;'Données projet'!$A$140,$CQ$205^A38,IF(A38='Données projet'!$A$140,'Données projet'!$B$140,CT37+CS38-DB37)))</f>
        <v>92</v>
      </c>
      <c r="CU38" s="17">
        <f>CT38*VLOOKUP('Données projet'!$B$13,Paramètres!$A$1:$I$89,3,0)*VLOOKUP('Données projet'!$B$13,Paramètres!$A$1:$I$89,5,0)</f>
        <v>87.547200000000004</v>
      </c>
      <c r="CV38" s="13">
        <f t="shared" si="41"/>
        <v>23.972720748088616</v>
      </c>
      <c r="CW38" s="20">
        <f t="shared" si="13"/>
        <v>194.23052863625435</v>
      </c>
      <c r="CX38" s="59">
        <f t="shared" si="14"/>
        <v>437.88106136082888</v>
      </c>
      <c r="CY38" s="59">
        <f ca="1">AVERAGE(OFFSET($CX$3,0,0,'Données projet'!$E$13+1,1))-AVERAGE(OFFSET($H$3,0,0,'Données projet'!$E$13+1,1))</f>
        <v>424.5933338095914</v>
      </c>
      <c r="CZ38" s="59">
        <f t="shared" si="42"/>
        <v>159.28977188196134</v>
      </c>
      <c r="DA38" s="15">
        <f>IF(ISNA(VLOOKUP(A38,'Données projet'!$A$139:$I$159,3,0)),0,VLOOKUP(A38,'Données projet'!$A$139:$I$159,3,0))</f>
        <v>1</v>
      </c>
      <c r="DB38" s="15">
        <f>IF(ISNA(VLOOKUP(A38,'Données projet'!$A$139:$I$159,4,0)),0,VLOOKUP(A38,'Données projet'!$A$139:$I$159,4,0))</f>
        <v>12</v>
      </c>
      <c r="DC38" s="16">
        <f>IF(ISNA(VLOOKUP(A38,'Données projet'!$A$139:$I$159,5,0)),0%,VLOOKUP(A38,'Données projet'!$A$139:$I$159,5,0)*VLOOKUP('Données projet'!$B$13,Paramètres!$A$1:$I$89,7,0))</f>
        <v>8.6000000000000007E-2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1.0856285127847893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1.0856285127847893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>
        <f>DO38*VLOOKUP('Données projet'!$B$14,Paramètres!$A$1:$I$89,3,0)*VLOOKUP('Données projet'!$B$14,Paramètres!$A$1:$I$89,5,0)</f>
        <v>0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-18.333333333333343</v>
      </c>
      <c r="DU38" s="59">
        <f t="shared" si="44"/>
        <v>-18.333333333333343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>
        <f>EJ38*VLOOKUP('Données projet'!$B$15,Paramètres!$A$1:$I$89,3,0)*VLOOKUP('Données projet'!$B$15,Paramètres!$A$1:$I$89,5,0)</f>
        <v>0</v>
      </c>
      <c r="EL38" s="13" t="e">
        <f t="shared" si="45"/>
        <v>#NUM!</v>
      </c>
      <c r="EM38" s="20" t="e">
        <f t="shared" si="19"/>
        <v>#NUM!</v>
      </c>
      <c r="EN38" s="59" t="e">
        <f t="shared" si="20"/>
        <v>#NUM!</v>
      </c>
      <c r="EO38" s="59">
        <f ca="1">AVERAGE(OFFSET($EN$3,0,0,'Données projet'!$E$15+1,1))-AVERAGE(OFFSET($H$3,0,0,'Données projet'!$E$15+1,1))</f>
        <v>-18.333333333333343</v>
      </c>
      <c r="EP38" s="59">
        <f t="shared" si="46"/>
        <v>-18.333333333333343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3.887142857142857</v>
      </c>
      <c r="FE38" s="12">
        <f>IF('Données projet'!$A$218&gt;35,FE37+FD38-FM37,IF(A38&lt;'Données projet'!$A$218,$FB$205^A38,IF(A38='Données projet'!$A$218,'Données projet'!$B$218,FE37+FD38-FM37)))</f>
        <v>136.05000000000007</v>
      </c>
      <c r="FF38" s="17">
        <f>FE38*VLOOKUP('Données projet'!$B$16,Paramètres!$A$1:$I$89,3,0)*VLOOKUP('Données projet'!$B$16,Paramètres!$A$1:$I$89,5,0)</f>
        <v>131.58756000000008</v>
      </c>
      <c r="FG38" s="13">
        <f t="shared" si="47"/>
        <v>34.362938287499752</v>
      </c>
      <c r="FH38" s="20">
        <f t="shared" si="22"/>
        <v>289.0304511840622</v>
      </c>
      <c r="FI38" s="59">
        <f t="shared" si="23"/>
        <v>532.68098390863668</v>
      </c>
      <c r="FJ38" s="59">
        <f ca="1">AVERAGE(OFFSET($FI$3,0,0,'Données projet'!$E$16+1,1))-AVERAGE(OFFSET($H$3,0,0,'Données projet'!$E$16+1,1))</f>
        <v>664.59451650228573</v>
      </c>
      <c r="FK38" s="59">
        <f t="shared" si="48"/>
        <v>304.44325029106631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20.572857142857142</v>
      </c>
      <c r="N39" s="13">
        <f>IF('Données projet'!$A$36&gt;35,N38+M39-V38,IF(A39&lt;'Données projet'!$A$36,$K$205^A39,IF(A39='Données projet'!$A$36,'Données projet'!$B$36,N38+M39-V38)))</f>
        <v>316.54714285714277</v>
      </c>
      <c r="O39" s="13">
        <f>N39*VLOOKUP('Données projet'!$B$9,Paramètres!$A$1:$I$89,3,0)*VLOOKUP('Données projet'!$B$9,Paramètres!$A$1:$I$89,5,0)</f>
        <v>189.29519142857137</v>
      </c>
      <c r="P39" s="13">
        <f t="shared" si="33"/>
        <v>47.384095995290963</v>
      </c>
      <c r="Q39" s="20">
        <f t="shared" si="53"/>
        <v>412.21642559656016</v>
      </c>
      <c r="R39" s="59">
        <f t="shared" si="0"/>
        <v>656.72884383759458</v>
      </c>
      <c r="S39" s="59">
        <f ca="1">AVERAGE(OFFSET($R$3,0,0,'Données projet'!$E$9+1,1))-AVERAGE(OFFSET($H$3,0,0,'Données projet'!$E$9+1,1))</f>
        <v>460.88622650237176</v>
      </c>
      <c r="T39" s="59">
        <f t="shared" si="34"/>
        <v>396.05161661639647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19.206841529359714</v>
      </c>
      <c r="AA39" s="21">
        <f>EXP(-LN(2)/25)*AA38+(1-EXP(-LN(2)/25))/(LN(2)/25)*Calculateur!V39*Calculateur!X39*VLOOKUP('Données projet'!$B$9,Paramètres!$A$1:$I$89,3,0)*0.475*44/12</f>
        <v>13.54159611878042</v>
      </c>
      <c r="AB39" s="21">
        <f>EXP(-LN(2)/2)*AB38+(1-EXP(-LN(2)/2))/(LN(2)/2)*V39*Y39*VLOOKUP('Données projet'!$B$9,Paramètres!$A$1:$I$89,3,0)*0.475*44/12</f>
        <v>1.3975045839725022</v>
      </c>
      <c r="AC39" s="22">
        <f t="shared" si="3"/>
        <v>34.145942232112638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9.9228571428571435</v>
      </c>
      <c r="AI39" s="13">
        <f>IF('Données projet'!$A$62&gt;35,AI38+AH39-AQ38,IF(A39&lt;'Données projet'!$A$62,$AF$205^A39,IF(A39='Données projet'!$A$62,'Données projet'!$B$62,AI38+AH39-AQ38)))</f>
        <v>357.22285714285709</v>
      </c>
      <c r="AJ39" s="13">
        <f>AI39*VLOOKUP('Données projet'!$B$10,Paramètres!$A$1:$I$89,3,0)*VLOOKUP('Données projet'!$B$10,Paramètres!$A$1:$I$89,5,0)</f>
        <v>167.18029714285711</v>
      </c>
      <c r="AK39" s="13">
        <f t="shared" si="35"/>
        <v>42.457890521224527</v>
      </c>
      <c r="AL39" s="20">
        <f t="shared" si="4"/>
        <v>365.1198435149422</v>
      </c>
      <c r="AM39" s="59">
        <f t="shared" si="5"/>
        <v>609.63226175597663</v>
      </c>
      <c r="AN39" s="59">
        <f ca="1">AVERAGE(OFFSET($AM$3,0,0,'Données projet'!$E$10+1,1))-AVERAGE(OFFSET($H$3,0,0,'Données projet'!$E$10+1,1))</f>
        <v>387.50901594883317</v>
      </c>
      <c r="AO39" s="59">
        <f t="shared" si="36"/>
        <v>361.3623790401972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3.887142857142857</v>
      </c>
      <c r="BD39" s="12">
        <f>IF('Données projet'!$A$88&gt;35,BD38+BC39-BL38,IF(A39&lt;'Données projet'!$A$88,$BA$205^A39,IF(A39='Données projet'!$A$88,'Données projet'!$B$88,BD38+BC39-BL38)))</f>
        <v>139.93714285714293</v>
      </c>
      <c r="BE39" s="13">
        <f>BD39*VLOOKUP('Données projet'!$B$11,Paramètres!$A$1:$I$89,3,0)*VLOOKUP('Données projet'!$B$11,Paramètres!$A$1:$I$89,5,0)</f>
        <v>126.61512685714293</v>
      </c>
      <c r="BF39" s="13">
        <f t="shared" si="37"/>
        <v>33.213017638275041</v>
      </c>
      <c r="BG39" s="20">
        <f t="shared" si="7"/>
        <v>278.36735166285297</v>
      </c>
      <c r="BH39" s="59">
        <f t="shared" si="8"/>
        <v>522.87976990388734</v>
      </c>
      <c r="BI39" s="59">
        <f ca="1">AVERAGE(OFFSET($BH$3,0,0,'Données projet'!$E$11+1,1))-AVERAGE(OFFSET($H$3,0,0,'Données projet'!$E$11+1,1))</f>
        <v>627.65081154031589</v>
      </c>
      <c r="BJ39" s="59">
        <f t="shared" si="38"/>
        <v>288.78083487077618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3.887142857142857</v>
      </c>
      <c r="BY39" s="12">
        <f>IF('Données projet'!$A$114&gt;35,BY38+BX39-CG38,IF(A39&lt;'Données projet'!$A$114,$BV$205^A39,IF(A39='Données projet'!$A$114,'Données projet'!$B$114,BY38+BX39-CG38)))</f>
        <v>139.93714285714293</v>
      </c>
      <c r="BZ39" s="13">
        <f>BY39*VLOOKUP('Données projet'!$B$12,Paramètres!$A$1:$I$89,3,0)*VLOOKUP('Données projet'!$B$12,Paramètres!$A$1:$I$89,5,0)</f>
        <v>141.89626285714294</v>
      </c>
      <c r="CA39" s="13">
        <f t="shared" si="39"/>
        <v>36.73107195645354</v>
      </c>
      <c r="CB39" s="20">
        <f t="shared" si="10"/>
        <v>311.10927480034724</v>
      </c>
      <c r="CC39" s="59">
        <f t="shared" si="11"/>
        <v>555.6216930413816</v>
      </c>
      <c r="CD39" s="59">
        <f ca="1">AVERAGE(OFFSET($CC$3,0,0,'Données projet'!$E$12+1,1))-AVERAGE(OFFSET($H$3,0,0,'Données projet'!$E$12+1,1))</f>
        <v>692.2706942067415</v>
      </c>
      <c r="CE39" s="59">
        <f t="shared" si="40"/>
        <v>316.17529091924803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10.8</v>
      </c>
      <c r="CT39" s="12">
        <f>IF('Données projet'!$A$140&gt;35,CT38+CS39-DB38,IF(A39&lt;'Données projet'!$A$140,$CQ$205^A39,IF(A39='Données projet'!$A$140,'Données projet'!$B$140,CT38+CS39-DB38)))</f>
        <v>90.8</v>
      </c>
      <c r="CU39" s="17">
        <f>CT39*VLOOKUP('Données projet'!$B$13,Paramètres!$A$1:$I$89,3,0)*VLOOKUP('Données projet'!$B$13,Paramètres!$A$1:$I$89,5,0)</f>
        <v>86.405280000000005</v>
      </c>
      <c r="CV39" s="13">
        <f t="shared" si="41"/>
        <v>23.696219164089953</v>
      </c>
      <c r="CW39" s="20">
        <f t="shared" si="13"/>
        <v>191.76011104412336</v>
      </c>
      <c r="CX39" s="59">
        <f t="shared" si="14"/>
        <v>436.27252928515782</v>
      </c>
      <c r="CY39" s="59">
        <f ca="1">AVERAGE(OFFSET($CX$3,0,0,'Données projet'!$E$13+1,1))-AVERAGE(OFFSET($H$3,0,0,'Données projet'!$E$13+1,1))</f>
        <v>424.5933338095914</v>
      </c>
      <c r="CZ39" s="59">
        <f t="shared" si="42"/>
        <v>159.28977188196134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1.0643399998170888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1.0643399998170888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>
        <f>DO39*VLOOKUP('Données projet'!$B$14,Paramètres!$A$1:$I$89,3,0)*VLOOKUP('Données projet'!$B$14,Paramètres!$A$1:$I$89,5,0)</f>
        <v>0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-18.333333333333343</v>
      </c>
      <c r="DU39" s="59">
        <f t="shared" si="44"/>
        <v>-18.333333333333343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>
        <f>EJ39*VLOOKUP('Données projet'!$B$15,Paramètres!$A$1:$I$89,3,0)*VLOOKUP('Données projet'!$B$15,Paramètres!$A$1:$I$89,5,0)</f>
        <v>0</v>
      </c>
      <c r="EL39" s="13" t="e">
        <f t="shared" si="45"/>
        <v>#NUM!</v>
      </c>
      <c r="EM39" s="20" t="e">
        <f t="shared" si="19"/>
        <v>#NUM!</v>
      </c>
      <c r="EN39" s="59" t="e">
        <f t="shared" si="20"/>
        <v>#NUM!</v>
      </c>
      <c r="EO39" s="59">
        <f ca="1">AVERAGE(OFFSET($EN$3,0,0,'Données projet'!$E$15+1,1))-AVERAGE(OFFSET($H$3,0,0,'Données projet'!$E$15+1,1))</f>
        <v>-18.333333333333343</v>
      </c>
      <c r="EP39" s="59">
        <f t="shared" si="46"/>
        <v>-18.333333333333343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3.887142857142857</v>
      </c>
      <c r="FE39" s="12">
        <f>IF('Données projet'!$A$218&gt;35,FE38+FD39-FM38,IF(A39&lt;'Données projet'!$A$218,$FB$205^A39,IF(A39='Données projet'!$A$218,'Données projet'!$B$218,FE38+FD39-FM38)))</f>
        <v>139.93714285714293</v>
      </c>
      <c r="FF39" s="17">
        <f>FE39*VLOOKUP('Données projet'!$B$16,Paramètres!$A$1:$I$89,3,0)*VLOOKUP('Données projet'!$B$16,Paramètres!$A$1:$I$89,5,0)</f>
        <v>135.34720457142865</v>
      </c>
      <c r="FG39" s="13">
        <f t="shared" si="47"/>
        <v>35.229027762811612</v>
      </c>
      <c r="FH39" s="20">
        <f t="shared" si="22"/>
        <v>297.08693798213511</v>
      </c>
      <c r="FI39" s="59">
        <f t="shared" si="23"/>
        <v>541.59935622316948</v>
      </c>
      <c r="FJ39" s="59">
        <f ca="1">AVERAGE(OFFSET($FI$3,0,0,'Données projet'!$E$16+1,1))-AVERAGE(OFFSET($H$3,0,0,'Données projet'!$E$16+1,1))</f>
        <v>664.59451650228573</v>
      </c>
      <c r="FK39" s="59">
        <f t="shared" si="48"/>
        <v>304.44325029106631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337.12</v>
      </c>
      <c r="L40" s="12">
        <f>VLOOKUP(A40,'Données projet'!$A$35:$I$55,9,0)</f>
        <v>20.572857142857142</v>
      </c>
      <c r="M40" s="12">
        <f t="array" ref="M40">INDEX(L:L,MIN(IF(ISNUMBER(L40:L236),ROW(L40:L236),"")))</f>
        <v>20.572857142857142</v>
      </c>
      <c r="N40" s="13">
        <f>IF('Données projet'!$A$36&gt;35,N39+M40-V39,IF(A40&lt;'Données projet'!$A$36,$K$205^A40,IF(A40='Données projet'!$A$36,'Données projet'!$B$36,N39+M40-V39)))</f>
        <v>337.11999999999989</v>
      </c>
      <c r="O40" s="13">
        <f>N40*VLOOKUP('Données projet'!$B$9,Paramètres!$A$1:$I$89,3,0)*VLOOKUP('Données projet'!$B$9,Paramètres!$A$1:$I$89,5,0)</f>
        <v>201.59775999999997</v>
      </c>
      <c r="P40" s="13">
        <f t="shared" si="33"/>
        <v>50.095144235750958</v>
      </c>
      <c r="Q40" s="20">
        <f t="shared" si="53"/>
        <v>438.36514154393285</v>
      </c>
      <c r="R40" s="59">
        <f t="shared" si="0"/>
        <v>683.72449351460398</v>
      </c>
      <c r="S40" s="59">
        <f ca="1">AVERAGE(OFFSET($R$3,0,0,'Données projet'!$E$9+1,1))-AVERAGE(OFFSET($H$3,0,0,'Données projet'!$E$9+1,1))</f>
        <v>460.88622650237176</v>
      </c>
      <c r="T40" s="59">
        <f t="shared" si="34"/>
        <v>396.05161661639647</v>
      </c>
      <c r="U40" s="15">
        <f>IF(ISNA(VLOOKUP(A40,'Données projet'!$A$35:$I$55,3,0)),0,VLOOKUP(A40,'Données projet'!$A$35:$I$55,3,0))</f>
        <v>4</v>
      </c>
      <c r="V40" s="15">
        <f>IF(ISNA(VLOOKUP(A40,'Données projet'!$A$35:$I$55,4,0)),0,VLOOKUP(A40,'Données projet'!$A$35:$I$55,4,0))</f>
        <v>54.63</v>
      </c>
      <c r="W40" s="16">
        <f>IF(ISNA(VLOOKUP(A40,'Données projet'!$A$35:$I$55,5,0)),0%,VLOOKUP(A40,'Données projet'!$A$35:$I$55,5,0)*VLOOKUP('Données projet'!$B$9,Paramètres!$A$1:$I$89,7,0))</f>
        <v>0.27</v>
      </c>
      <c r="X40" s="16">
        <f>IF(ISNA(VLOOKUP(A40,'Données projet'!$A$35:$I$55,6,0)),0%,VLOOKUP(A40,'Données projet'!$A$35:$I$55,6,0)*VLOOKUP('Données projet'!$B$9,Paramètres!$A$1:$I$89,7,0))</f>
        <v>9.9000000000000005E-2</v>
      </c>
      <c r="Y40" s="16">
        <f>IF(ISNA(VLOOKUP(A40,'Données projet'!$A$35:$I$55,7,0)),0%,VLOOKUP(A40,'Données projet'!$A$35:$I$55,7,0))</f>
        <v>0.18</v>
      </c>
      <c r="Z40" s="21">
        <f>EXP(-LN(2)/35)*Z39+(1-EXP(-LN(2)/35))/(LN(2)/35)*V40*W40*VLOOKUP('Données projet'!$B$9,Paramètres!$A$1:$I$89,3,0)*0.475*44/12</f>
        <v>30.531248189744446</v>
      </c>
      <c r="AA40" s="21">
        <f>EXP(-LN(2)/25)*AA39+(1-EXP(-LN(2)/25))/(LN(2)/25)*Calculateur!V40*Calculateur!X40*VLOOKUP('Données projet'!$B$9,Paramètres!$A$1:$I$89,3,0)*0.475*44/12</f>
        <v>17.444789332630315</v>
      </c>
      <c r="AB40" s="21">
        <f>EXP(-LN(2)/2)*AB39+(1-EXP(-LN(2)/2))/(LN(2)/2)*V40*Y40*VLOOKUP('Données projet'!$B$9,Paramètres!$A$1:$I$89,3,0)*0.475*44/12</f>
        <v>7.6461334266152985</v>
      </c>
      <c r="AC40" s="22">
        <f t="shared" si="3"/>
        <v>55.62217094899006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9.9228571428571435</v>
      </c>
      <c r="AI40" s="13">
        <f>IF('Données projet'!$A$62&gt;35,AI39+AH40-AQ39,IF(A40&lt;'Données projet'!$A$62,$AF$205^A40,IF(A40='Données projet'!$A$62,'Données projet'!$B$62,AI39+AH40-AQ39)))</f>
        <v>367.14571428571423</v>
      </c>
      <c r="AJ40" s="13">
        <f>AI40*VLOOKUP('Données projet'!$B$10,Paramètres!$A$1:$I$89,3,0)*VLOOKUP('Données projet'!$B$10,Paramètres!$A$1:$I$89,5,0)</f>
        <v>171.82419428571427</v>
      </c>
      <c r="AK40" s="13">
        <f t="shared" si="35"/>
        <v>43.498328282974661</v>
      </c>
      <c r="AL40" s="20">
        <f t="shared" si="4"/>
        <v>375.02006014046651</v>
      </c>
      <c r="AM40" s="59">
        <f t="shared" si="5"/>
        <v>620.37941211113764</v>
      </c>
      <c r="AN40" s="59">
        <f ca="1">AVERAGE(OFFSET($AM$3,0,0,'Données projet'!$E$10+1,1))-AVERAGE(OFFSET($H$3,0,0,'Données projet'!$E$10+1,1))</f>
        <v>387.50901594883317</v>
      </c>
      <c r="AO40" s="59">
        <f t="shared" si="36"/>
        <v>361.3623790401972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3.887142857142857</v>
      </c>
      <c r="BD40" s="12">
        <f>IF('Données projet'!$A$88&gt;35,BD39+BC40-BL39,IF(A40&lt;'Données projet'!$A$88,$BA$205^A40,IF(A40='Données projet'!$A$88,'Données projet'!$B$88,BD39+BC40-BL39)))</f>
        <v>143.82428571428579</v>
      </c>
      <c r="BE40" s="13">
        <f>BD40*VLOOKUP('Données projet'!$B$11,Paramètres!$A$1:$I$89,3,0)*VLOOKUP('Données projet'!$B$11,Paramètres!$A$1:$I$89,5,0)</f>
        <v>130.13221371428577</v>
      </c>
      <c r="BF40" s="13">
        <f t="shared" si="37"/>
        <v>34.026908232186209</v>
      </c>
      <c r="BG40" s="20">
        <f t="shared" si="7"/>
        <v>285.91047072343866</v>
      </c>
      <c r="BH40" s="59">
        <f t="shared" si="8"/>
        <v>531.26982269410973</v>
      </c>
      <c r="BI40" s="59">
        <f ca="1">AVERAGE(OFFSET($BH$3,0,0,'Données projet'!$E$11+1,1))-AVERAGE(OFFSET($H$3,0,0,'Données projet'!$E$11+1,1))</f>
        <v>627.65081154031589</v>
      </c>
      <c r="BJ40" s="59">
        <f t="shared" si="38"/>
        <v>288.78083487077618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3.887142857142857</v>
      </c>
      <c r="BY40" s="12">
        <f>IF('Données projet'!$A$114&gt;35,BY39+BX40-CG39,IF(A40&lt;'Données projet'!$A$114,$BV$205^A40,IF(A40='Données projet'!$A$114,'Données projet'!$B$114,BY39+BX40-CG39)))</f>
        <v>143.82428571428579</v>
      </c>
      <c r="BZ40" s="13">
        <f>BY40*VLOOKUP('Données projet'!$B$12,Paramètres!$A$1:$I$89,3,0)*VLOOKUP('Données projet'!$B$12,Paramètres!$A$1:$I$89,5,0)</f>
        <v>145.8378257142858</v>
      </c>
      <c r="CA40" s="13">
        <f t="shared" si="39"/>
        <v>37.631173064254732</v>
      </c>
      <c r="CB40" s="20">
        <f t="shared" si="10"/>
        <v>319.5418395392914</v>
      </c>
      <c r="CC40" s="59">
        <f t="shared" si="11"/>
        <v>564.90119150996247</v>
      </c>
      <c r="CD40" s="59">
        <f ca="1">AVERAGE(OFFSET($CC$3,0,0,'Données projet'!$E$12+1,1))-AVERAGE(OFFSET($H$3,0,0,'Données projet'!$E$12+1,1))</f>
        <v>692.2706942067415</v>
      </c>
      <c r="CE40" s="59">
        <f t="shared" si="40"/>
        <v>316.17529091924803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10.8</v>
      </c>
      <c r="CT40" s="12">
        <f>IF('Données projet'!$A$140&gt;35,CT39+CS40-DB39,IF(A40&lt;'Données projet'!$A$140,$CQ$205^A40,IF(A40='Données projet'!$A$140,'Données projet'!$B$140,CT39+CS40-DB39)))</f>
        <v>101.6</v>
      </c>
      <c r="CU40" s="17">
        <f>CT40*VLOOKUP('Données projet'!$B$13,Paramètres!$A$1:$I$89,3,0)*VLOOKUP('Données projet'!$B$13,Paramètres!$A$1:$I$89,5,0)</f>
        <v>96.682559999999995</v>
      </c>
      <c r="CV40" s="13">
        <f t="shared" si="41"/>
        <v>26.170118100833797</v>
      </c>
      <c r="CW40" s="20">
        <f t="shared" si="13"/>
        <v>213.96841435895217</v>
      </c>
      <c r="CX40" s="59">
        <f t="shared" si="14"/>
        <v>459.32776632962327</v>
      </c>
      <c r="CY40" s="59">
        <f ca="1">AVERAGE(OFFSET($CX$3,0,0,'Données projet'!$E$13+1,1))-AVERAGE(OFFSET($H$3,0,0,'Données projet'!$E$13+1,1))</f>
        <v>424.5933338095914</v>
      </c>
      <c r="CZ40" s="59">
        <f t="shared" si="42"/>
        <v>159.28977188196134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1.043468941603974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1.043468941603974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>
        <f>DO40*VLOOKUP('Données projet'!$B$14,Paramètres!$A$1:$I$89,3,0)*VLOOKUP('Données projet'!$B$14,Paramètres!$A$1:$I$89,5,0)</f>
        <v>0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-18.333333333333343</v>
      </c>
      <c r="DU40" s="59">
        <f t="shared" si="44"/>
        <v>-18.333333333333343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>
        <f>EJ40*VLOOKUP('Données projet'!$B$15,Paramètres!$A$1:$I$89,3,0)*VLOOKUP('Données projet'!$B$15,Paramètres!$A$1:$I$89,5,0)</f>
        <v>0</v>
      </c>
      <c r="EL40" s="13" t="e">
        <f t="shared" si="45"/>
        <v>#NUM!</v>
      </c>
      <c r="EM40" s="20" t="e">
        <f t="shared" si="19"/>
        <v>#NUM!</v>
      </c>
      <c r="EN40" s="59" t="e">
        <f t="shared" si="20"/>
        <v>#NUM!</v>
      </c>
      <c r="EO40" s="59">
        <f ca="1">AVERAGE(OFFSET($EN$3,0,0,'Données projet'!$E$15+1,1))-AVERAGE(OFFSET($H$3,0,0,'Données projet'!$E$15+1,1))</f>
        <v>-18.333333333333343</v>
      </c>
      <c r="EP40" s="59">
        <f t="shared" si="46"/>
        <v>-18.333333333333343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3.887142857142857</v>
      </c>
      <c r="FE40" s="12">
        <f>IF('Données projet'!$A$218&gt;35,FE39+FD40-FM39,IF(A40&lt;'Données projet'!$A$218,$FB$205^A40,IF(A40='Données projet'!$A$218,'Données projet'!$B$218,FE39+FD40-FM39)))</f>
        <v>143.82428571428579</v>
      </c>
      <c r="FF40" s="17">
        <f>FE40*VLOOKUP('Données projet'!$B$16,Paramètres!$A$1:$I$89,3,0)*VLOOKUP('Données projet'!$B$16,Paramètres!$A$1:$I$89,5,0)</f>
        <v>139.10684914285721</v>
      </c>
      <c r="FG40" s="13">
        <f t="shared" si="47"/>
        <v>36.092321024539963</v>
      </c>
      <c r="FH40" s="20">
        <f t="shared" si="22"/>
        <v>305.13855470821676</v>
      </c>
      <c r="FI40" s="59">
        <f t="shared" si="23"/>
        <v>550.49790667888783</v>
      </c>
      <c r="FJ40" s="59">
        <f ca="1">AVERAGE(OFFSET($FI$3,0,0,'Données projet'!$E$16+1,1))-AVERAGE(OFFSET($H$3,0,0,'Données projet'!$E$16+1,1))</f>
        <v>664.59451650228573</v>
      </c>
      <c r="FK40" s="59">
        <f t="shared" si="48"/>
        <v>304.44325029106631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20.418888888888887</v>
      </c>
      <c r="N41" s="13">
        <f>IF('Données projet'!$A$36&gt;35,N40+M41-V40,IF(A41&lt;'Données projet'!$A$36,$K$205^A41,IF(A41='Données projet'!$A$36,'Données projet'!$B$36,N40+M41-V40)))</f>
        <v>302.90888888888878</v>
      </c>
      <c r="O41" s="13">
        <f>N41*VLOOKUP('Données projet'!$B$9,Paramètres!$A$1:$I$89,3,0)*VLOOKUP('Données projet'!$B$9,Paramètres!$A$1:$I$89,5,0)</f>
        <v>181.1395155555555</v>
      </c>
      <c r="P41" s="13">
        <f t="shared" si="33"/>
        <v>45.575614194457899</v>
      </c>
      <c r="Q41" s="20">
        <f t="shared" si="53"/>
        <v>394.86218431460662</v>
      </c>
      <c r="R41" s="59">
        <f t="shared" si="0"/>
        <v>641.05377760816532</v>
      </c>
      <c r="S41" s="59">
        <f ca="1">AVERAGE(OFFSET($R$3,0,0,'Données projet'!$E$9+1,1))-AVERAGE(OFFSET($H$3,0,0,'Données projet'!$E$9+1,1))</f>
        <v>460.88622650237176</v>
      </c>
      <c r="T41" s="59">
        <f t="shared" si="34"/>
        <v>396.05161661639647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29.932549034966161</v>
      </c>
      <c r="AA41" s="21">
        <f>EXP(-LN(2)/25)*AA40+(1-EXP(-LN(2)/25))/(LN(2)/25)*Calculateur!V41*Calculateur!X41*VLOOKUP('Données projet'!$B$9,Paramètres!$A$1:$I$89,3,0)*0.475*44/12</f>
        <v>16.967760650947938</v>
      </c>
      <c r="AB41" s="21">
        <f>EXP(-LN(2)/2)*AB40+(1-EXP(-LN(2)/2))/(LN(2)/2)*V41*Y41*VLOOKUP('Données projet'!$B$9,Paramètres!$A$1:$I$89,3,0)*0.475*44/12</f>
        <v>5.4066327958168108</v>
      </c>
      <c r="AC41" s="22">
        <f t="shared" si="3"/>
        <v>52.306942481730907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9.9228571428571435</v>
      </c>
      <c r="AI41" s="13">
        <f>IF('Données projet'!$A$62&gt;35,AI40+AH41-AQ40,IF(A41&lt;'Données projet'!$A$62,$AF$205^A41,IF(A41='Données projet'!$A$62,'Données projet'!$B$62,AI40+AH41-AQ40)))</f>
        <v>377.06857142857137</v>
      </c>
      <c r="AJ41" s="13">
        <f>AI41*VLOOKUP('Données projet'!$B$10,Paramètres!$A$1:$I$89,3,0)*VLOOKUP('Données projet'!$B$10,Paramètres!$A$1:$I$89,5,0)</f>
        <v>176.4680914285714</v>
      </c>
      <c r="AK41" s="13">
        <f t="shared" si="35"/>
        <v>44.535497606483588</v>
      </c>
      <c r="AL41" s="20">
        <f t="shared" si="4"/>
        <v>384.91458423605405</v>
      </c>
      <c r="AM41" s="59">
        <f t="shared" si="5"/>
        <v>631.10617752961275</v>
      </c>
      <c r="AN41" s="59">
        <f ca="1">AVERAGE(OFFSET($AM$3,0,0,'Données projet'!$E$10+1,1))-AVERAGE(OFFSET($H$3,0,0,'Données projet'!$E$10+1,1))</f>
        <v>387.50901594883317</v>
      </c>
      <c r="AO41" s="59">
        <f t="shared" si="36"/>
        <v>361.3623790401972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3.887142857142857</v>
      </c>
      <c r="BD41" s="12">
        <f>IF('Données projet'!$A$88&gt;35,BD40+BC41-BL40,IF(A41&lt;'Données projet'!$A$88,$BA$205^A41,IF(A41='Données projet'!$A$88,'Données projet'!$B$88,BD40+BC41-BL40)))</f>
        <v>147.71142857142866</v>
      </c>
      <c r="BE41" s="13">
        <f>BD41*VLOOKUP('Données projet'!$B$11,Paramètres!$A$1:$I$89,3,0)*VLOOKUP('Données projet'!$B$11,Paramètres!$A$1:$I$89,5,0)</f>
        <v>133.64930057142865</v>
      </c>
      <c r="BF41" s="13">
        <f t="shared" si="37"/>
        <v>34.8382420646657</v>
      </c>
      <c r="BG41" s="20">
        <f t="shared" si="7"/>
        <v>293.44913675786432</v>
      </c>
      <c r="BH41" s="59">
        <f t="shared" si="8"/>
        <v>539.64073005142302</v>
      </c>
      <c r="BI41" s="59">
        <f ca="1">AVERAGE(OFFSET($BH$3,0,0,'Données projet'!$E$11+1,1))-AVERAGE(OFFSET($H$3,0,0,'Données projet'!$E$11+1,1))</f>
        <v>627.65081154031589</v>
      </c>
      <c r="BJ41" s="59">
        <f t="shared" si="38"/>
        <v>288.78083487077618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3.887142857142857</v>
      </c>
      <c r="BY41" s="12">
        <f>IF('Données projet'!$A$114&gt;35,BY40+BX41-CG40,IF(A41&lt;'Données projet'!$A$114,$BV$205^A41,IF(A41='Données projet'!$A$114,'Données projet'!$B$114,BY40+BX41-CG40)))</f>
        <v>147.71142857142866</v>
      </c>
      <c r="BZ41" s="13">
        <f>BY41*VLOOKUP('Données projet'!$B$12,Paramètres!$A$1:$I$89,3,0)*VLOOKUP('Données projet'!$B$12,Paramètres!$A$1:$I$89,5,0)</f>
        <v>149.77938857142865</v>
      </c>
      <c r="CA41" s="13">
        <f t="shared" si="39"/>
        <v>38.528446588331214</v>
      </c>
      <c r="CB41" s="20">
        <f t="shared" si="10"/>
        <v>327.96947956991511</v>
      </c>
      <c r="CC41" s="59">
        <f t="shared" si="11"/>
        <v>574.16107286347381</v>
      </c>
      <c r="CD41" s="59">
        <f ca="1">AVERAGE(OFFSET($CC$3,0,0,'Données projet'!$E$12+1,1))-AVERAGE(OFFSET($H$3,0,0,'Données projet'!$E$12+1,1))</f>
        <v>692.2706942067415</v>
      </c>
      <c r="CE41" s="59">
        <f t="shared" si="40"/>
        <v>316.17529091924803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10.8</v>
      </c>
      <c r="CT41" s="12">
        <f>IF('Données projet'!$A$140&gt;35,CT40+CS41-DB40,IF(A41&lt;'Données projet'!$A$140,$CQ$205^A41,IF(A41='Données projet'!$A$140,'Données projet'!$B$140,CT40+CS41-DB40)))</f>
        <v>112.39999999999999</v>
      </c>
      <c r="CU41" s="17">
        <f>CT41*VLOOKUP('Données projet'!$B$13,Paramètres!$A$1:$I$89,3,0)*VLOOKUP('Données projet'!$B$13,Paramètres!$A$1:$I$89,5,0)</f>
        <v>106.95983999999999</v>
      </c>
      <c r="CV41" s="13">
        <f t="shared" si="41"/>
        <v>28.613534977813039</v>
      </c>
      <c r="CW41" s="20">
        <f t="shared" si="13"/>
        <v>236.12362808635768</v>
      </c>
      <c r="CX41" s="59">
        <f t="shared" si="14"/>
        <v>482.31522137991641</v>
      </c>
      <c r="CY41" s="59">
        <f ca="1">AVERAGE(OFFSET($CX$3,0,0,'Données projet'!$E$13+1,1))-AVERAGE(OFFSET($H$3,0,0,'Données projet'!$E$13+1,1))</f>
        <v>424.5933338095914</v>
      </c>
      <c r="CZ41" s="59">
        <f t="shared" si="42"/>
        <v>159.28977188196134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1.0230071521123298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1.0230071521123298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>
        <f>DO41*VLOOKUP('Données projet'!$B$14,Paramètres!$A$1:$I$89,3,0)*VLOOKUP('Données projet'!$B$14,Paramètres!$A$1:$I$89,5,0)</f>
        <v>0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-18.333333333333343</v>
      </c>
      <c r="DU41" s="59">
        <f t="shared" si="44"/>
        <v>-18.333333333333343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>
        <f>EJ41*VLOOKUP('Données projet'!$B$15,Paramètres!$A$1:$I$89,3,0)*VLOOKUP('Données projet'!$B$15,Paramètres!$A$1:$I$89,5,0)</f>
        <v>0</v>
      </c>
      <c r="EL41" s="13" t="e">
        <f t="shared" si="45"/>
        <v>#NUM!</v>
      </c>
      <c r="EM41" s="20" t="e">
        <f t="shared" si="19"/>
        <v>#NUM!</v>
      </c>
      <c r="EN41" s="59" t="e">
        <f t="shared" si="20"/>
        <v>#NUM!</v>
      </c>
      <c r="EO41" s="59">
        <f ca="1">AVERAGE(OFFSET($EN$3,0,0,'Données projet'!$E$15+1,1))-AVERAGE(OFFSET($H$3,0,0,'Données projet'!$E$15+1,1))</f>
        <v>-18.333333333333343</v>
      </c>
      <c r="EP41" s="59">
        <f t="shared" si="46"/>
        <v>-18.333333333333343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3.887142857142857</v>
      </c>
      <c r="FE41" s="12">
        <f>IF('Données projet'!$A$218&gt;35,FE40+FD41-FM40,IF(A41&lt;'Données projet'!$A$218,$FB$205^A41,IF(A41='Données projet'!$A$218,'Données projet'!$B$218,FE40+FD41-FM40)))</f>
        <v>147.71142857142866</v>
      </c>
      <c r="FF41" s="17">
        <f>FE41*VLOOKUP('Données projet'!$B$16,Paramètres!$A$1:$I$89,3,0)*VLOOKUP('Données projet'!$B$16,Paramètres!$A$1:$I$89,5,0)</f>
        <v>142.86649371428578</v>
      </c>
      <c r="FG41" s="13">
        <f t="shared" si="47"/>
        <v>36.952902330960896</v>
      </c>
      <c r="FH41" s="20">
        <f t="shared" si="22"/>
        <v>313.18544811213798</v>
      </c>
      <c r="FI41" s="59">
        <f t="shared" si="23"/>
        <v>559.37704140569667</v>
      </c>
      <c r="FJ41" s="59">
        <f ca="1">AVERAGE(OFFSET($FI$3,0,0,'Données projet'!$E$16+1,1))-AVERAGE(OFFSET($H$3,0,0,'Données projet'!$E$16+1,1))</f>
        <v>664.59451650228573</v>
      </c>
      <c r="FK41" s="59">
        <f t="shared" si="48"/>
        <v>304.44325029106631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20.418888888888887</v>
      </c>
      <c r="N42" s="13">
        <f>IF('Données projet'!$A$36&gt;35,N41+M42-V41,IF(A42&lt;'Données projet'!$A$36,$K$205^A42,IF(A42='Données projet'!$A$36,'Données projet'!$B$36,N41+M42-V41)))</f>
        <v>323.32777777777767</v>
      </c>
      <c r="O42" s="13">
        <f>N42*VLOOKUP('Données projet'!$B$9,Paramètres!$A$1:$I$89,3,0)*VLOOKUP('Données projet'!$B$9,Paramètres!$A$1:$I$89,5,0)</f>
        <v>193.35001111111109</v>
      </c>
      <c r="P42" s="13">
        <f t="shared" si="33"/>
        <v>48.279837668419283</v>
      </c>
      <c r="Q42" s="20">
        <f t="shared" si="53"/>
        <v>420.83865329101536</v>
      </c>
      <c r="R42" s="59">
        <f t="shared" si="0"/>
        <v>667.84805038112245</v>
      </c>
      <c r="S42" s="59">
        <f ca="1">AVERAGE(OFFSET($R$3,0,0,'Données projet'!$E$9+1,1))-AVERAGE(OFFSET($H$3,0,0,'Données projet'!$E$9+1,1))</f>
        <v>460.88622650237176</v>
      </c>
      <c r="T42" s="59">
        <f t="shared" si="34"/>
        <v>396.05161661639647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29.345590005442652</v>
      </c>
      <c r="AA42" s="21">
        <f>EXP(-LN(2)/25)*AA41+(1-EXP(-LN(2)/25))/(LN(2)/25)*Calculateur!V42*Calculateur!X42*VLOOKUP('Données projet'!$B$9,Paramètres!$A$1:$I$89,3,0)*0.475*44/12</f>
        <v>16.503776343652014</v>
      </c>
      <c r="AB42" s="21">
        <f>EXP(-LN(2)/2)*AB41+(1-EXP(-LN(2)/2))/(LN(2)/2)*V42*Y42*VLOOKUP('Données projet'!$B$9,Paramètres!$A$1:$I$89,3,0)*0.475*44/12</f>
        <v>3.8230667133076497</v>
      </c>
      <c r="AC42" s="22">
        <f t="shared" si="3"/>
        <v>49.672433062402312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9.9228571428571435</v>
      </c>
      <c r="AI42" s="13">
        <f>IF('Données projet'!$A$62&gt;35,AI41+AH42-AQ41,IF(A42&lt;'Données projet'!$A$62,$AF$205^A42,IF(A42='Données projet'!$A$62,'Données projet'!$B$62,AI41+AH42-AQ41)))</f>
        <v>386.99142857142851</v>
      </c>
      <c r="AJ42" s="13">
        <f>AI42*VLOOKUP('Données projet'!$B$10,Paramètres!$A$1:$I$89,3,0)*VLOOKUP('Données projet'!$B$10,Paramètres!$A$1:$I$89,5,0)</f>
        <v>181.11198857142855</v>
      </c>
      <c r="AK42" s="13">
        <f t="shared" si="35"/>
        <v>45.569494390515281</v>
      </c>
      <c r="AL42" s="20">
        <f t="shared" si="4"/>
        <v>394.80358282538549</v>
      </c>
      <c r="AM42" s="59">
        <f t="shared" si="5"/>
        <v>641.81297991549263</v>
      </c>
      <c r="AN42" s="59">
        <f ca="1">AVERAGE(OFFSET($AM$3,0,0,'Données projet'!$E$10+1,1))-AVERAGE(OFFSET($H$3,0,0,'Données projet'!$E$10+1,1))</f>
        <v>387.50901594883317</v>
      </c>
      <c r="AO42" s="59">
        <f t="shared" si="36"/>
        <v>361.3623790401972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3.887142857142857</v>
      </c>
      <c r="BD42" s="12">
        <f>IF('Données projet'!$A$88&gt;35,BD41+BC42-BL41,IF(A42&lt;'Données projet'!$A$88,$BA$205^A42,IF(A42='Données projet'!$A$88,'Données projet'!$B$88,BD41+BC42-BL41)))</f>
        <v>151.59857142857152</v>
      </c>
      <c r="BE42" s="13">
        <f>BD42*VLOOKUP('Données projet'!$B$11,Paramètres!$A$1:$I$89,3,0)*VLOOKUP('Données projet'!$B$11,Paramètres!$A$1:$I$89,5,0)</f>
        <v>137.16638742857151</v>
      </c>
      <c r="BF42" s="13">
        <f t="shared" si="37"/>
        <v>35.647094153273272</v>
      </c>
      <c r="BG42" s="20">
        <f t="shared" si="7"/>
        <v>300.98348042171295</v>
      </c>
      <c r="BH42" s="59">
        <f t="shared" si="8"/>
        <v>547.9928775118201</v>
      </c>
      <c r="BI42" s="59">
        <f ca="1">AVERAGE(OFFSET($BH$3,0,0,'Données projet'!$E$11+1,1))-AVERAGE(OFFSET($H$3,0,0,'Données projet'!$E$11+1,1))</f>
        <v>627.65081154031589</v>
      </c>
      <c r="BJ42" s="59">
        <f t="shared" si="38"/>
        <v>288.78083487077618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3.887142857142857</v>
      </c>
      <c r="BY42" s="12">
        <f>IF('Données projet'!$A$114&gt;35,BY41+BX42-CG41,IF(A42&lt;'Données projet'!$A$114,$BV$205^A42,IF(A42='Données projet'!$A$114,'Données projet'!$B$114,BY41+BX42-CG41)))</f>
        <v>151.59857142857152</v>
      </c>
      <c r="BZ42" s="13">
        <f>BY42*VLOOKUP('Données projet'!$B$12,Paramètres!$A$1:$I$89,3,0)*VLOOKUP('Données projet'!$B$12,Paramètres!$A$1:$I$89,5,0)</f>
        <v>153.72095142857154</v>
      </c>
      <c r="CA42" s="13">
        <f t="shared" si="39"/>
        <v>39.422975492399672</v>
      </c>
      <c r="CB42" s="20">
        <f t="shared" si="10"/>
        <v>336.39233938735816</v>
      </c>
      <c r="CC42" s="59">
        <f t="shared" si="11"/>
        <v>583.40173647746531</v>
      </c>
      <c r="CD42" s="59">
        <f ca="1">AVERAGE(OFFSET($CC$3,0,0,'Données projet'!$E$12+1,1))-AVERAGE(OFFSET($H$3,0,0,'Données projet'!$E$12+1,1))</f>
        <v>692.2706942067415</v>
      </c>
      <c r="CE42" s="59">
        <f t="shared" si="40"/>
        <v>316.17529091924803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10.8</v>
      </c>
      <c r="CT42" s="12">
        <f>IF('Données projet'!$A$140&gt;35,CT41+CS42-DB41,IF(A42&lt;'Données projet'!$A$140,$CQ$205^A42,IF(A42='Données projet'!$A$140,'Données projet'!$B$140,CT41+CS42-DB41)))</f>
        <v>123.19999999999999</v>
      </c>
      <c r="CU42" s="17">
        <f>CT42*VLOOKUP('Données projet'!$B$13,Paramètres!$A$1:$I$89,3,0)*VLOOKUP('Données projet'!$B$13,Paramètres!$A$1:$I$89,5,0)</f>
        <v>117.23711999999999</v>
      </c>
      <c r="CV42" s="13">
        <f t="shared" si="41"/>
        <v>31.029731926851227</v>
      </c>
      <c r="CW42" s="20">
        <f t="shared" si="13"/>
        <v>258.23143377259919</v>
      </c>
      <c r="CX42" s="59">
        <f t="shared" si="14"/>
        <v>505.24083086270628</v>
      </c>
      <c r="CY42" s="59">
        <f ca="1">AVERAGE(OFFSET($CX$3,0,0,'Données projet'!$E$13+1,1))-AVERAGE(OFFSET($H$3,0,0,'Données projet'!$E$13+1,1))</f>
        <v>424.5933338095914</v>
      </c>
      <c r="CZ42" s="59">
        <f t="shared" si="42"/>
        <v>159.28977188196134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1.0029466058321577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1.0029466058321577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>
        <f>DO42*VLOOKUP('Données projet'!$B$14,Paramètres!$A$1:$I$89,3,0)*VLOOKUP('Données projet'!$B$14,Paramètres!$A$1:$I$89,5,0)</f>
        <v>0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-18.333333333333343</v>
      </c>
      <c r="DU42" s="59">
        <f t="shared" si="44"/>
        <v>-18.333333333333343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>
        <f>EJ42*VLOOKUP('Données projet'!$B$15,Paramètres!$A$1:$I$89,3,0)*VLOOKUP('Données projet'!$B$15,Paramètres!$A$1:$I$89,5,0)</f>
        <v>0</v>
      </c>
      <c r="EL42" s="13" t="e">
        <f t="shared" si="45"/>
        <v>#NUM!</v>
      </c>
      <c r="EM42" s="20" t="e">
        <f t="shared" si="19"/>
        <v>#NUM!</v>
      </c>
      <c r="EN42" s="59" t="e">
        <f t="shared" si="20"/>
        <v>#NUM!</v>
      </c>
      <c r="EO42" s="59">
        <f ca="1">AVERAGE(OFFSET($EN$3,0,0,'Données projet'!$E$15+1,1))-AVERAGE(OFFSET($H$3,0,0,'Données projet'!$E$15+1,1))</f>
        <v>-18.333333333333343</v>
      </c>
      <c r="EP42" s="59">
        <f t="shared" si="46"/>
        <v>-18.333333333333343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3.887142857142857</v>
      </c>
      <c r="FE42" s="12">
        <f>IF('Données projet'!$A$218&gt;35,FE41+FD42-FM41,IF(A42&lt;'Données projet'!$A$218,$FB$205^A42,IF(A42='Données projet'!$A$218,'Données projet'!$B$218,FE41+FD42-FM41)))</f>
        <v>151.59857142857152</v>
      </c>
      <c r="FF42" s="17">
        <f>FE42*VLOOKUP('Données projet'!$B$16,Paramètres!$A$1:$I$89,3,0)*VLOOKUP('Données projet'!$B$16,Paramètres!$A$1:$I$89,5,0)</f>
        <v>146.62613828571438</v>
      </c>
      <c r="FG42" s="13">
        <f t="shared" si="47"/>
        <v>37.810851253154773</v>
      </c>
      <c r="FH42" s="20">
        <f t="shared" si="22"/>
        <v>321.22775678019707</v>
      </c>
      <c r="FI42" s="59">
        <f t="shared" si="23"/>
        <v>568.23715387030416</v>
      </c>
      <c r="FJ42" s="59">
        <f ca="1">AVERAGE(OFFSET($FI$3,0,0,'Données projet'!$E$16+1,1))-AVERAGE(OFFSET($H$3,0,0,'Données projet'!$E$16+1,1))</f>
        <v>664.59451650228573</v>
      </c>
      <c r="FK42" s="59">
        <f t="shared" si="48"/>
        <v>304.44325029106631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20.418888888888887</v>
      </c>
      <c r="N43" s="13">
        <f>IF('Données projet'!$A$36&gt;35,N42+M43-V42,IF(A43&lt;'Données projet'!$A$36,$K$205^A43,IF(A43='Données projet'!$A$36,'Données projet'!$B$36,N42+M43-V42)))</f>
        <v>343.74666666666656</v>
      </c>
      <c r="O43" s="13">
        <f>N43*VLOOKUP('Données projet'!$B$9,Paramètres!$A$1:$I$89,3,0)*VLOOKUP('Données projet'!$B$9,Paramètres!$A$1:$I$89,5,0)</f>
        <v>205.56050666666661</v>
      </c>
      <c r="P43" s="13">
        <f t="shared" si="33"/>
        <v>50.964241575970675</v>
      </c>
      <c r="Q43" s="20">
        <f t="shared" si="53"/>
        <v>446.78060318925992</v>
      </c>
      <c r="R43" s="59">
        <f t="shared" si="0"/>
        <v>694.59361700838076</v>
      </c>
      <c r="S43" s="59">
        <f ca="1">AVERAGE(OFFSET($R$3,0,0,'Données projet'!$E$9+1,1))-AVERAGE(OFFSET($H$3,0,0,'Données projet'!$E$9+1,1))</f>
        <v>460.88622650237176</v>
      </c>
      <c r="T43" s="59">
        <f t="shared" si="34"/>
        <v>396.05161661639647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28.77014088447844</v>
      </c>
      <c r="AA43" s="21">
        <f>EXP(-LN(2)/25)*AA42+(1-EXP(-LN(2)/25))/(LN(2)/25)*Calculateur!V43*Calculateur!X43*VLOOKUP('Données projet'!$B$9,Paramètres!$A$1:$I$89,3,0)*0.475*44/12</f>
        <v>16.05247971163897</v>
      </c>
      <c r="AB43" s="21">
        <f>EXP(-LN(2)/2)*AB42+(1-EXP(-LN(2)/2))/(LN(2)/2)*V43*Y43*VLOOKUP('Données projet'!$B$9,Paramètres!$A$1:$I$89,3,0)*0.475*44/12</f>
        <v>2.7033163979084058</v>
      </c>
      <c r="AC43" s="22">
        <f t="shared" si="3"/>
        <v>47.525936994025813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9.9228571428571435</v>
      </c>
      <c r="AI43" s="13">
        <f>IF('Données projet'!$A$62&gt;35,AI42+AH43-AQ42,IF(A43&lt;'Données projet'!$A$62,$AF$205^A43,IF(A43='Données projet'!$A$62,'Données projet'!$B$62,AI42+AH43-AQ42)))</f>
        <v>396.91428571428565</v>
      </c>
      <c r="AJ43" s="13">
        <f>AI43*VLOOKUP('Données projet'!$B$10,Paramètres!$A$1:$I$89,3,0)*VLOOKUP('Données projet'!$B$10,Paramètres!$A$1:$I$89,5,0)</f>
        <v>185.75588571428571</v>
      </c>
      <c r="AK43" s="13">
        <f t="shared" si="35"/>
        <v>46.60040933576763</v>
      </c>
      <c r="AL43" s="20">
        <f t="shared" si="4"/>
        <v>404.6872138788429</v>
      </c>
      <c r="AM43" s="59">
        <f t="shared" si="5"/>
        <v>652.50022769796374</v>
      </c>
      <c r="AN43" s="59">
        <f ca="1">AVERAGE(OFFSET($AM$3,0,0,'Données projet'!$E$10+1,1))-AVERAGE(OFFSET($H$3,0,0,'Données projet'!$E$10+1,1))</f>
        <v>387.50901594883317</v>
      </c>
      <c r="AO43" s="59">
        <f t="shared" si="36"/>
        <v>361.3623790401972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3.887142857142857</v>
      </c>
      <c r="BD43" s="12">
        <f>IF('Données projet'!$A$88&gt;35,BD42+BC43-BL42,IF(A43&lt;'Données projet'!$A$88,$BA$205^A43,IF(A43='Données projet'!$A$88,'Données projet'!$B$88,BD42+BC43-BL42)))</f>
        <v>155.48571428571438</v>
      </c>
      <c r="BE43" s="13">
        <f>BD43*VLOOKUP('Données projet'!$B$11,Paramètres!$A$1:$I$89,3,0)*VLOOKUP('Données projet'!$B$11,Paramètres!$A$1:$I$89,5,0)</f>
        <v>140.68347428571437</v>
      </c>
      <c r="BF43" s="13">
        <f t="shared" si="37"/>
        <v>36.453535449340755</v>
      </c>
      <c r="BG43" s="20">
        <f t="shared" si="7"/>
        <v>308.51362528855435</v>
      </c>
      <c r="BH43" s="59">
        <f t="shared" si="8"/>
        <v>556.32663910767519</v>
      </c>
      <c r="BI43" s="59">
        <f ca="1">AVERAGE(OFFSET($BH$3,0,0,'Données projet'!$E$11+1,1))-AVERAGE(OFFSET($H$3,0,0,'Données projet'!$E$11+1,1))</f>
        <v>627.65081154031589</v>
      </c>
      <c r="BJ43" s="59">
        <f t="shared" si="38"/>
        <v>288.78083487077618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3.887142857142857</v>
      </c>
      <c r="BY43" s="12">
        <f>IF('Données projet'!$A$114&gt;35,BY42+BX43-CG42,IF(A43&lt;'Données projet'!$A$114,$BV$205^A43,IF(A43='Données projet'!$A$114,'Données projet'!$B$114,BY42+BX43-CG42)))</f>
        <v>155.48571428571438</v>
      </c>
      <c r="BZ43" s="13">
        <f>BY43*VLOOKUP('Données projet'!$B$12,Paramètres!$A$1:$I$89,3,0)*VLOOKUP('Données projet'!$B$12,Paramètres!$A$1:$I$89,5,0)</f>
        <v>157.66251428571439</v>
      </c>
      <c r="CA43" s="13">
        <f t="shared" si="39"/>
        <v>40.314838243237894</v>
      </c>
      <c r="CB43" s="20">
        <f t="shared" si="10"/>
        <v>344.81055565459184</v>
      </c>
      <c r="CC43" s="59">
        <f t="shared" si="11"/>
        <v>592.62356947371268</v>
      </c>
      <c r="CD43" s="59">
        <f ca="1">AVERAGE(OFFSET($CC$3,0,0,'Données projet'!$E$12+1,1))-AVERAGE(OFFSET($H$3,0,0,'Données projet'!$E$12+1,1))</f>
        <v>692.2706942067415</v>
      </c>
      <c r="CE43" s="59">
        <f t="shared" si="40"/>
        <v>316.17529091924803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134</v>
      </c>
      <c r="CR43" s="12">
        <f>VLOOKUP(A43,'Données projet'!$A$139:$I$159,9,0)</f>
        <v>10.8</v>
      </c>
      <c r="CS43" s="12">
        <f t="array" ref="CS43">INDEX(CR:CR,MIN(IF(ISNUMBER(CR43:CR239),ROW(CR43:CR239),"")))</f>
        <v>10.8</v>
      </c>
      <c r="CT43" s="12">
        <f>IF('Données projet'!$A$140&gt;35,CT42+CS43-DB42,IF(A43&lt;'Données projet'!$A$140,$CQ$205^A43,IF(A43='Données projet'!$A$140,'Données projet'!$B$140,CT42+CS43-DB42)))</f>
        <v>134</v>
      </c>
      <c r="CU43" s="17">
        <f>CT43*VLOOKUP('Données projet'!$B$13,Paramètres!$A$1:$I$89,3,0)*VLOOKUP('Données projet'!$B$13,Paramètres!$A$1:$I$89,5,0)</f>
        <v>127.51439999999999</v>
      </c>
      <c r="CV43" s="13">
        <f t="shared" si="41"/>
        <v>33.421366430716283</v>
      </c>
      <c r="CW43" s="20">
        <f t="shared" si="13"/>
        <v>280.29645986683084</v>
      </c>
      <c r="CX43" s="59">
        <f t="shared" si="14"/>
        <v>528.10947368595168</v>
      </c>
      <c r="CY43" s="59">
        <f ca="1">AVERAGE(OFFSET($CX$3,0,0,'Données projet'!$E$13+1,1))-AVERAGE(OFFSET($H$3,0,0,'Données projet'!$E$13+1,1))</f>
        <v>424.5933338095914</v>
      </c>
      <c r="CZ43" s="59">
        <f t="shared" si="42"/>
        <v>159.28977188196134</v>
      </c>
      <c r="DA43" s="15">
        <f>IF(ISNA(VLOOKUP(A43,'Données projet'!$A$139:$I$159,3,0)),0,VLOOKUP(A43,'Données projet'!$A$139:$I$159,3,0))</f>
        <v>2</v>
      </c>
      <c r="DB43" s="15">
        <f>IF(ISNA(VLOOKUP(A43,'Données projet'!$A$139:$I$159,4,0)),0,VLOOKUP(A43,'Données projet'!$A$139:$I$159,4,0))</f>
        <v>17</v>
      </c>
      <c r="DC43" s="16">
        <f>IF(ISNA(VLOOKUP(A43,'Données projet'!$A$139:$I$159,5,0)),0%,VLOOKUP(A43,'Données projet'!$A$139:$I$159,5,0)*VLOOKUP('Données projet'!$B$13,Paramètres!$A$1:$I$89,7,0))</f>
        <v>8.6000000000000007E-2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2.5212531610739322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2.5212531610739322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>
        <f>DO43*VLOOKUP('Données projet'!$B$14,Paramètres!$A$1:$I$89,3,0)*VLOOKUP('Données projet'!$B$14,Paramètres!$A$1:$I$89,5,0)</f>
        <v>0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-18.333333333333343</v>
      </c>
      <c r="DU43" s="59">
        <f t="shared" si="44"/>
        <v>-18.333333333333343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>
        <f>EJ43*VLOOKUP('Données projet'!$B$15,Paramètres!$A$1:$I$89,3,0)*VLOOKUP('Données projet'!$B$15,Paramètres!$A$1:$I$89,5,0)</f>
        <v>0</v>
      </c>
      <c r="EL43" s="13" t="e">
        <f t="shared" si="45"/>
        <v>#NUM!</v>
      </c>
      <c r="EM43" s="20" t="e">
        <f t="shared" si="19"/>
        <v>#NUM!</v>
      </c>
      <c r="EN43" s="59" t="e">
        <f t="shared" si="20"/>
        <v>#NUM!</v>
      </c>
      <c r="EO43" s="59">
        <f ca="1">AVERAGE(OFFSET($EN$3,0,0,'Données projet'!$E$15+1,1))-AVERAGE(OFFSET($H$3,0,0,'Données projet'!$E$15+1,1))</f>
        <v>-18.333333333333343</v>
      </c>
      <c r="EP43" s="59">
        <f t="shared" si="46"/>
        <v>-18.333333333333343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3.887142857142857</v>
      </c>
      <c r="FE43" s="12">
        <f>IF('Données projet'!$A$218&gt;35,FE42+FD43-FM42,IF(A43&lt;'Données projet'!$A$218,$FB$205^A43,IF(A43='Données projet'!$A$218,'Données projet'!$B$218,FE42+FD43-FM42)))</f>
        <v>155.48571428571438</v>
      </c>
      <c r="FF43" s="17">
        <f>FE43*VLOOKUP('Données projet'!$B$16,Paramètres!$A$1:$I$89,3,0)*VLOOKUP('Données projet'!$B$16,Paramètres!$A$1:$I$89,5,0)</f>
        <v>150.38578285714294</v>
      </c>
      <c r="FG43" s="13">
        <f t="shared" si="47"/>
        <v>38.666243049156442</v>
      </c>
      <c r="FH43" s="20">
        <f t="shared" si="22"/>
        <v>329.26561178680475</v>
      </c>
      <c r="FI43" s="59">
        <f t="shared" si="23"/>
        <v>577.07862560592559</v>
      </c>
      <c r="FJ43" s="59">
        <f ca="1">AVERAGE(OFFSET($FI$3,0,0,'Données projet'!$E$16+1,1))-AVERAGE(OFFSET($H$3,0,0,'Données projet'!$E$16+1,1))</f>
        <v>664.59451650228573</v>
      </c>
      <c r="FK43" s="59">
        <f t="shared" si="48"/>
        <v>304.44325029106631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20.418888888888887</v>
      </c>
      <c r="N44" s="13">
        <f>IF('Données projet'!$A$36&gt;35,N43+M44-V43,IF(A44&lt;'Données projet'!$A$36,$K$205^A44,IF(A44='Données projet'!$A$36,'Données projet'!$B$36,N43+M44-V43)))</f>
        <v>364.16555555555544</v>
      </c>
      <c r="O44" s="13">
        <f>N44*VLOOKUP('Données projet'!$B$9,Paramètres!$A$1:$I$89,3,0)*VLOOKUP('Données projet'!$B$9,Paramètres!$A$1:$I$89,5,0)</f>
        <v>217.77100222222217</v>
      </c>
      <c r="P44" s="13">
        <f t="shared" si="33"/>
        <v>53.630137310633735</v>
      </c>
      <c r="Q44" s="20">
        <f t="shared" si="53"/>
        <v>472.69031801972392</v>
      </c>
      <c r="R44" s="59">
        <f t="shared" si="0"/>
        <v>721.29300761422792</v>
      </c>
      <c r="S44" s="59">
        <f ca="1">AVERAGE(OFFSET($R$3,0,0,'Données projet'!$E$9+1,1))-AVERAGE(OFFSET($H$3,0,0,'Données projet'!$E$9+1,1))</f>
        <v>460.88622650237176</v>
      </c>
      <c r="T44" s="59">
        <f t="shared" si="34"/>
        <v>396.05161661639647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28.20597596978703</v>
      </c>
      <c r="AA44" s="21">
        <f>EXP(-LN(2)/25)*AA43+(1-EXP(-LN(2)/25))/(LN(2)/25)*Calculateur!V44*Calculateur!X44*VLOOKUP('Données projet'!$B$9,Paramètres!$A$1:$I$89,3,0)*0.475*44/12</f>
        <v>15.613523809760983</v>
      </c>
      <c r="AB44" s="21">
        <f>EXP(-LN(2)/2)*AB43+(1-EXP(-LN(2)/2))/(LN(2)/2)*V44*Y44*VLOOKUP('Données projet'!$B$9,Paramètres!$A$1:$I$89,3,0)*0.475*44/12</f>
        <v>1.9115333566538251</v>
      </c>
      <c r="AC44" s="22">
        <f t="shared" si="3"/>
        <v>45.731033136201837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9.9228571428571435</v>
      </c>
      <c r="AI44" s="13">
        <f>IF('Données projet'!$A$62&gt;35,AI43+AH44-AQ43,IF(A44&lt;'Données projet'!$A$62,$AF$205^A44,IF(A44='Données projet'!$A$62,'Données projet'!$B$62,AI43+AH44-AQ43)))</f>
        <v>406.83714285714279</v>
      </c>
      <c r="AJ44" s="13">
        <f>AI44*VLOOKUP('Données projet'!$B$10,Paramètres!$A$1:$I$89,3,0)*VLOOKUP('Données projet'!$B$10,Paramètres!$A$1:$I$89,5,0)</f>
        <v>190.39978285714281</v>
      </c>
      <c r="AK44" s="13">
        <f t="shared" si="35"/>
        <v>47.628328349435108</v>
      </c>
      <c r="AL44" s="20">
        <f t="shared" si="4"/>
        <v>414.56562701812322</v>
      </c>
      <c r="AM44" s="59">
        <f t="shared" si="5"/>
        <v>663.16831661262722</v>
      </c>
      <c r="AN44" s="59">
        <f ca="1">AVERAGE(OFFSET($AM$3,0,0,'Données projet'!$E$10+1,1))-AVERAGE(OFFSET($H$3,0,0,'Données projet'!$E$10+1,1))</f>
        <v>387.50901594883317</v>
      </c>
      <c r="AO44" s="59">
        <f t="shared" si="36"/>
        <v>361.3623790401972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3.887142857142857</v>
      </c>
      <c r="BD44" s="12">
        <f>IF('Données projet'!$A$88&gt;35,BD43+BC44-BL43,IF(A44&lt;'Données projet'!$A$88,$BA$205^A44,IF(A44='Données projet'!$A$88,'Données projet'!$B$88,BD43+BC44-BL43)))</f>
        <v>159.37285714285724</v>
      </c>
      <c r="BE44" s="13">
        <f>BD44*VLOOKUP('Données projet'!$B$11,Paramètres!$A$1:$I$89,3,0)*VLOOKUP('Données projet'!$B$11,Paramètres!$A$1:$I$89,5,0)</f>
        <v>144.20056114285723</v>
      </c>
      <c r="BF44" s="13">
        <f t="shared" si="37"/>
        <v>37.257633154444321</v>
      </c>
      <c r="BG44" s="20">
        <f t="shared" si="7"/>
        <v>316.03968840113345</v>
      </c>
      <c r="BH44" s="59">
        <f t="shared" si="8"/>
        <v>564.64237799563739</v>
      </c>
      <c r="BI44" s="59">
        <f ca="1">AVERAGE(OFFSET($BH$3,0,0,'Données projet'!$E$11+1,1))-AVERAGE(OFFSET($H$3,0,0,'Données projet'!$E$11+1,1))</f>
        <v>627.65081154031589</v>
      </c>
      <c r="BJ44" s="59">
        <f t="shared" si="38"/>
        <v>288.78083487077618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3.887142857142857</v>
      </c>
      <c r="BY44" s="12">
        <f>IF('Données projet'!$A$114&gt;35,BY43+BX44-CG43,IF(A44&lt;'Données projet'!$A$114,$BV$205^A44,IF(A44='Données projet'!$A$114,'Données projet'!$B$114,BY43+BX44-CG43)))</f>
        <v>159.37285714285724</v>
      </c>
      <c r="BZ44" s="13">
        <f>BY44*VLOOKUP('Données projet'!$B$12,Paramètres!$A$1:$I$89,3,0)*VLOOKUP('Données projet'!$B$12,Paramètres!$A$1:$I$89,5,0)</f>
        <v>161.60407714285725</v>
      </c>
      <c r="CA44" s="13">
        <f t="shared" si="39"/>
        <v>41.204109160679089</v>
      </c>
      <c r="CB44" s="20">
        <f t="shared" si="10"/>
        <v>353.2242578119924</v>
      </c>
      <c r="CC44" s="59">
        <f t="shared" si="11"/>
        <v>601.8269474064964</v>
      </c>
      <c r="CD44" s="59">
        <f ca="1">AVERAGE(OFFSET($CC$3,0,0,'Données projet'!$E$12+1,1))-AVERAGE(OFFSET($H$3,0,0,'Données projet'!$E$12+1,1))</f>
        <v>692.2706942067415</v>
      </c>
      <c r="CE44" s="59">
        <f t="shared" si="40"/>
        <v>316.17529091924803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9.4</v>
      </c>
      <c r="CT44" s="12">
        <f>IF('Données projet'!$A$140&gt;35,CT43+CS44-DB43,IF(A44&lt;'Données projet'!$A$140,$CQ$205^A44,IF(A44='Données projet'!$A$140,'Données projet'!$B$140,CT43+CS44-DB43)))</f>
        <v>126.4</v>
      </c>
      <c r="CU44" s="17">
        <f>CT44*VLOOKUP('Données projet'!$B$13,Paramètres!$A$1:$I$89,3,0)*VLOOKUP('Données projet'!$B$13,Paramètres!$A$1:$I$89,5,0)</f>
        <v>120.28224</v>
      </c>
      <c r="CV44" s="13">
        <f t="shared" si="41"/>
        <v>31.740818136156438</v>
      </c>
      <c r="CW44" s="20">
        <f t="shared" si="13"/>
        <v>264.77349292047239</v>
      </c>
      <c r="CX44" s="59">
        <f t="shared" si="14"/>
        <v>513.37618251497634</v>
      </c>
      <c r="CY44" s="59">
        <f ca="1">AVERAGE(OFFSET($CX$3,0,0,'Données projet'!$E$13+1,1))-AVERAGE(OFFSET($H$3,0,0,'Données projet'!$E$13+1,1))</f>
        <v>424.5933338095914</v>
      </c>
      <c r="CZ44" s="59">
        <f t="shared" si="42"/>
        <v>159.28977188196134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2.4718129243978542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2.4718129243978542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>
        <f>DO44*VLOOKUP('Données projet'!$B$14,Paramètres!$A$1:$I$89,3,0)*VLOOKUP('Données projet'!$B$14,Paramètres!$A$1:$I$89,5,0)</f>
        <v>0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-18.333333333333343</v>
      </c>
      <c r="DU44" s="59">
        <f t="shared" si="44"/>
        <v>-18.333333333333343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>
        <f>EJ44*VLOOKUP('Données projet'!$B$15,Paramètres!$A$1:$I$89,3,0)*VLOOKUP('Données projet'!$B$15,Paramètres!$A$1:$I$89,5,0)</f>
        <v>0</v>
      </c>
      <c r="EL44" s="13" t="e">
        <f t="shared" si="45"/>
        <v>#NUM!</v>
      </c>
      <c r="EM44" s="20" t="e">
        <f t="shared" si="19"/>
        <v>#NUM!</v>
      </c>
      <c r="EN44" s="59" t="e">
        <f t="shared" si="20"/>
        <v>#NUM!</v>
      </c>
      <c r="EO44" s="59">
        <f ca="1">AVERAGE(OFFSET($EN$3,0,0,'Données projet'!$E$15+1,1))-AVERAGE(OFFSET($H$3,0,0,'Données projet'!$E$15+1,1))</f>
        <v>-18.333333333333343</v>
      </c>
      <c r="EP44" s="59">
        <f t="shared" si="46"/>
        <v>-18.333333333333343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3.887142857142857</v>
      </c>
      <c r="FE44" s="12">
        <f>IF('Données projet'!$A$218&gt;35,FE43+FD44-FM43,IF(A44&lt;'Données projet'!$A$218,$FB$205^A44,IF(A44='Données projet'!$A$218,'Données projet'!$B$218,FE43+FD44-FM43)))</f>
        <v>159.37285714285724</v>
      </c>
      <c r="FF44" s="17">
        <f>FE44*VLOOKUP('Données projet'!$B$16,Paramètres!$A$1:$I$89,3,0)*VLOOKUP('Données projet'!$B$16,Paramètres!$A$1:$I$89,5,0)</f>
        <v>154.14542742857151</v>
      </c>
      <c r="FG44" s="13">
        <f t="shared" si="47"/>
        <v>39.519148999637181</v>
      </c>
      <c r="FH44" s="20">
        <f t="shared" si="22"/>
        <v>337.29913727913015</v>
      </c>
      <c r="FI44" s="59">
        <f t="shared" si="23"/>
        <v>585.90182687363415</v>
      </c>
      <c r="FJ44" s="59">
        <f ca="1">AVERAGE(OFFSET($FI$3,0,0,'Données projet'!$E$16+1,1))-AVERAGE(OFFSET($H$3,0,0,'Données projet'!$E$16+1,1))</f>
        <v>664.59451650228573</v>
      </c>
      <c r="FK44" s="59">
        <f t="shared" si="48"/>
        <v>304.44325029106631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20.418888888888887</v>
      </c>
      <c r="N45" s="13">
        <f>IF('Données projet'!$A$36&gt;35,N44+M45-V44,IF(A45&lt;'Données projet'!$A$36,$K$205^A45,IF(A45='Données projet'!$A$36,'Données projet'!$B$36,N44+M45-V44)))</f>
        <v>384.58444444444433</v>
      </c>
      <c r="O45" s="13">
        <f>N45*VLOOKUP('Données projet'!$B$9,Paramètres!$A$1:$I$89,3,0)*VLOOKUP('Données projet'!$B$9,Paramètres!$A$1:$I$89,5,0)</f>
        <v>229.98149777777775</v>
      </c>
      <c r="P45" s="13">
        <f t="shared" si="33"/>
        <v>56.278680899383595</v>
      </c>
      <c r="Q45" s="20">
        <f t="shared" si="53"/>
        <v>498.56981119605592</v>
      </c>
      <c r="R45" s="59">
        <f t="shared" si="0"/>
        <v>747.94847745669063</v>
      </c>
      <c r="S45" s="59">
        <f ca="1">AVERAGE(OFFSET($R$3,0,0,'Données projet'!$E$9+1,1))-AVERAGE(OFFSET($H$3,0,0,'Données projet'!$E$9+1,1))</f>
        <v>460.88622650237176</v>
      </c>
      <c r="T45" s="59">
        <f t="shared" si="34"/>
        <v>396.05161661639647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27.652873984966099</v>
      </c>
      <c r="AA45" s="21">
        <f>EXP(-LN(2)/25)*AA44+(1-EXP(-LN(2)/25))/(LN(2)/25)*Calculateur!V45*Calculateur!X45*VLOOKUP('Données projet'!$B$9,Paramètres!$A$1:$I$89,3,0)*0.475*44/12</f>
        <v>15.186571180103536</v>
      </c>
      <c r="AB45" s="21">
        <f>EXP(-LN(2)/2)*AB44+(1-EXP(-LN(2)/2))/(LN(2)/2)*V45*Y45*VLOOKUP('Données projet'!$B$9,Paramètres!$A$1:$I$89,3,0)*0.475*44/12</f>
        <v>1.3516581989542031</v>
      </c>
      <c r="AC45" s="22">
        <f t="shared" si="3"/>
        <v>44.191103364023839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416.76</v>
      </c>
      <c r="AG45" s="12">
        <f>VLOOKUP(A45,'Données projet'!$A$61:$I$81,9,0)</f>
        <v>9.9228571428571435</v>
      </c>
      <c r="AH45" s="12">
        <f t="array" ref="AH45">INDEX(AG:AG,MIN(IF(ISNUMBER(AG45:AG241),ROW(AG45:AG241),"")))</f>
        <v>9.9228571428571435</v>
      </c>
      <c r="AI45" s="13">
        <f>IF('Données projet'!$A$62&gt;35,AI44+AH45-AQ44,IF(A45&lt;'Données projet'!$A$62,$AF$205^A45,IF(A45='Données projet'!$A$62,'Données projet'!$B$62,AI44+AH45-AQ44)))</f>
        <v>416.75999999999993</v>
      </c>
      <c r="AJ45" s="13">
        <f>AI45*VLOOKUP('Données projet'!$B$10,Paramètres!$A$1:$I$89,3,0)*VLOOKUP('Données projet'!$B$10,Paramètres!$A$1:$I$89,5,0)</f>
        <v>195.04367999999997</v>
      </c>
      <c r="AK45" s="13">
        <f t="shared" si="35"/>
        <v>48.65333290919024</v>
      </c>
      <c r="AL45" s="20">
        <f t="shared" si="4"/>
        <v>424.43896415017292</v>
      </c>
      <c r="AM45" s="59">
        <f t="shared" si="5"/>
        <v>673.81763041080762</v>
      </c>
      <c r="AN45" s="59">
        <f ca="1">AVERAGE(OFFSET($AM$3,0,0,'Données projet'!$E$10+1,1))-AVERAGE(OFFSET($H$3,0,0,'Données projet'!$E$10+1,1))</f>
        <v>387.50901594883317</v>
      </c>
      <c r="AO45" s="59">
        <f t="shared" si="36"/>
        <v>361.3623790401972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182.39</v>
      </c>
      <c r="AR45" s="16">
        <f>IF(ISNA(VLOOKUP(A45,'Données projet'!$A$61:$I$81,5,0)),0%,VLOOKUP(A45,'Données projet'!$A$61:$I$81,5,0)*VLOOKUP('Données projet'!$B$10,Paramètres!$A$1:$I$89,7,0))</f>
        <v>0.22000000000000003</v>
      </c>
      <c r="AS45" s="16">
        <f>IF(ISNA(VLOOKUP(A45,'Données projet'!$A$61:$I$81,6,0)),0%,VLOOKUP(A45,'Données projet'!$A$61:$I$81,6,0)*VLOOKUP('Données projet'!$B$10,Paramètres!$A$1:$I$89,7,0))</f>
        <v>0.18700000000000003</v>
      </c>
      <c r="AT45" s="16">
        <f>IF(ISNA(VLOOKUP(A45,'Données projet'!$A$61:$I$81,7,0)),0%,VLOOKUP(A45,'Données projet'!$A$61:$I$81,7,0))</f>
        <v>0.26</v>
      </c>
      <c r="AU45" s="21">
        <f>EXP(-LN(2)/35)*AU44+(1-EXP(-LN(2)/35))/(LN(2)/35)*AQ45*AR45*VLOOKUP('Données projet'!$B$10,Paramètres!$A$1:$I$89,3,0)*0.475*44/12</f>
        <v>24.911387292203528</v>
      </c>
      <c r="AV45" s="21">
        <f>EXP(-LN(2)/25)*AV44+(1-EXP(-LN(2)/25))/(LN(2)/25)*Calculateur!AQ45*Calculateur!AS45*VLOOKUP('Données projet'!$B$10,Paramètres!$A$1:$I$89,3,0)*0.475*44/12</f>
        <v>21.091306418183692</v>
      </c>
      <c r="AW45" s="21">
        <f>EXP(-LN(2)/2)*AW44+(1-EXP(-LN(2)/2))/(LN(2)/2)*AQ45*AT45*VLOOKUP('Données projet'!$B$10,Paramètres!$A$1:$I$89,3,0)*0.475*44/12</f>
        <v>25.127875035395281</v>
      </c>
      <c r="AX45" s="21">
        <f t="shared" si="6"/>
        <v>71.130568745782497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163.26</v>
      </c>
      <c r="BB45" s="12">
        <f>VLOOKUP(A45,'Données projet'!$A$87:$I$107,9,0)</f>
        <v>3.887142857142857</v>
      </c>
      <c r="BC45" s="12">
        <f t="array" ref="BC45">INDEX(BB:BB,MIN(IF(ISNUMBER(BB45:BB241),ROW(BB45:BB241),"")))</f>
        <v>3.887142857142857</v>
      </c>
      <c r="BD45" s="12">
        <f>IF('Données projet'!$A$88&gt;35,BD44+BC45-BL44,IF(A45&lt;'Données projet'!$A$88,$BA$205^A45,IF(A45='Données projet'!$A$88,'Données projet'!$B$88,BD44+BC45-BL44)))</f>
        <v>163.2600000000001</v>
      </c>
      <c r="BE45" s="13">
        <f>BD45*VLOOKUP('Données projet'!$B$11,Paramètres!$A$1:$I$89,3,0)*VLOOKUP('Données projet'!$B$11,Paramètres!$A$1:$I$89,5,0)</f>
        <v>147.71764800000008</v>
      </c>
      <c r="BF45" s="13">
        <f t="shared" si="37"/>
        <v>38.059451005131997</v>
      </c>
      <c r="BG45" s="20">
        <f t="shared" si="7"/>
        <v>323.56178076727167</v>
      </c>
      <c r="BH45" s="59">
        <f t="shared" si="8"/>
        <v>572.94044702790643</v>
      </c>
      <c r="BI45" s="59">
        <f ca="1">AVERAGE(OFFSET($BH$3,0,0,'Données projet'!$E$11+1,1))-AVERAGE(OFFSET($H$3,0,0,'Données projet'!$E$11+1,1))</f>
        <v>627.65081154031589</v>
      </c>
      <c r="BJ45" s="59">
        <f t="shared" si="38"/>
        <v>288.78083487077618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8.6000000000000007E-2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3.7169132051516152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3.7169132051516152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163.26</v>
      </c>
      <c r="BW45" s="12">
        <f>VLOOKUP(A45,'Données projet'!$A$113:$I$133,9,0)</f>
        <v>3.887142857142857</v>
      </c>
      <c r="BX45" s="12">
        <f t="array" ref="BX45">INDEX(BW:BW,MIN(IF(ISNUMBER(BW45:BW241),ROW(BW45:BW241),"")))</f>
        <v>3.887142857142857</v>
      </c>
      <c r="BY45" s="12">
        <f>IF('Données projet'!$A$114&gt;35,BY44+BX45-CG44,IF(A45&lt;'Données projet'!$A$114,$BV$205^A45,IF(A45='Données projet'!$A$114,'Données projet'!$B$114,BY44+BX45-CG44)))</f>
        <v>163.2600000000001</v>
      </c>
      <c r="BZ45" s="13">
        <f>BY45*VLOOKUP('Données projet'!$B$12,Paramètres!$A$1:$I$89,3,0)*VLOOKUP('Données projet'!$B$12,Paramètres!$A$1:$I$89,5,0)</f>
        <v>165.54564000000011</v>
      </c>
      <c r="CA45" s="13">
        <f t="shared" si="39"/>
        <v>42.090858732498674</v>
      </c>
      <c r="CB45" s="20">
        <f t="shared" si="10"/>
        <v>361.6335686257687</v>
      </c>
      <c r="CC45" s="59">
        <f t="shared" si="11"/>
        <v>611.01223488640346</v>
      </c>
      <c r="CD45" s="59">
        <f ca="1">AVERAGE(OFFSET($CC$3,0,0,'Données projet'!$E$12+1,1))-AVERAGE(OFFSET($H$3,0,0,'Données projet'!$E$12+1,1))</f>
        <v>692.2706942067415</v>
      </c>
      <c r="CE45" s="59">
        <f t="shared" si="40"/>
        <v>316.17529091924803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8.6000000000000007E-2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4.1655061781871554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4.1655061781871554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9.4</v>
      </c>
      <c r="CT45" s="12">
        <f>IF('Données projet'!$A$140&gt;35,CT44+CS45-DB44,IF(A45&lt;'Données projet'!$A$140,$CQ$205^A45,IF(A45='Données projet'!$A$140,'Données projet'!$B$140,CT44+CS45-DB44)))</f>
        <v>135.80000000000001</v>
      </c>
      <c r="CU45" s="17">
        <f>CT45*VLOOKUP('Données projet'!$B$13,Paramètres!$A$1:$I$89,3,0)*VLOOKUP('Données projet'!$B$13,Paramètres!$A$1:$I$89,5,0)</f>
        <v>129.22728000000001</v>
      </c>
      <c r="CV45" s="13">
        <f t="shared" si="41"/>
        <v>33.817744522171438</v>
      </c>
      <c r="CW45" s="20">
        <f t="shared" si="13"/>
        <v>283.97008437611527</v>
      </c>
      <c r="CX45" s="59">
        <f t="shared" si="14"/>
        <v>533.34875063674997</v>
      </c>
      <c r="CY45" s="59">
        <f ca="1">AVERAGE(OFFSET($CX$3,0,0,'Données projet'!$E$13+1,1))-AVERAGE(OFFSET($H$3,0,0,'Données projet'!$E$13+1,1))</f>
        <v>424.5933338095914</v>
      </c>
      <c r="CZ45" s="59">
        <f t="shared" si="42"/>
        <v>159.28977188196134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2.4233421806074276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2.4233421806074276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>
        <f>DO45*VLOOKUP('Données projet'!$B$14,Paramètres!$A$1:$I$89,3,0)*VLOOKUP('Données projet'!$B$14,Paramètres!$A$1:$I$89,5,0)</f>
        <v>0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-18.333333333333343</v>
      </c>
      <c r="DU45" s="59">
        <f t="shared" si="44"/>
        <v>-18.333333333333343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>
        <f>EJ45*VLOOKUP('Données projet'!$B$15,Paramètres!$A$1:$I$89,3,0)*VLOOKUP('Données projet'!$B$15,Paramètres!$A$1:$I$89,5,0)</f>
        <v>0</v>
      </c>
      <c r="EL45" s="13" t="e">
        <f t="shared" si="45"/>
        <v>#NUM!</v>
      </c>
      <c r="EM45" s="20" t="e">
        <f t="shared" si="19"/>
        <v>#NUM!</v>
      </c>
      <c r="EN45" s="59" t="e">
        <f t="shared" si="20"/>
        <v>#NUM!</v>
      </c>
      <c r="EO45" s="59">
        <f ca="1">AVERAGE(OFFSET($EN$3,0,0,'Données projet'!$E$15+1,1))-AVERAGE(OFFSET($H$3,0,0,'Données projet'!$E$15+1,1))</f>
        <v>-18.333333333333343</v>
      </c>
      <c r="EP45" s="59">
        <f t="shared" si="46"/>
        <v>-18.333333333333343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>
        <f>VLOOKUP(A45,'Données projet'!$A$217:$I$237,2,0)</f>
        <v>163.26</v>
      </c>
      <c r="FC45" s="12">
        <f>VLOOKUP(A45,'Données projet'!$A$217:$I$237,9,0)</f>
        <v>3.887142857142857</v>
      </c>
      <c r="FD45" s="12">
        <f t="array" ref="FD45">INDEX(FC:FC,MIN(IF(ISNUMBER(FC45:FC241),ROW(FC45:FC241),"")))</f>
        <v>3.887142857142857</v>
      </c>
      <c r="FE45" s="12">
        <f>IF('Données projet'!$A$218&gt;35,FE44+FD45-FM44,IF(A45&lt;'Données projet'!$A$218,$FB$205^A45,IF(A45='Données projet'!$A$218,'Données projet'!$B$218,FE44+FD45-FM44)))</f>
        <v>163.2600000000001</v>
      </c>
      <c r="FF45" s="17">
        <f>FE45*VLOOKUP('Données projet'!$B$16,Paramètres!$A$1:$I$89,3,0)*VLOOKUP('Données projet'!$B$16,Paramètres!$A$1:$I$89,5,0)</f>
        <v>157.9050720000001</v>
      </c>
      <c r="FG45" s="13">
        <f t="shared" si="47"/>
        <v>40.369636709915028</v>
      </c>
      <c r="FH45" s="20">
        <f t="shared" si="22"/>
        <v>345.32845100310215</v>
      </c>
      <c r="FI45" s="59">
        <f t="shared" si="23"/>
        <v>594.7071172637369</v>
      </c>
      <c r="FJ45" s="59">
        <f ca="1">AVERAGE(OFFSET($FI$3,0,0,'Données projet'!$E$16+1,1))-AVERAGE(OFFSET($H$3,0,0,'Données projet'!$E$16+1,1))</f>
        <v>664.59451650228573</v>
      </c>
      <c r="FK45" s="59">
        <f t="shared" si="48"/>
        <v>304.44325029106631</v>
      </c>
      <c r="FL45" s="15">
        <f>IF(ISNA(VLOOKUP(A45,'Données projet'!$A$217:$I$237,3,0)),0,VLOOKUP(A45,'Données projet'!$A$217:$I$237,3,0))</f>
        <v>1</v>
      </c>
      <c r="FM45" s="15">
        <f>IF(ISNA(VLOOKUP(A45,'Données projet'!$A$217:$I$237,4,0)),0,VLOOKUP(A45,'Données projet'!$A$217:$I$237,4,0))</f>
        <v>43.21</v>
      </c>
      <c r="FN45" s="16">
        <f>IF(ISNA(VLOOKUP(A45,'Données projet'!$A$217:$I$237,5,0)),0%,VLOOKUP(A45,'Données projet'!$A$217:$I$237,5,0)*VLOOKUP('Données projet'!$B$16,Paramètres!$A$1:$I$89,7,0))</f>
        <v>8.6000000000000007E-2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3.9732520468862105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3.9732520468862105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20.418888888888887</v>
      </c>
      <c r="N46" s="13">
        <f>IF('Données projet'!$A$36&gt;35,N45+M46-V45,IF(A46&lt;'Données projet'!$A$36,$K$205^A46,IF(A46='Données projet'!$A$36,'Données projet'!$B$36,N45+M46-V45)))</f>
        <v>405.00333333333322</v>
      </c>
      <c r="O46" s="13">
        <f>N46*VLOOKUP('Données projet'!$B$9,Paramètres!$A$1:$I$89,3,0)*VLOOKUP('Données projet'!$B$9,Paramètres!$A$1:$I$89,5,0)</f>
        <v>242.19199333333327</v>
      </c>
      <c r="P46" s="13">
        <f t="shared" si="33"/>
        <v>58.91089868137653</v>
      </c>
      <c r="Q46" s="20">
        <f t="shared" si="53"/>
        <v>524.42087025895296</v>
      </c>
      <c r="R46" s="59">
        <f t="shared" si="0"/>
        <v>774.562051725385</v>
      </c>
      <c r="S46" s="59">
        <f ca="1">AVERAGE(OFFSET($R$3,0,0,'Données projet'!$E$9+1,1))-AVERAGE(OFFSET($H$3,0,0,'Données projet'!$E$9+1,1))</f>
        <v>460.88622650237176</v>
      </c>
      <c r="T46" s="59">
        <f t="shared" si="34"/>
        <v>396.05161661639647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27.110617992708608</v>
      </c>
      <c r="AA46" s="21">
        <f>EXP(-LN(2)/25)*AA45+(1-EXP(-LN(2)/25))/(LN(2)/25)*Calculateur!V46*Calculateur!X46*VLOOKUP('Données projet'!$B$9,Paramètres!$A$1:$I$89,3,0)*0.475*44/12</f>
        <v>14.771293592556535</v>
      </c>
      <c r="AB46" s="21">
        <f>EXP(-LN(2)/2)*AB45+(1-EXP(-LN(2)/2))/(LN(2)/2)*V46*Y46*VLOOKUP('Données projet'!$B$9,Paramètres!$A$1:$I$89,3,0)*0.475*44/12</f>
        <v>0.95576667832691276</v>
      </c>
      <c r="AC46" s="22">
        <f t="shared" si="3"/>
        <v>42.837678263592053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18.127142857142854</v>
      </c>
      <c r="AI46" s="13">
        <f>IF('Données projet'!$A$62&gt;35,AI45+AH46-AQ45,IF(A46&lt;'Données projet'!$A$62,$AF$205^A46,IF(A46='Données projet'!$A$62,'Données projet'!$B$62,AI45+AH46-AQ45)))</f>
        <v>252.49714285714282</v>
      </c>
      <c r="AJ46" s="13">
        <f>AI46*VLOOKUP('Données projet'!$B$10,Paramètres!$A$1:$I$89,3,0)*VLOOKUP('Données projet'!$B$10,Paramètres!$A$1:$I$89,5,0)</f>
        <v>118.16866285714285</v>
      </c>
      <c r="AK46" s="13">
        <f t="shared" si="35"/>
        <v>31.247488431792092</v>
      </c>
      <c r="AL46" s="20">
        <f t="shared" si="4"/>
        <v>260.23313016156169</v>
      </c>
      <c r="AM46" s="59">
        <f t="shared" si="5"/>
        <v>510.37431162799373</v>
      </c>
      <c r="AN46" s="59">
        <f ca="1">AVERAGE(OFFSET($AM$3,0,0,'Données projet'!$E$10+1,1))-AVERAGE(OFFSET($H$3,0,0,'Données projet'!$E$10+1,1))</f>
        <v>387.50901594883317</v>
      </c>
      <c r="AO46" s="59">
        <f t="shared" si="36"/>
        <v>361.3623790401972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24.42289018184934</v>
      </c>
      <c r="AV46" s="21">
        <f>EXP(-LN(2)/25)*AV45+(1-EXP(-LN(2)/25))/(LN(2)/25)*Calculateur!AQ46*Calculateur!AS46*VLOOKUP('Données projet'!$B$10,Paramètres!$A$1:$I$89,3,0)*0.475*44/12</f>
        <v>20.51456353503486</v>
      </c>
      <c r="AW46" s="21">
        <f>EXP(-LN(2)/2)*AW45+(1-EXP(-LN(2)/2))/(LN(2)/2)*AQ46*AT46*VLOOKUP('Données projet'!$B$10,Paramètres!$A$1:$I$89,3,0)*0.475*44/12</f>
        <v>17.768090834336164</v>
      </c>
      <c r="AX46" s="21">
        <f t="shared" si="6"/>
        <v>62.705544551220363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9.3712500000000034</v>
      </c>
      <c r="BD46" s="12">
        <f>IF('Données projet'!$A$88&gt;35,BD45+BC46-BL45,IF(A46&lt;'Données projet'!$A$88,$BA$205^A46,IF(A46='Données projet'!$A$88,'Données projet'!$B$88,BD45+BC46-BL45)))</f>
        <v>129.4212500000001</v>
      </c>
      <c r="BE46" s="13">
        <f>BD46*VLOOKUP('Données projet'!$B$11,Paramètres!$A$1:$I$89,3,0)*VLOOKUP('Données projet'!$B$11,Paramètres!$A$1:$I$89,5,0)</f>
        <v>117.10034700000008</v>
      </c>
      <c r="BF46" s="13">
        <f t="shared" si="37"/>
        <v>30.997743089027207</v>
      </c>
      <c r="BG46" s="20">
        <f t="shared" si="7"/>
        <v>257.93750690505584</v>
      </c>
      <c r="BH46" s="59">
        <f t="shared" si="8"/>
        <v>508.07868837148789</v>
      </c>
      <c r="BI46" s="59">
        <f ca="1">AVERAGE(OFFSET($BH$3,0,0,'Données projet'!$E$11+1,1))-AVERAGE(OFFSET($H$3,0,0,'Données projet'!$E$11+1,1))</f>
        <v>627.65081154031589</v>
      </c>
      <c r="BJ46" s="59">
        <f t="shared" si="38"/>
        <v>288.78083487077618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3.6440268042917903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3.6440268042917903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9.3712500000000034</v>
      </c>
      <c r="BY46" s="12">
        <f>IF('Données projet'!$A$114&gt;35,BY45+BX46-CG45,IF(A46&lt;'Données projet'!$A$114,$BV$205^A46,IF(A46='Données projet'!$A$114,'Données projet'!$B$114,BY45+BX46-CG45)))</f>
        <v>129.4212500000001</v>
      </c>
      <c r="BZ46" s="13">
        <f>BY46*VLOOKUP('Données projet'!$B$12,Paramètres!$A$1:$I$89,3,0)*VLOOKUP('Données projet'!$B$12,Paramètres!$A$1:$I$89,5,0)</f>
        <v>131.23314750000011</v>
      </c>
      <c r="CA46" s="13">
        <f t="shared" si="39"/>
        <v>34.281146756704409</v>
      </c>
      <c r="CB46" s="20">
        <f t="shared" si="10"/>
        <v>288.27072916376034</v>
      </c>
      <c r="CC46" s="59">
        <f t="shared" si="11"/>
        <v>538.41191063019232</v>
      </c>
      <c r="CD46" s="59">
        <f ca="1">AVERAGE(OFFSET($CC$3,0,0,'Données projet'!$E$12+1,1))-AVERAGE(OFFSET($H$3,0,0,'Données projet'!$E$12+1,1))</f>
        <v>692.2706942067415</v>
      </c>
      <c r="CE46" s="59">
        <f t="shared" si="40"/>
        <v>316.17529091924803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4.0838231427408003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4.0838231427408003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9.4</v>
      </c>
      <c r="CT46" s="12">
        <f>IF('Données projet'!$A$140&gt;35,CT45+CS46-DB45,IF(A46&lt;'Données projet'!$A$140,$CQ$205^A46,IF(A46='Données projet'!$A$140,'Données projet'!$B$140,CT45+CS46-DB45)))</f>
        <v>145.20000000000002</v>
      </c>
      <c r="CU46" s="17">
        <f>CT46*VLOOKUP('Données projet'!$B$13,Paramètres!$A$1:$I$89,3,0)*VLOOKUP('Données projet'!$B$13,Paramètres!$A$1:$I$89,5,0)</f>
        <v>138.17232000000001</v>
      </c>
      <c r="CV46" s="13">
        <f t="shared" si="41"/>
        <v>35.877989993863757</v>
      </c>
      <c r="CW46" s="20">
        <f t="shared" si="13"/>
        <v>303.13762323931275</v>
      </c>
      <c r="CX46" s="59">
        <f t="shared" si="14"/>
        <v>553.27880470574473</v>
      </c>
      <c r="CY46" s="59">
        <f ca="1">AVERAGE(OFFSET($CX$3,0,0,'Données projet'!$E$13+1,1))-AVERAGE(OFFSET($H$3,0,0,'Données projet'!$E$13+1,1))</f>
        <v>424.5933338095914</v>
      </c>
      <c r="CZ46" s="59">
        <f t="shared" si="42"/>
        <v>159.28977188196134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2.3758219185384966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2.3758219185384966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>
        <f>DO46*VLOOKUP('Données projet'!$B$14,Paramètres!$A$1:$I$89,3,0)*VLOOKUP('Données projet'!$B$14,Paramètres!$A$1:$I$89,5,0)</f>
        <v>0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-18.333333333333343</v>
      </c>
      <c r="DU46" s="59">
        <f t="shared" si="44"/>
        <v>-18.333333333333343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>
        <f>EJ46*VLOOKUP('Données projet'!$B$15,Paramètres!$A$1:$I$89,3,0)*VLOOKUP('Données projet'!$B$15,Paramètres!$A$1:$I$89,5,0)</f>
        <v>0</v>
      </c>
      <c r="EL46" s="13" t="e">
        <f t="shared" si="45"/>
        <v>#NUM!</v>
      </c>
      <c r="EM46" s="20" t="e">
        <f t="shared" si="19"/>
        <v>#NUM!</v>
      </c>
      <c r="EN46" s="59" t="e">
        <f t="shared" si="20"/>
        <v>#NUM!</v>
      </c>
      <c r="EO46" s="59">
        <f ca="1">AVERAGE(OFFSET($EN$3,0,0,'Données projet'!$E$15+1,1))-AVERAGE(OFFSET($H$3,0,0,'Données projet'!$E$15+1,1))</f>
        <v>-18.333333333333343</v>
      </c>
      <c r="EP46" s="59">
        <f t="shared" si="46"/>
        <v>-18.333333333333343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9.3712500000000034</v>
      </c>
      <c r="FE46" s="12">
        <f>IF('Données projet'!$A$218&gt;35,FE45+FD46-FM45,IF(A46&lt;'Données projet'!$A$218,$FB$205^A46,IF(A46='Données projet'!$A$218,'Données projet'!$B$218,FE45+FD46-FM45)))</f>
        <v>129.4212500000001</v>
      </c>
      <c r="FF46" s="17">
        <f>FE46*VLOOKUP('Données projet'!$B$16,Paramètres!$A$1:$I$89,3,0)*VLOOKUP('Données projet'!$B$16,Paramètres!$A$1:$I$89,5,0)</f>
        <v>125.1762330000001</v>
      </c>
      <c r="FG46" s="13">
        <f t="shared" si="47"/>
        <v>32.879287385479394</v>
      </c>
      <c r="FH46" s="20">
        <f t="shared" si="22"/>
        <v>275.28003133804344</v>
      </c>
      <c r="FI46" s="59">
        <f t="shared" si="23"/>
        <v>525.42121280447554</v>
      </c>
      <c r="FJ46" s="59">
        <f ca="1">AVERAGE(OFFSET($FI$3,0,0,'Données projet'!$E$16+1,1))-AVERAGE(OFFSET($H$3,0,0,'Données projet'!$E$16+1,1))</f>
        <v>664.59451650228573</v>
      </c>
      <c r="FK46" s="59">
        <f t="shared" si="48"/>
        <v>304.44325029106631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3.8953389976912254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3.8953389976912254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20.418888888888887</v>
      </c>
      <c r="N47" s="13">
        <f>IF('Données projet'!$A$36&gt;35,N46+M47-V46,IF(A47&lt;'Données projet'!$A$36,$K$205^A47,IF(A47='Données projet'!$A$36,'Données projet'!$B$36,N46+M47-V46)))</f>
        <v>425.4222222222221</v>
      </c>
      <c r="O47" s="13">
        <f>N47*VLOOKUP('Données projet'!$B$9,Paramètres!$A$1:$I$89,3,0)*VLOOKUP('Données projet'!$B$9,Paramètres!$A$1:$I$89,5,0)</f>
        <v>254.40248888888885</v>
      </c>
      <c r="P47" s="13">
        <f t="shared" si="33"/>
        <v>61.527707660892787</v>
      </c>
      <c r="Q47" s="20">
        <f t="shared" si="53"/>
        <v>550.24509232420291</v>
      </c>
      <c r="R47" s="59">
        <f t="shared" si="0"/>
        <v>801.13556106234034</v>
      </c>
      <c r="S47" s="59">
        <f ca="1">AVERAGE(OFFSET($R$3,0,0,'Données projet'!$E$9+1,1))-AVERAGE(OFFSET($H$3,0,0,'Données projet'!$E$9+1,1))</f>
        <v>460.88622650237176</v>
      </c>
      <c r="T47" s="59">
        <f t="shared" si="34"/>
        <v>396.05161661639647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26.57899530971579</v>
      </c>
      <c r="AA47" s="21">
        <f>EXP(-LN(2)/25)*AA46+(1-EXP(-LN(2)/25))/(LN(2)/25)*Calculateur!V47*Calculateur!X47*VLOOKUP('Données projet'!$B$9,Paramètres!$A$1:$I$89,3,0)*0.475*44/12</f>
        <v>14.367371792479506</v>
      </c>
      <c r="AB47" s="21">
        <f>EXP(-LN(2)/2)*AB46+(1-EXP(-LN(2)/2))/(LN(2)/2)*V47*Y47*VLOOKUP('Données projet'!$B$9,Paramètres!$A$1:$I$89,3,0)*0.475*44/12</f>
        <v>0.67582909947710168</v>
      </c>
      <c r="AC47" s="22">
        <f t="shared" si="3"/>
        <v>41.622196201672395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18.127142857142854</v>
      </c>
      <c r="AI47" s="13">
        <f>IF('Données projet'!$A$62&gt;35,AI46+AH47-AQ46,IF(A47&lt;'Données projet'!$A$62,$AF$205^A47,IF(A47='Données projet'!$A$62,'Données projet'!$B$62,AI46+AH47-AQ46)))</f>
        <v>270.62428571428569</v>
      </c>
      <c r="AJ47" s="13">
        <f>AI47*VLOOKUP('Données projet'!$B$10,Paramètres!$A$1:$I$89,3,0)*VLOOKUP('Données projet'!$B$10,Paramètres!$A$1:$I$89,5,0)</f>
        <v>126.6521657142857</v>
      </c>
      <c r="AK47" s="13">
        <f t="shared" si="35"/>
        <v>33.221602407666438</v>
      </c>
      <c r="AL47" s="20">
        <f t="shared" si="4"/>
        <v>278.44681281239997</v>
      </c>
      <c r="AM47" s="59">
        <f t="shared" si="5"/>
        <v>529.33728155053745</v>
      </c>
      <c r="AN47" s="59">
        <f ca="1">AVERAGE(OFFSET($AM$3,0,0,'Données projet'!$E$10+1,1))-AVERAGE(OFFSET($H$3,0,0,'Données projet'!$E$10+1,1))</f>
        <v>387.50901594883317</v>
      </c>
      <c r="AO47" s="59">
        <f t="shared" si="36"/>
        <v>361.3623790401972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23.943972201875379</v>
      </c>
      <c r="AV47" s="21">
        <f>EXP(-LN(2)/25)*AV46+(1-EXP(-LN(2)/25))/(LN(2)/25)*Calculateur!AQ47*Calculateur!AS47*VLOOKUP('Données projet'!$B$10,Paramètres!$A$1:$I$89,3,0)*0.475*44/12</f>
        <v>19.953591716355323</v>
      </c>
      <c r="AW47" s="21">
        <f>EXP(-LN(2)/2)*AW46+(1-EXP(-LN(2)/2))/(LN(2)/2)*AQ47*AT47*VLOOKUP('Données projet'!$B$10,Paramètres!$A$1:$I$89,3,0)*0.475*44/12</f>
        <v>12.563937517697644</v>
      </c>
      <c r="AX47" s="21">
        <f t="shared" si="6"/>
        <v>56.461501435928348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9.3712500000000034</v>
      </c>
      <c r="BD47" s="12">
        <f>IF('Données projet'!$A$88&gt;35,BD46+BC47-BL46,IF(A47&lt;'Données projet'!$A$88,$BA$205^A47,IF(A47='Données projet'!$A$88,'Données projet'!$B$88,BD46+BC47-BL46)))</f>
        <v>138.7925000000001</v>
      </c>
      <c r="BE47" s="13">
        <f>BD47*VLOOKUP('Données projet'!$B$11,Paramètres!$A$1:$I$89,3,0)*VLOOKUP('Données projet'!$B$11,Paramètres!$A$1:$I$89,5,0)</f>
        <v>125.5794540000001</v>
      </c>
      <c r="BF47" s="13">
        <f t="shared" si="37"/>
        <v>32.97285338000448</v>
      </c>
      <c r="BG47" s="20">
        <f t="shared" si="7"/>
        <v>276.14526868684135</v>
      </c>
      <c r="BH47" s="59">
        <f t="shared" si="8"/>
        <v>527.03573742497883</v>
      </c>
      <c r="BI47" s="59">
        <f ca="1">AVERAGE(OFFSET($BH$3,0,0,'Données projet'!$E$11+1,1))-AVERAGE(OFFSET($H$3,0,0,'Données projet'!$E$11+1,1))</f>
        <v>627.65081154031589</v>
      </c>
      <c r="BJ47" s="59">
        <f t="shared" si="38"/>
        <v>288.78083487077618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3.5725696612965119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3.5725696612965119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9.3712500000000034</v>
      </c>
      <c r="BY47" s="12">
        <f>IF('Données projet'!$A$114&gt;35,BY46+BX47-CG46,IF(A47&lt;'Données projet'!$A$114,$BV$205^A47,IF(A47='Données projet'!$A$114,'Données projet'!$B$114,BY46+BX47-CG46)))</f>
        <v>138.7925000000001</v>
      </c>
      <c r="BZ47" s="13">
        <f>BY47*VLOOKUP('Données projet'!$B$12,Paramètres!$A$1:$I$89,3,0)*VLOOKUP('Données projet'!$B$12,Paramètres!$A$1:$I$89,5,0)</f>
        <v>140.7355950000001</v>
      </c>
      <c r="CA47" s="13">
        <f t="shared" si="39"/>
        <v>36.465468549139587</v>
      </c>
      <c r="CB47" s="20">
        <f t="shared" si="10"/>
        <v>308.62518568141826</v>
      </c>
      <c r="CC47" s="59">
        <f t="shared" si="11"/>
        <v>559.51565441955563</v>
      </c>
      <c r="CD47" s="59">
        <f ca="1">AVERAGE(OFFSET($CC$3,0,0,'Données projet'!$E$12+1,1))-AVERAGE(OFFSET($H$3,0,0,'Données projet'!$E$12+1,1))</f>
        <v>692.2706942067415</v>
      </c>
      <c r="CE47" s="59">
        <f t="shared" si="40"/>
        <v>316.17529091924803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4.003741861797816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4.003741861797816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9.4</v>
      </c>
      <c r="CT47" s="12">
        <f>IF('Données projet'!$A$140&gt;35,CT46+CS47-DB46,IF(A47&lt;'Données projet'!$A$140,$CQ$205^A47,IF(A47='Données projet'!$A$140,'Données projet'!$B$140,CT46+CS47-DB46)))</f>
        <v>154.60000000000002</v>
      </c>
      <c r="CU47" s="17">
        <f>CT47*VLOOKUP('Données projet'!$B$13,Paramètres!$A$1:$I$89,3,0)*VLOOKUP('Données projet'!$B$13,Paramètres!$A$1:$I$89,5,0)</f>
        <v>147.11736000000002</v>
      </c>
      <c r="CV47" s="13">
        <f t="shared" si="41"/>
        <v>37.922757347981381</v>
      </c>
      <c r="CW47" s="20">
        <f t="shared" si="13"/>
        <v>322.27820438106761</v>
      </c>
      <c r="CX47" s="59">
        <f t="shared" si="14"/>
        <v>573.1686731192051</v>
      </c>
      <c r="CY47" s="59">
        <f ca="1">AVERAGE(OFFSET($CX$3,0,0,'Données projet'!$E$13+1,1))-AVERAGE(OFFSET($H$3,0,0,'Données projet'!$E$13+1,1))</f>
        <v>424.5933338095914</v>
      </c>
      <c r="CZ47" s="59">
        <f t="shared" si="42"/>
        <v>159.28977188196134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2.3292334998242392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2.3292334998242392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>
        <f>DO47*VLOOKUP('Données projet'!$B$14,Paramètres!$A$1:$I$89,3,0)*VLOOKUP('Données projet'!$B$14,Paramètres!$A$1:$I$89,5,0)</f>
        <v>0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-18.333333333333343</v>
      </c>
      <c r="DU47" s="59">
        <f t="shared" si="44"/>
        <v>-18.333333333333343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>
        <f>EJ47*VLOOKUP('Données projet'!$B$15,Paramètres!$A$1:$I$89,3,0)*VLOOKUP('Données projet'!$B$15,Paramètres!$A$1:$I$89,5,0)</f>
        <v>0</v>
      </c>
      <c r="EL47" s="13" t="e">
        <f t="shared" si="45"/>
        <v>#NUM!</v>
      </c>
      <c r="EM47" s="20" t="e">
        <f t="shared" si="19"/>
        <v>#NUM!</v>
      </c>
      <c r="EN47" s="59" t="e">
        <f t="shared" si="20"/>
        <v>#NUM!</v>
      </c>
      <c r="EO47" s="59">
        <f ca="1">AVERAGE(OFFSET($EN$3,0,0,'Données projet'!$E$15+1,1))-AVERAGE(OFFSET($H$3,0,0,'Données projet'!$E$15+1,1))</f>
        <v>-18.333333333333343</v>
      </c>
      <c r="EP47" s="59">
        <f t="shared" si="46"/>
        <v>-18.333333333333343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9.3712500000000034</v>
      </c>
      <c r="FE47" s="12">
        <f>IF('Données projet'!$A$218&gt;35,FE46+FD47-FM46,IF(A47&lt;'Données projet'!$A$218,$FB$205^A47,IF(A47='Données projet'!$A$218,'Données projet'!$B$218,FE46+FD47-FM46)))</f>
        <v>138.7925000000001</v>
      </c>
      <c r="FF47" s="17">
        <f>FE47*VLOOKUP('Données projet'!$B$16,Paramètres!$A$1:$I$89,3,0)*VLOOKUP('Données projet'!$B$16,Paramètres!$A$1:$I$89,5,0)</f>
        <v>134.24010600000011</v>
      </c>
      <c r="FG47" s="13">
        <f t="shared" si="47"/>
        <v>34.974285679017981</v>
      </c>
      <c r="FH47" s="20">
        <f t="shared" si="22"/>
        <v>294.71506550762314</v>
      </c>
      <c r="FI47" s="59">
        <f t="shared" si="23"/>
        <v>545.60553424576051</v>
      </c>
      <c r="FJ47" s="59">
        <f ca="1">AVERAGE(OFFSET($FI$3,0,0,'Données projet'!$E$16+1,1))-AVERAGE(OFFSET($H$3,0,0,'Données projet'!$E$16+1,1))</f>
        <v>664.59451650228573</v>
      </c>
      <c r="FK47" s="59">
        <f t="shared" si="48"/>
        <v>304.44325029106631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3.8189537758686862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3.8189537758686862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20.418888888888887</v>
      </c>
      <c r="N48" s="13">
        <f>IF('Données projet'!$A$36&gt;35,N47+M48-V47,IF(A48&lt;'Données projet'!$A$36,$K$205^A48,IF(A48='Données projet'!$A$36,'Données projet'!$B$36,N47+M48-V47)))</f>
        <v>445.84111111111099</v>
      </c>
      <c r="O48" s="13">
        <f>N48*VLOOKUP('Données projet'!$B$9,Paramètres!$A$1:$I$89,3,0)*VLOOKUP('Données projet'!$B$9,Paramètres!$A$1:$I$89,5,0)</f>
        <v>266.61298444444441</v>
      </c>
      <c r="P48" s="13">
        <f t="shared" si="33"/>
        <v>64.129931842015907</v>
      </c>
      <c r="Q48" s="20">
        <f t="shared" si="53"/>
        <v>576.04391253225162</v>
      </c>
      <c r="R48" s="59">
        <f t="shared" si="0"/>
        <v>827.67067008308572</v>
      </c>
      <c r="S48" s="59">
        <f ca="1">AVERAGE(OFFSET($R$3,0,0,'Données projet'!$E$9+1,1))-AVERAGE(OFFSET($H$3,0,0,'Données projet'!$E$9+1,1))</f>
        <v>460.88622650237176</v>
      </c>
      <c r="T48" s="59">
        <f t="shared" si="34"/>
        <v>396.05161661639647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26.05779742327864</v>
      </c>
      <c r="AA48" s="21">
        <f>EXP(-LN(2)/25)*AA47+(1-EXP(-LN(2)/25))/(LN(2)/25)*Calculateur!V48*Calculateur!X48*VLOOKUP('Données projet'!$B$9,Paramètres!$A$1:$I$89,3,0)*0.475*44/12</f>
        <v>13.974495255266909</v>
      </c>
      <c r="AB48" s="21">
        <f>EXP(-LN(2)/2)*AB47+(1-EXP(-LN(2)/2))/(LN(2)/2)*V48*Y48*VLOOKUP('Données projet'!$B$9,Paramètres!$A$1:$I$89,3,0)*0.475*44/12</f>
        <v>0.47788333916345643</v>
      </c>
      <c r="AC48" s="22">
        <f t="shared" si="3"/>
        <v>40.510176017709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18.127142857142854</v>
      </c>
      <c r="AI48" s="13">
        <f>IF('Données projet'!$A$62&gt;35,AI47+AH48-AQ47,IF(A48&lt;'Données projet'!$A$62,$AF$205^A48,IF(A48='Données projet'!$A$62,'Données projet'!$B$62,AI47+AH48-AQ47)))</f>
        <v>288.75142857142856</v>
      </c>
      <c r="AJ48" s="13">
        <f>AI48*VLOOKUP('Données projet'!$B$10,Paramètres!$A$1:$I$89,3,0)*VLOOKUP('Données projet'!$B$10,Paramètres!$A$1:$I$89,5,0)</f>
        <v>135.13566857142857</v>
      </c>
      <c r="AK48" s="13">
        <f t="shared" si="35"/>
        <v>35.180372380671528</v>
      </c>
      <c r="AL48" s="20">
        <f t="shared" si="4"/>
        <v>296.63377132490763</v>
      </c>
      <c r="AM48" s="59">
        <f t="shared" si="5"/>
        <v>548.26052887574178</v>
      </c>
      <c r="AN48" s="59">
        <f ca="1">AVERAGE(OFFSET($AM$3,0,0,'Données projet'!$E$10+1,1))-AVERAGE(OFFSET($H$3,0,0,'Données projet'!$E$10+1,1))</f>
        <v>387.50901594883317</v>
      </c>
      <c r="AO48" s="59">
        <f t="shared" si="36"/>
        <v>361.3623790401972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23.474445511377585</v>
      </c>
      <c r="AV48" s="21">
        <f>EXP(-LN(2)/25)*AV47+(1-EXP(-LN(2)/25))/(LN(2)/25)*Calculateur!AQ48*Calculateur!AS48*VLOOKUP('Données projet'!$B$10,Paramètres!$A$1:$I$89,3,0)*0.475*44/12</f>
        <v>19.407959701557804</v>
      </c>
      <c r="AW48" s="21">
        <f>EXP(-LN(2)/2)*AW47+(1-EXP(-LN(2)/2))/(LN(2)/2)*AQ48*AT48*VLOOKUP('Données projet'!$B$10,Paramètres!$A$1:$I$89,3,0)*0.475*44/12</f>
        <v>8.8840454171680836</v>
      </c>
      <c r="AX48" s="21">
        <f t="shared" si="6"/>
        <v>51.766450630103471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9.3712500000000034</v>
      </c>
      <c r="BD48" s="12">
        <f>IF('Données projet'!$A$88&gt;35,BD47+BC48-BL47,IF(A48&lt;'Données projet'!$A$88,$BA$205^A48,IF(A48='Données projet'!$A$88,'Données projet'!$B$88,BD47+BC48-BL47)))</f>
        <v>148.16375000000011</v>
      </c>
      <c r="BE48" s="13">
        <f>BD48*VLOOKUP('Données projet'!$B$11,Paramètres!$A$1:$I$89,3,0)*VLOOKUP('Données projet'!$B$11,Paramètres!$A$1:$I$89,5,0)</f>
        <v>134.05856100000008</v>
      </c>
      <c r="BF48" s="13">
        <f t="shared" si="37"/>
        <v>34.932489097291651</v>
      </c>
      <c r="BG48" s="20">
        <f t="shared" si="7"/>
        <v>294.3260789194498</v>
      </c>
      <c r="BH48" s="59">
        <f t="shared" si="8"/>
        <v>545.95283647028396</v>
      </c>
      <c r="BI48" s="59">
        <f ca="1">AVERAGE(OFFSET($BH$3,0,0,'Données projet'!$E$11+1,1))-AVERAGE(OFFSET($H$3,0,0,'Données projet'!$E$11+1,1))</f>
        <v>627.65081154031589</v>
      </c>
      <c r="BJ48" s="59">
        <f t="shared" si="38"/>
        <v>288.78083487077618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3.5025137492908169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3.5025137492908169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9.3712500000000034</v>
      </c>
      <c r="BY48" s="12">
        <f>IF('Données projet'!$A$114&gt;35,BY47+BX48-CG47,IF(A48&lt;'Données projet'!$A$114,$BV$205^A48,IF(A48='Données projet'!$A$114,'Données projet'!$B$114,BY47+BX48-CG47)))</f>
        <v>148.16375000000011</v>
      </c>
      <c r="BZ48" s="13">
        <f>BY48*VLOOKUP('Données projet'!$B$12,Paramètres!$A$1:$I$89,3,0)*VLOOKUP('Données projet'!$B$12,Paramètres!$A$1:$I$89,5,0)</f>
        <v>150.23804250000012</v>
      </c>
      <c r="CA48" s="13">
        <f t="shared" si="39"/>
        <v>38.632676639775759</v>
      </c>
      <c r="CB48" s="20">
        <f t="shared" si="10"/>
        <v>328.94983583510964</v>
      </c>
      <c r="CC48" s="59">
        <f t="shared" si="11"/>
        <v>580.57659338594374</v>
      </c>
      <c r="CD48" s="59">
        <f ca="1">AVERAGE(OFFSET($CC$3,0,0,'Données projet'!$E$12+1,1))-AVERAGE(OFFSET($H$3,0,0,'Données projet'!$E$12+1,1))</f>
        <v>692.2706942067415</v>
      </c>
      <c r="CE48" s="59">
        <f t="shared" si="40"/>
        <v>316.17529091924803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3.9252309259293652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3.9252309259293652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164</v>
      </c>
      <c r="CR48" s="12">
        <f>VLOOKUP(A48,'Données projet'!$A$139:$I$159,9,0)</f>
        <v>9.4</v>
      </c>
      <c r="CS48" s="12">
        <f t="array" ref="CS48">INDEX(CR:CR,MIN(IF(ISNUMBER(CR48:CR244),ROW(CR48:CR244),"")))</f>
        <v>9.4</v>
      </c>
      <c r="CT48" s="12">
        <f>IF('Données projet'!$A$140&gt;35,CT47+CS48-DB47,IF(A48&lt;'Données projet'!$A$140,$CQ$205^A48,IF(A48='Données projet'!$A$140,'Données projet'!$B$140,CT47+CS48-DB47)))</f>
        <v>164.00000000000003</v>
      </c>
      <c r="CU48" s="17">
        <f>CT48*VLOOKUP('Données projet'!$B$13,Paramètres!$A$1:$I$89,3,0)*VLOOKUP('Données projet'!$B$13,Paramètres!$A$1:$I$89,5,0)</f>
        <v>156.06240000000003</v>
      </c>
      <c r="CV48" s="13">
        <f t="shared" si="41"/>
        <v>39.953094851583877</v>
      </c>
      <c r="CW48" s="20">
        <f t="shared" si="13"/>
        <v>341.39365353317527</v>
      </c>
      <c r="CX48" s="59">
        <f t="shared" si="14"/>
        <v>593.02041108400942</v>
      </c>
      <c r="CY48" s="59">
        <f ca="1">AVERAGE(OFFSET($CX$3,0,0,'Données projet'!$E$13+1,1))-AVERAGE(OFFSET($H$3,0,0,'Données projet'!$E$13+1,1))</f>
        <v>424.5933338095914</v>
      </c>
      <c r="CZ48" s="59">
        <f t="shared" si="42"/>
        <v>159.28977188196134</v>
      </c>
      <c r="DA48" s="15">
        <f>IF(ISNA(VLOOKUP(A48,'Données projet'!$A$139:$I$159,3,0)),0,VLOOKUP(A48,'Données projet'!$A$139:$I$159,3,0))</f>
        <v>3</v>
      </c>
      <c r="DB48" s="15">
        <f>IF(ISNA(VLOOKUP(A48,'Données projet'!$A$139:$I$159,4,0)),0,VLOOKUP(A48,'Données projet'!$A$139:$I$159,4,0))</f>
        <v>20</v>
      </c>
      <c r="DC48" s="16">
        <f>IF(ISNA(VLOOKUP(A48,'Données projet'!$A$139:$I$159,5,0)),0%,VLOOKUP(A48,'Données projet'!$A$139:$I$159,5,0)*VLOOKUP('Données projet'!$B$13,Paramètres!$A$1:$I$89,7,0))</f>
        <v>0.129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4.9976299335468113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4.9976299335468113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>
        <f>DO48*VLOOKUP('Données projet'!$B$14,Paramètres!$A$1:$I$89,3,0)*VLOOKUP('Données projet'!$B$14,Paramètres!$A$1:$I$89,5,0)</f>
        <v>0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-18.333333333333343</v>
      </c>
      <c r="DU48" s="59">
        <f t="shared" si="44"/>
        <v>-18.333333333333343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>
        <f>EJ48*VLOOKUP('Données projet'!$B$15,Paramètres!$A$1:$I$89,3,0)*VLOOKUP('Données projet'!$B$15,Paramètres!$A$1:$I$89,5,0)</f>
        <v>0</v>
      </c>
      <c r="EL48" s="13" t="e">
        <f t="shared" si="45"/>
        <v>#NUM!</v>
      </c>
      <c r="EM48" s="20" t="e">
        <f t="shared" si="19"/>
        <v>#NUM!</v>
      </c>
      <c r="EN48" s="59" t="e">
        <f t="shared" si="20"/>
        <v>#NUM!</v>
      </c>
      <c r="EO48" s="59">
        <f ca="1">AVERAGE(OFFSET($EN$3,0,0,'Données projet'!$E$15+1,1))-AVERAGE(OFFSET($H$3,0,0,'Données projet'!$E$15+1,1))</f>
        <v>-18.333333333333343</v>
      </c>
      <c r="EP48" s="59">
        <f t="shared" si="46"/>
        <v>-18.333333333333343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9.3712500000000034</v>
      </c>
      <c r="FE48" s="12">
        <f>IF('Données projet'!$A$218&gt;35,FE47+FD48-FM47,IF(A48&lt;'Données projet'!$A$218,$FB$205^A48,IF(A48='Données projet'!$A$218,'Données projet'!$B$218,FE47+FD48-FM47)))</f>
        <v>148.16375000000011</v>
      </c>
      <c r="FF48" s="17">
        <f>FE48*VLOOKUP('Données projet'!$B$16,Paramètres!$A$1:$I$89,3,0)*VLOOKUP('Données projet'!$B$16,Paramètres!$A$1:$I$89,5,0)</f>
        <v>143.30397900000011</v>
      </c>
      <c r="FG48" s="13">
        <f t="shared" si="47"/>
        <v>37.052870101583345</v>
      </c>
      <c r="FH48" s="20">
        <f t="shared" si="22"/>
        <v>314.12151218525787</v>
      </c>
      <c r="FI48" s="59">
        <f t="shared" si="23"/>
        <v>565.74826973609197</v>
      </c>
      <c r="FJ48" s="59">
        <f ca="1">AVERAGE(OFFSET($FI$3,0,0,'Données projet'!$E$16+1,1))-AVERAGE(OFFSET($H$3,0,0,'Données projet'!$E$16+1,1))</f>
        <v>664.59451650228573</v>
      </c>
      <c r="FK48" s="59">
        <f t="shared" si="48"/>
        <v>304.44325029106631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3.744066421655702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3.744066421655702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466.26</v>
      </c>
      <c r="L49" s="12">
        <f>VLOOKUP(A49,'Données projet'!$A$35:$I$55,9,0)</f>
        <v>20.418888888888887</v>
      </c>
      <c r="M49" s="12">
        <f t="array" ref="M49">INDEX(L:L,MIN(IF(ISNUMBER(L49:L245),ROW(L49:L245),"")))</f>
        <v>20.418888888888887</v>
      </c>
      <c r="N49" s="13">
        <f>IF('Données projet'!$A$36&gt;35,N48+M49-V48,IF(A49&lt;'Données projet'!$A$36,$K$205^A49,IF(A49='Données projet'!$A$36,'Données projet'!$B$36,N48+M49-V48)))</f>
        <v>466.25999999999988</v>
      </c>
      <c r="O49" s="13">
        <f>N49*VLOOKUP('Données projet'!$B$9,Paramètres!$A$1:$I$89,3,0)*VLOOKUP('Données projet'!$B$9,Paramètres!$A$1:$I$89,5,0)</f>
        <v>278.82347999999996</v>
      </c>
      <c r="P49" s="13">
        <f t="shared" si="33"/>
        <v>66.718315486273781</v>
      </c>
      <c r="Q49" s="20">
        <f t="shared" si="53"/>
        <v>601.81862713859334</v>
      </c>
      <c r="R49" s="59">
        <f t="shared" si="0"/>
        <v>854.16890053731902</v>
      </c>
      <c r="S49" s="59">
        <f ca="1">AVERAGE(OFFSET($R$3,0,0,'Données projet'!$E$9+1,1))-AVERAGE(OFFSET($H$3,0,0,'Données projet'!$E$9+1,1))</f>
        <v>460.88622650237176</v>
      </c>
      <c r="T49" s="59">
        <f t="shared" si="34"/>
        <v>396.05161661639647</v>
      </c>
      <c r="U49" s="15">
        <f>IF(ISNA(VLOOKUP(A49,'Données projet'!$A$35:$I$55,3,0)),0,VLOOKUP(A49,'Données projet'!$A$35:$I$55,3,0))</f>
        <v>5</v>
      </c>
      <c r="V49" s="15">
        <f>IF(ISNA(VLOOKUP(A49,'Données projet'!$A$35:$I$55,4,0)),0,VLOOKUP(A49,'Données projet'!$A$35:$I$55,4,0))</f>
        <v>93.13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7.6500000000000012E-2</v>
      </c>
      <c r="Y49" s="16">
        <f>IF(ISNA(VLOOKUP(A49,'Données projet'!$A$35:$I$55,7,0)),0%,VLOOKUP(A49,'Données projet'!$A$35:$I$55,7,0))</f>
        <v>0.13</v>
      </c>
      <c r="Z49" s="21">
        <f>EXP(-LN(2)/35)*Z48+(1-EXP(-LN(2)/35))/(LN(2)/35)*V49*W49*VLOOKUP('Données projet'!$B$9,Paramètres!$A$1:$I$89,3,0)*0.475*44/12</f>
        <v>48.818604974353043</v>
      </c>
      <c r="AA49" s="21">
        <f>EXP(-LN(2)/25)*AA48+(1-EXP(-LN(2)/25))/(LN(2)/25)*Calculateur!V49*Calculateur!X49*VLOOKUP('Données projet'!$B$9,Paramètres!$A$1:$I$89,3,0)*0.475*44/12</f>
        <v>19.221828205579264</v>
      </c>
      <c r="AB49" s="21">
        <f>EXP(-LN(2)/2)*AB48+(1-EXP(-LN(2)/2))/(LN(2)/2)*V49*Y49*VLOOKUP('Données projet'!$B$9,Paramètres!$A$1:$I$89,3,0)*0.475*44/12</f>
        <v>8.5351928250866074</v>
      </c>
      <c r="AC49" s="22">
        <f t="shared" si="3"/>
        <v>76.575626005018918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18.127142857142854</v>
      </c>
      <c r="AI49" s="13">
        <f>IF('Données projet'!$A$62&gt;35,AI48+AH49-AQ48,IF(A49&lt;'Données projet'!$A$62,$AF$205^A49,IF(A49='Données projet'!$A$62,'Données projet'!$B$62,AI48+AH49-AQ48)))</f>
        <v>306.87857142857143</v>
      </c>
      <c r="AJ49" s="13">
        <f>AI49*VLOOKUP('Données projet'!$B$10,Paramètres!$A$1:$I$89,3,0)*VLOOKUP('Données projet'!$B$10,Paramètres!$A$1:$I$89,5,0)</f>
        <v>143.61917142857143</v>
      </c>
      <c r="AK49" s="13">
        <f t="shared" si="35"/>
        <v>37.124871268762028</v>
      </c>
      <c r="AL49" s="20">
        <f t="shared" si="4"/>
        <v>314.79587436452249</v>
      </c>
      <c r="AM49" s="59">
        <f t="shared" si="5"/>
        <v>567.14614776324811</v>
      </c>
      <c r="AN49" s="59">
        <f ca="1">AVERAGE(OFFSET($AM$3,0,0,'Données projet'!$E$10+1,1))-AVERAGE(OFFSET($H$3,0,0,'Données projet'!$E$10+1,1))</f>
        <v>387.50901594883317</v>
      </c>
      <c r="AO49" s="59">
        <f t="shared" si="36"/>
        <v>361.3623790401972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23.014125952897448</v>
      </c>
      <c r="AV49" s="21">
        <f>EXP(-LN(2)/25)*AV48+(1-EXP(-LN(2)/25))/(LN(2)/25)*Calculateur!AQ49*Calculateur!AS49*VLOOKUP('Données projet'!$B$10,Paramètres!$A$1:$I$89,3,0)*0.475*44/12</f>
        <v>18.877248022898463</v>
      </c>
      <c r="AW49" s="21">
        <f>EXP(-LN(2)/2)*AW48+(1-EXP(-LN(2)/2))/(LN(2)/2)*AQ49*AT49*VLOOKUP('Données projet'!$B$10,Paramètres!$A$1:$I$89,3,0)*0.475*44/12</f>
        <v>6.2819687588488229</v>
      </c>
      <c r="AX49" s="21">
        <f t="shared" si="6"/>
        <v>48.173342734644734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9.3712500000000034</v>
      </c>
      <c r="BD49" s="12">
        <f>IF('Données projet'!$A$88&gt;35,BD48+BC49-BL48,IF(A49&lt;'Données projet'!$A$88,$BA$205^A49,IF(A49='Données projet'!$A$88,'Données projet'!$B$88,BD48+BC49-BL48)))</f>
        <v>157.53500000000011</v>
      </c>
      <c r="BE49" s="13">
        <f>BD49*VLOOKUP('Données projet'!$B$11,Paramètres!$A$1:$I$89,3,0)*VLOOKUP('Données projet'!$B$11,Paramètres!$A$1:$I$89,5,0)</f>
        <v>142.53766800000008</v>
      </c>
      <c r="BF49" s="13">
        <f t="shared" si="37"/>
        <v>36.877740410345027</v>
      </c>
      <c r="BG49" s="20">
        <f t="shared" si="7"/>
        <v>312.48183631468436</v>
      </c>
      <c r="BH49" s="59">
        <f t="shared" si="8"/>
        <v>564.83210971340998</v>
      </c>
      <c r="BI49" s="59">
        <f ca="1">AVERAGE(OFFSET($BH$3,0,0,'Données projet'!$E$11+1,1))-AVERAGE(OFFSET($H$3,0,0,'Données projet'!$E$11+1,1))</f>
        <v>627.65081154031589</v>
      </c>
      <c r="BJ49" s="59">
        <f t="shared" si="38"/>
        <v>288.78083487077618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3.4338315909896666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3.4338315909896666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9.3712500000000034</v>
      </c>
      <c r="BY49" s="12">
        <f>IF('Données projet'!$A$114&gt;35,BY48+BX49-CG48,IF(A49&lt;'Données projet'!$A$114,$BV$205^A49,IF(A49='Données projet'!$A$114,'Données projet'!$B$114,BY48+BX49-CG48)))</f>
        <v>157.53500000000011</v>
      </c>
      <c r="BZ49" s="13">
        <f>BY49*VLOOKUP('Données projet'!$B$12,Paramètres!$A$1:$I$89,3,0)*VLOOKUP('Données projet'!$B$12,Paramètres!$A$1:$I$89,5,0)</f>
        <v>159.74049000000011</v>
      </c>
      <c r="CA49" s="13">
        <f t="shared" si="39"/>
        <v>40.783976673134042</v>
      </c>
      <c r="CB49" s="20">
        <f t="shared" si="10"/>
        <v>349.24677945570858</v>
      </c>
      <c r="CC49" s="59">
        <f t="shared" si="11"/>
        <v>601.5970528544342</v>
      </c>
      <c r="CD49" s="59">
        <f ca="1">AVERAGE(OFFSET($CC$3,0,0,'Données projet'!$E$12+1,1))-AVERAGE(OFFSET($H$3,0,0,'Données projet'!$E$12+1,1))</f>
        <v>692.2706942067415</v>
      </c>
      <c r="CE49" s="59">
        <f t="shared" si="40"/>
        <v>316.17529091924803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3.8482595416263519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3.8482595416263519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8.6</v>
      </c>
      <c r="CT49" s="12">
        <f>IF('Données projet'!$A$140&gt;35,CT48+CS49-DB48,IF(A49&lt;'Données projet'!$A$140,$CQ$205^A49,IF(A49='Données projet'!$A$140,'Données projet'!$B$140,CT48+CS49-DB48)))</f>
        <v>152.60000000000002</v>
      </c>
      <c r="CU49" s="17">
        <f>CT49*VLOOKUP('Données projet'!$B$13,Paramètres!$A$1:$I$89,3,0)*VLOOKUP('Données projet'!$B$13,Paramètres!$A$1:$I$89,5,0)</f>
        <v>145.21416000000002</v>
      </c>
      <c r="CV49" s="13">
        <f t="shared" si="41"/>
        <v>37.488942346268111</v>
      </c>
      <c r="CW49" s="20">
        <f t="shared" si="13"/>
        <v>318.20790325308366</v>
      </c>
      <c r="CX49" s="59">
        <f t="shared" si="14"/>
        <v>570.55817665180928</v>
      </c>
      <c r="CY49" s="59">
        <f ca="1">AVERAGE(OFFSET($CX$3,0,0,'Données projet'!$E$13+1,1))-AVERAGE(OFFSET($H$3,0,0,'Données projet'!$E$13+1,1))</f>
        <v>424.5933338095914</v>
      </c>
      <c r="CZ49" s="59">
        <f t="shared" si="42"/>
        <v>159.28977188196134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4.8996294588032274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4.8996294588032274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>
        <f>DO49*VLOOKUP('Données projet'!$B$14,Paramètres!$A$1:$I$89,3,0)*VLOOKUP('Données projet'!$B$14,Paramètres!$A$1:$I$89,5,0)</f>
        <v>0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-18.333333333333343</v>
      </c>
      <c r="DU49" s="59">
        <f t="shared" si="44"/>
        <v>-18.333333333333343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>
        <f>EJ49*VLOOKUP('Données projet'!$B$15,Paramètres!$A$1:$I$89,3,0)*VLOOKUP('Données projet'!$B$15,Paramètres!$A$1:$I$89,5,0)</f>
        <v>0</v>
      </c>
      <c r="EL49" s="13" t="e">
        <f t="shared" si="45"/>
        <v>#NUM!</v>
      </c>
      <c r="EM49" s="20" t="e">
        <f t="shared" si="19"/>
        <v>#NUM!</v>
      </c>
      <c r="EN49" s="59" t="e">
        <f t="shared" si="20"/>
        <v>#NUM!</v>
      </c>
      <c r="EO49" s="59">
        <f ca="1">AVERAGE(OFFSET($EN$3,0,0,'Données projet'!$E$15+1,1))-AVERAGE(OFFSET($H$3,0,0,'Données projet'!$E$15+1,1))</f>
        <v>-18.333333333333343</v>
      </c>
      <c r="EP49" s="59">
        <f t="shared" si="46"/>
        <v>-18.333333333333343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9.3712500000000034</v>
      </c>
      <c r="FE49" s="12">
        <f>IF('Données projet'!$A$218&gt;35,FE48+FD49-FM48,IF(A49&lt;'Données projet'!$A$218,$FB$205^A49,IF(A49='Données projet'!$A$218,'Données projet'!$B$218,FE48+FD49-FM48)))</f>
        <v>157.53500000000011</v>
      </c>
      <c r="FF49" s="17">
        <f>FE49*VLOOKUP('Données projet'!$B$16,Paramètres!$A$1:$I$89,3,0)*VLOOKUP('Données projet'!$B$16,Paramètres!$A$1:$I$89,5,0)</f>
        <v>152.36785200000011</v>
      </c>
      <c r="FG49" s="13">
        <f t="shared" si="47"/>
        <v>39.116196995259784</v>
      </c>
      <c r="FH49" s="20">
        <f t="shared" si="22"/>
        <v>333.50138533341101</v>
      </c>
      <c r="FI49" s="59">
        <f t="shared" si="23"/>
        <v>585.85165873213668</v>
      </c>
      <c r="FJ49" s="59">
        <f ca="1">AVERAGE(OFFSET($FI$3,0,0,'Données projet'!$E$16+1,1))-AVERAGE(OFFSET($H$3,0,0,'Données projet'!$E$16+1,1))</f>
        <v>664.59451650228573</v>
      </c>
      <c r="FK49" s="59">
        <f t="shared" si="48"/>
        <v>304.44325029106631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3.6706475627820585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3.6706475627820585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17.857000000000006</v>
      </c>
      <c r="N50" s="13">
        <f>IF('Données projet'!$A$36&gt;35,N49+M50-V49,IF(A50&lt;'Données projet'!$A$36,$K$205^A50,IF(A50='Données projet'!$A$36,'Données projet'!$B$36,N49+M50-V49)))</f>
        <v>390.98699999999991</v>
      </c>
      <c r="O50" s="13">
        <f>N50*VLOOKUP('Données projet'!$B$9,Paramètres!$A$1:$I$89,3,0)*VLOOKUP('Données projet'!$B$9,Paramètres!$A$1:$I$89,5,0)</f>
        <v>233.81022599999997</v>
      </c>
      <c r="P50" s="13">
        <f t="shared" si="33"/>
        <v>57.105752002945586</v>
      </c>
      <c r="Q50" s="20">
        <f t="shared" si="53"/>
        <v>506.67866168846348</v>
      </c>
      <c r="R50" s="59">
        <f t="shared" si="0"/>
        <v>759.73989955265893</v>
      </c>
      <c r="S50" s="59">
        <f ca="1">AVERAGE(OFFSET($R$3,0,0,'Données projet'!$E$9+1,1))-AVERAGE(OFFSET($H$3,0,0,'Données projet'!$E$9+1,1))</f>
        <v>460.88622650237176</v>
      </c>
      <c r="T50" s="59">
        <f t="shared" si="34"/>
        <v>396.05161661639647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47.861301907214838</v>
      </c>
      <c r="AA50" s="21">
        <f>EXP(-LN(2)/25)*AA49+(1-EXP(-LN(2)/25))/(LN(2)/25)*Calculateur!V50*Calculateur!X50*VLOOKUP('Données projet'!$B$9,Paramètres!$A$1:$I$89,3,0)*0.475*44/12</f>
        <v>18.696206302465686</v>
      </c>
      <c r="AB50" s="21">
        <f>EXP(-LN(2)/2)*AB49+(1-EXP(-LN(2)/2))/(LN(2)/2)*V50*Y50*VLOOKUP('Données projet'!$B$9,Paramètres!$A$1:$I$89,3,0)*0.475*44/12</f>
        <v>6.0352927253535062</v>
      </c>
      <c r="AC50" s="22">
        <f t="shared" si="3"/>
        <v>72.59280093503402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18.127142857142854</v>
      </c>
      <c r="AI50" s="13">
        <f>IF('Données projet'!$A$62&gt;35,AI49+AH50-AQ49,IF(A50&lt;'Données projet'!$A$62,$AF$205^A50,IF(A50='Données projet'!$A$62,'Données projet'!$B$62,AI49+AH50-AQ49)))</f>
        <v>325.0057142857143</v>
      </c>
      <c r="AJ50" s="13">
        <f>AI50*VLOOKUP('Données projet'!$B$10,Paramètres!$A$1:$I$89,3,0)*VLOOKUP('Données projet'!$B$10,Paramètres!$A$1:$I$89,5,0)</f>
        <v>152.1026742857143</v>
      </c>
      <c r="AK50" s="13">
        <f t="shared" si="35"/>
        <v>39.056038076016335</v>
      </c>
      <c r="AL50" s="20">
        <f t="shared" si="4"/>
        <v>332.9347573633475</v>
      </c>
      <c r="AM50" s="59">
        <f t="shared" si="5"/>
        <v>585.99599522754283</v>
      </c>
      <c r="AN50" s="59">
        <f ca="1">AVERAGE(OFFSET($AM$3,0,0,'Données projet'!$E$10+1,1))-AVERAGE(OFFSET($H$3,0,0,'Données projet'!$E$10+1,1))</f>
        <v>387.50901594883317</v>
      </c>
      <c r="AO50" s="59">
        <f t="shared" si="36"/>
        <v>361.3623790401972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22.562832980191899</v>
      </c>
      <c r="AV50" s="21">
        <f>EXP(-LN(2)/25)*AV49+(1-EXP(-LN(2)/25))/(LN(2)/25)*Calculateur!AQ50*Calculateur!AS50*VLOOKUP('Données projet'!$B$10,Paramètres!$A$1:$I$89,3,0)*0.475*44/12</f>
        <v>18.361048683000977</v>
      </c>
      <c r="AW50" s="21">
        <f>EXP(-LN(2)/2)*AW49+(1-EXP(-LN(2)/2))/(LN(2)/2)*AQ50*AT50*VLOOKUP('Données projet'!$B$10,Paramètres!$A$1:$I$89,3,0)*0.475*44/12</f>
        <v>4.4420227085840427</v>
      </c>
      <c r="AX50" s="21">
        <f t="shared" si="6"/>
        <v>45.365904371776914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9.3712500000000034</v>
      </c>
      <c r="BD50" s="12">
        <f>IF('Données projet'!$A$88&gt;35,BD49+BC50-BL49,IF(A50&lt;'Données projet'!$A$88,$BA$205^A50,IF(A50='Données projet'!$A$88,'Données projet'!$B$88,BD49+BC50-BL49)))</f>
        <v>166.90625000000011</v>
      </c>
      <c r="BE50" s="13">
        <f>BD50*VLOOKUP('Données projet'!$B$11,Paramètres!$A$1:$I$89,3,0)*VLOOKUP('Données projet'!$B$11,Paramètres!$A$1:$I$89,5,0)</f>
        <v>151.01677500000011</v>
      </c>
      <c r="BF50" s="13">
        <f t="shared" si="37"/>
        <v>38.809560459830927</v>
      </c>
      <c r="BG50" s="20">
        <f t="shared" si="7"/>
        <v>330.61420092587235</v>
      </c>
      <c r="BH50" s="59">
        <f t="shared" si="8"/>
        <v>583.6754387900678</v>
      </c>
      <c r="BI50" s="59">
        <f ca="1">AVERAGE(OFFSET($BH$3,0,0,'Données projet'!$E$11+1,1))-AVERAGE(OFFSET($H$3,0,0,'Données projet'!$E$11+1,1))</f>
        <v>627.65081154031589</v>
      </c>
      <c r="BJ50" s="59">
        <f t="shared" si="38"/>
        <v>288.78083487077618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3.3664962479208218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3.3664962479208218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9.3712500000000034</v>
      </c>
      <c r="BY50" s="12">
        <f>IF('Données projet'!$A$114&gt;35,BY49+BX50-CG49,IF(A50&lt;'Données projet'!$A$114,$BV$205^A50,IF(A50='Données projet'!$A$114,'Données projet'!$B$114,BY49+BX50-CG49)))</f>
        <v>166.90625000000011</v>
      </c>
      <c r="BZ50" s="13">
        <f>BY50*VLOOKUP('Données projet'!$B$12,Paramètres!$A$1:$I$89,3,0)*VLOOKUP('Données projet'!$B$12,Paramètres!$A$1:$I$89,5,0)</f>
        <v>169.24293750000012</v>
      </c>
      <c r="CA50" s="13">
        <f t="shared" si="39"/>
        <v>42.920422750313541</v>
      </c>
      <c r="CB50" s="20">
        <f t="shared" si="10"/>
        <v>369.51785243596299</v>
      </c>
      <c r="CC50" s="59">
        <f t="shared" si="11"/>
        <v>622.57909030015844</v>
      </c>
      <c r="CD50" s="59">
        <f ca="1">AVERAGE(OFFSET($CC$3,0,0,'Données projet'!$E$12+1,1))-AVERAGE(OFFSET($H$3,0,0,'Données projet'!$E$12+1,1))</f>
        <v>692.2706942067415</v>
      </c>
      <c r="CE50" s="59">
        <f t="shared" si="40"/>
        <v>316.17529091924803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3.7727975192216121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3.7727975192216121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8.6</v>
      </c>
      <c r="CT50" s="12">
        <f>IF('Données projet'!$A$140&gt;35,CT49+CS50-DB49,IF(A50&lt;'Données projet'!$A$140,$CQ$205^A50,IF(A50='Données projet'!$A$140,'Données projet'!$B$140,CT49+CS50-DB49)))</f>
        <v>161.20000000000002</v>
      </c>
      <c r="CU50" s="17">
        <f>CT50*VLOOKUP('Données projet'!$B$13,Paramètres!$A$1:$I$89,3,0)*VLOOKUP('Données projet'!$B$13,Paramètres!$A$1:$I$89,5,0)</f>
        <v>153.39792000000003</v>
      </c>
      <c r="CV50" s="13">
        <f t="shared" si="41"/>
        <v>39.349765565193408</v>
      </c>
      <c r="CW50" s="20">
        <f t="shared" si="13"/>
        <v>335.70221902604521</v>
      </c>
      <c r="CX50" s="59">
        <f t="shared" si="14"/>
        <v>588.7634568902406</v>
      </c>
      <c r="CY50" s="59">
        <f ca="1">AVERAGE(OFFSET($CX$3,0,0,'Données projet'!$E$13+1,1))-AVERAGE(OFFSET($H$3,0,0,'Données projet'!$E$13+1,1))</f>
        <v>424.5933338095914</v>
      </c>
      <c r="CZ50" s="59">
        <f t="shared" si="42"/>
        <v>159.28977188196134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4.8035507135949782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4.8035507135949782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>
        <f>DO50*VLOOKUP('Données projet'!$B$14,Paramètres!$A$1:$I$89,3,0)*VLOOKUP('Données projet'!$B$14,Paramètres!$A$1:$I$89,5,0)</f>
        <v>0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-18.333333333333343</v>
      </c>
      <c r="DU50" s="59">
        <f t="shared" si="44"/>
        <v>-18.333333333333343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>
        <f>EJ50*VLOOKUP('Données projet'!$B$15,Paramètres!$A$1:$I$89,3,0)*VLOOKUP('Données projet'!$B$15,Paramètres!$A$1:$I$89,5,0)</f>
        <v>0</v>
      </c>
      <c r="EL50" s="13" t="e">
        <f t="shared" si="45"/>
        <v>#NUM!</v>
      </c>
      <c r="EM50" s="20" t="e">
        <f t="shared" si="19"/>
        <v>#NUM!</v>
      </c>
      <c r="EN50" s="59" t="e">
        <f t="shared" si="20"/>
        <v>#NUM!</v>
      </c>
      <c r="EO50" s="59">
        <f ca="1">AVERAGE(OFFSET($EN$3,0,0,'Données projet'!$E$15+1,1))-AVERAGE(OFFSET($H$3,0,0,'Données projet'!$E$15+1,1))</f>
        <v>-18.333333333333343</v>
      </c>
      <c r="EP50" s="59">
        <f t="shared" si="46"/>
        <v>-18.333333333333343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9.3712500000000034</v>
      </c>
      <c r="FE50" s="12">
        <f>IF('Données projet'!$A$218&gt;35,FE49+FD50-FM49,IF(A50&lt;'Données projet'!$A$218,$FB$205^A50,IF(A50='Données projet'!$A$218,'Données projet'!$B$218,FE49+FD50-FM49)))</f>
        <v>166.90625000000011</v>
      </c>
      <c r="FF50" s="17">
        <f>FE50*VLOOKUP('Données projet'!$B$16,Paramètres!$A$1:$I$89,3,0)*VLOOKUP('Données projet'!$B$16,Paramètres!$A$1:$I$89,5,0)</f>
        <v>161.43172500000011</v>
      </c>
      <c r="FG50" s="13">
        <f t="shared" si="47"/>
        <v>41.165277355776809</v>
      </c>
      <c r="FH50" s="20">
        <f t="shared" si="22"/>
        <v>352.85644576964478</v>
      </c>
      <c r="FI50" s="59">
        <f t="shared" si="23"/>
        <v>605.91768363384017</v>
      </c>
      <c r="FJ50" s="59">
        <f ca="1">AVERAGE(OFFSET($FI$3,0,0,'Données projet'!$E$16+1,1))-AVERAGE(OFFSET($H$3,0,0,'Données projet'!$E$16+1,1))</f>
        <v>664.59451650228573</v>
      </c>
      <c r="FK50" s="59">
        <f t="shared" si="48"/>
        <v>304.44325029106631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3.598668402949845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3.598668402949845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17.857000000000006</v>
      </c>
      <c r="N51" s="13">
        <f>IF('Données projet'!$A$36&gt;35,N50+M51-V50,IF(A51&lt;'Données projet'!$A$36,$K$205^A51,IF(A51='Données projet'!$A$36,'Données projet'!$B$36,N50+M51-V50)))</f>
        <v>408.84399999999994</v>
      </c>
      <c r="O51" s="13">
        <f>N51*VLOOKUP('Données projet'!$B$9,Paramètres!$A$1:$I$89,3,0)*VLOOKUP('Données projet'!$B$9,Paramètres!$A$1:$I$89,5,0)</f>
        <v>244.48871199999996</v>
      </c>
      <c r="P51" s="13">
        <f t="shared" si="33"/>
        <v>59.404254729453328</v>
      </c>
      <c r="Q51" s="20">
        <f t="shared" si="53"/>
        <v>529.2802503871311</v>
      </c>
      <c r="R51" s="59">
        <f t="shared" si="0"/>
        <v>783.0401190727988</v>
      </c>
      <c r="S51" s="59">
        <f ca="1">AVERAGE(OFFSET($R$3,0,0,'Données projet'!$E$9+1,1))-AVERAGE(OFFSET($H$3,0,0,'Données projet'!$E$9+1,1))</f>
        <v>460.88622650237176</v>
      </c>
      <c r="T51" s="59">
        <f t="shared" si="34"/>
        <v>396.05161661639647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46.922770969325995</v>
      </c>
      <c r="AA51" s="21">
        <f>EXP(-LN(2)/25)*AA50+(1-EXP(-LN(2)/25))/(LN(2)/25)*Calculateur!V51*Calculateur!X51*VLOOKUP('Données projet'!$B$9,Paramètres!$A$1:$I$89,3,0)*0.475*44/12</f>
        <v>18.184957557934002</v>
      </c>
      <c r="AB51" s="21">
        <f>EXP(-LN(2)/2)*AB50+(1-EXP(-LN(2)/2))/(LN(2)/2)*V51*Y51*VLOOKUP('Données projet'!$B$9,Paramètres!$A$1:$I$89,3,0)*0.475*44/12</f>
        <v>4.2675964125433037</v>
      </c>
      <c r="AC51" s="22">
        <f t="shared" si="3"/>
        <v>69.375324939803292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18.127142857142854</v>
      </c>
      <c r="AI51" s="13">
        <f>IF('Données projet'!$A$62&gt;35,AI50+AH51-AQ50,IF(A51&lt;'Données projet'!$A$62,$AF$205^A51,IF(A51='Données projet'!$A$62,'Données projet'!$B$62,AI50+AH51-AQ50)))</f>
        <v>343.13285714285718</v>
      </c>
      <c r="AJ51" s="13">
        <f>AI51*VLOOKUP('Données projet'!$B$10,Paramètres!$A$1:$I$89,3,0)*VLOOKUP('Données projet'!$B$10,Paramètres!$A$1:$I$89,5,0)</f>
        <v>160.58617714285717</v>
      </c>
      <c r="AK51" s="13">
        <f t="shared" si="35"/>
        <v>40.974701144941157</v>
      </c>
      <c r="AL51" s="20">
        <f t="shared" si="4"/>
        <v>351.05186301791537</v>
      </c>
      <c r="AM51" s="59">
        <f t="shared" si="5"/>
        <v>604.81173170358306</v>
      </c>
      <c r="AN51" s="59">
        <f ca="1">AVERAGE(OFFSET($AM$3,0,0,'Données projet'!$E$10+1,1))-AVERAGE(OFFSET($H$3,0,0,'Données projet'!$E$10+1,1))</f>
        <v>387.50901594883317</v>
      </c>
      <c r="AO51" s="59">
        <f t="shared" si="36"/>
        <v>361.3623790401972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22.120389587419574</v>
      </c>
      <c r="AV51" s="21">
        <f>EXP(-LN(2)/25)*AV50+(1-EXP(-LN(2)/25))/(LN(2)/25)*Calculateur!AQ51*Calculateur!AS51*VLOOKUP('Données projet'!$B$10,Paramètres!$A$1:$I$89,3,0)*0.475*44/12</f>
        <v>17.858964841198731</v>
      </c>
      <c r="AW51" s="21">
        <f>EXP(-LN(2)/2)*AW50+(1-EXP(-LN(2)/2))/(LN(2)/2)*AQ51*AT51*VLOOKUP('Données projet'!$B$10,Paramètres!$A$1:$I$89,3,0)*0.475*44/12</f>
        <v>3.1409843794244119</v>
      </c>
      <c r="AX51" s="21">
        <f t="shared" si="6"/>
        <v>43.120338808042717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9.3712500000000034</v>
      </c>
      <c r="BD51" s="12">
        <f>IF('Données projet'!$A$88&gt;35,BD50+BC51-BL50,IF(A51&lt;'Données projet'!$A$88,$BA$205^A51,IF(A51='Données projet'!$A$88,'Données projet'!$B$88,BD50+BC51-BL50)))</f>
        <v>176.27750000000012</v>
      </c>
      <c r="BE51" s="13">
        <f>BD51*VLOOKUP('Données projet'!$B$11,Paramètres!$A$1:$I$89,3,0)*VLOOKUP('Données projet'!$B$11,Paramètres!$A$1:$I$89,5,0)</f>
        <v>159.49588200000008</v>
      </c>
      <c r="BF51" s="13">
        <f t="shared" si="37"/>
        <v>40.728789309687656</v>
      </c>
      <c r="BG51" s="20">
        <f t="shared" si="7"/>
        <v>348.72463586437283</v>
      </c>
      <c r="BH51" s="59">
        <f t="shared" si="8"/>
        <v>602.48450455004058</v>
      </c>
      <c r="BI51" s="59">
        <f ca="1">AVERAGE(OFFSET($BH$3,0,0,'Données projet'!$E$11+1,1))-AVERAGE(OFFSET($H$3,0,0,'Données projet'!$E$11+1,1))</f>
        <v>627.65081154031589</v>
      </c>
      <c r="BJ51" s="59">
        <f t="shared" si="38"/>
        <v>288.78083487077618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3.3004813098590531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3.3004813098590531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9.3712500000000034</v>
      </c>
      <c r="BY51" s="12">
        <f>IF('Données projet'!$A$114&gt;35,BY50+BX51-CG50,IF(A51&lt;'Données projet'!$A$114,$BV$205^A51,IF(A51='Données projet'!$A$114,'Données projet'!$B$114,BY50+BX51-CG50)))</f>
        <v>176.27750000000012</v>
      </c>
      <c r="BZ51" s="13">
        <f>BY51*VLOOKUP('Données projet'!$B$12,Paramètres!$A$1:$I$89,3,0)*VLOOKUP('Données projet'!$B$12,Paramètres!$A$1:$I$89,5,0)</f>
        <v>178.74538500000011</v>
      </c>
      <c r="CA51" s="13">
        <f t="shared" si="39"/>
        <v>45.042943918150705</v>
      </c>
      <c r="CB51" s="20">
        <f t="shared" si="10"/>
        <v>389.76467286577935</v>
      </c>
      <c r="CC51" s="59">
        <f t="shared" si="11"/>
        <v>643.5245415514471</v>
      </c>
      <c r="CD51" s="59">
        <f ca="1">AVERAGE(OFFSET($CC$3,0,0,'Données projet'!$E$12+1,1))-AVERAGE(OFFSET($H$3,0,0,'Données projet'!$E$12+1,1))</f>
        <v>692.2706942067415</v>
      </c>
      <c r="CE51" s="59">
        <f t="shared" si="40"/>
        <v>316.17529091924803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3.6988152610489404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3.6988152610489404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8.6</v>
      </c>
      <c r="CT51" s="12">
        <f>IF('Données projet'!$A$140&gt;35,CT50+CS51-DB50,IF(A51&lt;'Données projet'!$A$140,$CQ$205^A51,IF(A51='Données projet'!$A$140,'Données projet'!$B$140,CT50+CS51-DB50)))</f>
        <v>169.8</v>
      </c>
      <c r="CU51" s="17">
        <f>CT51*VLOOKUP('Données projet'!$B$13,Paramètres!$A$1:$I$89,3,0)*VLOOKUP('Données projet'!$B$13,Paramètres!$A$1:$I$89,5,0)</f>
        <v>161.58168000000001</v>
      </c>
      <c r="CV51" s="13">
        <f t="shared" si="41"/>
        <v>41.199063244334951</v>
      </c>
      <c r="CW51" s="20">
        <f t="shared" si="13"/>
        <v>353.17646115055004</v>
      </c>
      <c r="CX51" s="59">
        <f t="shared" si="14"/>
        <v>606.93632983621774</v>
      </c>
      <c r="CY51" s="59">
        <f ca="1">AVERAGE(OFFSET($CX$3,0,0,'Données projet'!$E$13+1,1))-AVERAGE(OFFSET($H$3,0,0,'Données projet'!$E$13+1,1))</f>
        <v>424.5933338095914</v>
      </c>
      <c r="CZ51" s="59">
        <f t="shared" si="42"/>
        <v>159.28977188196134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4.7093560139780148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4.7093560139780148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>
        <f>DO51*VLOOKUP('Données projet'!$B$14,Paramètres!$A$1:$I$89,3,0)*VLOOKUP('Données projet'!$B$14,Paramètres!$A$1:$I$89,5,0)</f>
        <v>0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-18.333333333333343</v>
      </c>
      <c r="DU51" s="59">
        <f t="shared" si="44"/>
        <v>-18.333333333333343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>
        <f>EJ51*VLOOKUP('Données projet'!$B$15,Paramètres!$A$1:$I$89,3,0)*VLOOKUP('Données projet'!$B$15,Paramètres!$A$1:$I$89,5,0)</f>
        <v>0</v>
      </c>
      <c r="EL51" s="13" t="e">
        <f t="shared" si="45"/>
        <v>#NUM!</v>
      </c>
      <c r="EM51" s="20" t="e">
        <f t="shared" si="19"/>
        <v>#NUM!</v>
      </c>
      <c r="EN51" s="59" t="e">
        <f t="shared" si="20"/>
        <v>#NUM!</v>
      </c>
      <c r="EO51" s="59">
        <f ca="1">AVERAGE(OFFSET($EN$3,0,0,'Données projet'!$E$15+1,1))-AVERAGE(OFFSET($H$3,0,0,'Données projet'!$E$15+1,1))</f>
        <v>-18.333333333333343</v>
      </c>
      <c r="EP51" s="59">
        <f t="shared" si="46"/>
        <v>-18.333333333333343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9.3712500000000034</v>
      </c>
      <c r="FE51" s="12">
        <f>IF('Données projet'!$A$218&gt;35,FE50+FD51-FM50,IF(A51&lt;'Données projet'!$A$218,$FB$205^A51,IF(A51='Données projet'!$A$218,'Données projet'!$B$218,FE50+FD51-FM50)))</f>
        <v>176.27750000000012</v>
      </c>
      <c r="FF51" s="17">
        <f>FE51*VLOOKUP('Données projet'!$B$16,Paramètres!$A$1:$I$89,3,0)*VLOOKUP('Données projet'!$B$16,Paramètres!$A$1:$I$89,5,0)</f>
        <v>170.49559800000011</v>
      </c>
      <c r="FG51" s="13">
        <f t="shared" si="47"/>
        <v>43.201002238446733</v>
      </c>
      <c r="FH51" s="20">
        <f t="shared" si="22"/>
        <v>372.18824541529494</v>
      </c>
      <c r="FI51" s="59">
        <f t="shared" si="23"/>
        <v>625.94811410096258</v>
      </c>
      <c r="FJ51" s="59">
        <f ca="1">AVERAGE(OFFSET($FI$3,0,0,'Données projet'!$E$16+1,1))-AVERAGE(OFFSET($H$3,0,0,'Données projet'!$E$16+1,1))</f>
        <v>664.59451650228573</v>
      </c>
      <c r="FK51" s="59">
        <f t="shared" si="48"/>
        <v>304.44325029106631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3.5281007105389888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3.5281007105389888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17.857000000000006</v>
      </c>
      <c r="N52" s="13">
        <f>IF('Données projet'!$A$36&gt;35,N51+M52-V51,IF(A52&lt;'Données projet'!$A$36,$K$205^A52,IF(A52='Données projet'!$A$36,'Données projet'!$B$36,N51+M52-V51)))</f>
        <v>426.70099999999996</v>
      </c>
      <c r="O52" s="13">
        <f>N52*VLOOKUP('Données projet'!$B$9,Paramètres!$A$1:$I$89,3,0)*VLOOKUP('Données projet'!$B$9,Paramètres!$A$1:$I$89,5,0)</f>
        <v>255.16719799999998</v>
      </c>
      <c r="P52" s="13">
        <f t="shared" si="33"/>
        <v>61.691097653105281</v>
      </c>
      <c r="Q52" s="20">
        <f t="shared" si="53"/>
        <v>551.86153159582489</v>
      </c>
      <c r="R52" s="59">
        <f t="shared" si="0"/>
        <v>806.30791142011685</v>
      </c>
      <c r="S52" s="59">
        <f ca="1">AVERAGE(OFFSET($R$3,0,0,'Données projet'!$E$9+1,1))-AVERAGE(OFFSET($H$3,0,0,'Données projet'!$E$9+1,1))</f>
        <v>460.88622650237176</v>
      </c>
      <c r="T52" s="59">
        <f t="shared" si="34"/>
        <v>396.05161661639647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46.002644050681809</v>
      </c>
      <c r="AA52" s="21">
        <f>EXP(-LN(2)/25)*AA51+(1-EXP(-LN(2)/25))/(LN(2)/25)*Calculateur!V52*Calculateur!X52*VLOOKUP('Données projet'!$B$9,Paramètres!$A$1:$I$89,3,0)*0.475*44/12</f>
        <v>17.687688937206939</v>
      </c>
      <c r="AB52" s="21">
        <f>EXP(-LN(2)/2)*AB51+(1-EXP(-LN(2)/2))/(LN(2)/2)*V52*Y52*VLOOKUP('Données projet'!$B$9,Paramètres!$A$1:$I$89,3,0)*0.475*44/12</f>
        <v>3.0176463626767531</v>
      </c>
      <c r="AC52" s="22">
        <f t="shared" si="3"/>
        <v>66.707979350565509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361.26</v>
      </c>
      <c r="AG52" s="12">
        <f>VLOOKUP(A52,'Données projet'!$A$61:$I$81,9,0)</f>
        <v>18.127142857142854</v>
      </c>
      <c r="AH52" s="12">
        <f t="array" ref="AH52">INDEX(AG:AG,MIN(IF(ISNUMBER(AG52:AG248),ROW(AG52:AG248),"")))</f>
        <v>18.127142857142854</v>
      </c>
      <c r="AI52" s="13">
        <f>IF('Données projet'!$A$62&gt;35,AI51+AH52-AQ51,IF(A52&lt;'Données projet'!$A$62,$AF$205^A52,IF(A52='Données projet'!$A$62,'Données projet'!$B$62,AI51+AH52-AQ51)))</f>
        <v>361.26000000000005</v>
      </c>
      <c r="AJ52" s="13">
        <f>AI52*VLOOKUP('Données projet'!$B$10,Paramètres!$A$1:$I$89,3,0)*VLOOKUP('Données projet'!$B$10,Paramètres!$A$1:$I$89,5,0)</f>
        <v>169.06968000000003</v>
      </c>
      <c r="AK52" s="13">
        <f t="shared" si="35"/>
        <v>42.881596355037587</v>
      </c>
      <c r="AL52" s="20">
        <f t="shared" si="4"/>
        <v>369.14847298502383</v>
      </c>
      <c r="AM52" s="59">
        <f t="shared" si="5"/>
        <v>623.59485280931585</v>
      </c>
      <c r="AN52" s="59">
        <f ca="1">AVERAGE(OFFSET($AM$3,0,0,'Données projet'!$E$10+1,1))-AVERAGE(OFFSET($H$3,0,0,'Données projet'!$E$10+1,1))</f>
        <v>387.50901594883317</v>
      </c>
      <c r="AO52" s="59">
        <f t="shared" si="36"/>
        <v>361.3623790401972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100.16</v>
      </c>
      <c r="AR52" s="16">
        <f>IF(ISNA(VLOOKUP(A52,'Données projet'!$A$61:$I$81,5,0)),0%,VLOOKUP(A52,'Données projet'!$A$61:$I$81,5,0)*VLOOKUP('Données projet'!$B$10,Paramètres!$A$1:$I$89,7,0))</f>
        <v>0.27500000000000002</v>
      </c>
      <c r="AS52" s="16">
        <f>IF(ISNA(VLOOKUP(A52,'Données projet'!$A$61:$I$81,6,0)),0%,VLOOKUP(A52,'Données projet'!$A$61:$I$81,6,0)*VLOOKUP('Données projet'!$B$10,Paramètres!$A$1:$I$89,7,0))</f>
        <v>0.15400000000000003</v>
      </c>
      <c r="AT52" s="16">
        <f>IF(ISNA(VLOOKUP(A52,'Données projet'!$A$61:$I$81,7,0)),0%,VLOOKUP(A52,'Données projet'!$A$61:$I$81,7,0))</f>
        <v>0.22</v>
      </c>
      <c r="AU52" s="21">
        <f>EXP(-LN(2)/35)*AU51+(1-EXP(-LN(2)/35))/(LN(2)/35)*AQ52*AR52*VLOOKUP('Données projet'!$B$10,Paramètres!$A$1:$I$89,3,0)*0.475*44/12</f>
        <v>38.786823396488984</v>
      </c>
      <c r="AV52" s="21">
        <f>EXP(-LN(2)/25)*AV51+(1-EXP(-LN(2)/25))/(LN(2)/25)*Calculateur!AQ52*Calculateur!AS52*VLOOKUP('Données projet'!$B$10,Paramètres!$A$1:$I$89,3,0)*0.475*44/12</f>
        <v>26.90901835196771</v>
      </c>
      <c r="AW52" s="21">
        <f>EXP(-LN(2)/2)*AW51+(1-EXP(-LN(2)/2))/(LN(2)/2)*AQ52*AT52*VLOOKUP('Données projet'!$B$10,Paramètres!$A$1:$I$89,3,0)*0.475*44/12</f>
        <v>13.897127031601045</v>
      </c>
      <c r="AX52" s="21">
        <f t="shared" si="6"/>
        <v>79.592968780057745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9.3712500000000034</v>
      </c>
      <c r="BD52" s="12">
        <f>IF('Données projet'!$A$88&gt;35,BD51+BC52-BL51,IF(A52&lt;'Données projet'!$A$88,$BA$205^A52,IF(A52='Données projet'!$A$88,'Données projet'!$B$88,BD51+BC52-BL51)))</f>
        <v>185.64875000000012</v>
      </c>
      <c r="BE52" s="13">
        <f>BD52*VLOOKUP('Données projet'!$B$11,Paramètres!$A$1:$I$89,3,0)*VLOOKUP('Données projet'!$B$11,Paramètres!$A$1:$I$89,5,0)</f>
        <v>167.97498900000011</v>
      </c>
      <c r="BF52" s="13">
        <f t="shared" si="37"/>
        <v>42.636172660412917</v>
      </c>
      <c r="BG52" s="20">
        <f t="shared" si="7"/>
        <v>366.81443989188602</v>
      </c>
      <c r="BH52" s="59">
        <f t="shared" si="8"/>
        <v>621.26081971617805</v>
      </c>
      <c r="BI52" s="59">
        <f ca="1">AVERAGE(OFFSET($BH$3,0,0,'Données projet'!$E$11+1,1))-AVERAGE(OFFSET($H$3,0,0,'Données projet'!$E$11+1,1))</f>
        <v>627.65081154031589</v>
      </c>
      <c r="BJ52" s="59">
        <f t="shared" si="38"/>
        <v>288.78083487077618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3.2357608844675396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3.2357608844675396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9.3712500000000034</v>
      </c>
      <c r="BY52" s="12">
        <f>IF('Données projet'!$A$114&gt;35,BY51+BX52-CG51,IF(A52&lt;'Données projet'!$A$114,$BV$205^A52,IF(A52='Données projet'!$A$114,'Données projet'!$B$114,BY51+BX52-CG51)))</f>
        <v>185.64875000000012</v>
      </c>
      <c r="BZ52" s="13">
        <f>BY52*VLOOKUP('Données projet'!$B$12,Paramètres!$A$1:$I$89,3,0)*VLOOKUP('Données projet'!$B$12,Paramètres!$A$1:$I$89,5,0)</f>
        <v>188.24783250000013</v>
      </c>
      <c r="CA52" s="13">
        <f t="shared" si="39"/>
        <v>47.152364864692288</v>
      </c>
      <c r="CB52" s="20">
        <f t="shared" si="10"/>
        <v>409.98867707683922</v>
      </c>
      <c r="CC52" s="59">
        <f t="shared" si="11"/>
        <v>664.43505690113125</v>
      </c>
      <c r="CD52" s="59">
        <f ca="1">AVERAGE(OFFSET($CC$3,0,0,'Données projet'!$E$12+1,1))-AVERAGE(OFFSET($H$3,0,0,'Données projet'!$E$12+1,1))</f>
        <v>692.2706942067415</v>
      </c>
      <c r="CE52" s="59">
        <f t="shared" si="40"/>
        <v>316.17529091924803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3.6262837498343132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3.6262837498343132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8.6</v>
      </c>
      <c r="CT52" s="12">
        <f>IF('Données projet'!$A$140&gt;35,CT51+CS52-DB51,IF(A52&lt;'Données projet'!$A$140,$CQ$205^A52,IF(A52='Données projet'!$A$140,'Données projet'!$B$140,CT51+CS52-DB51)))</f>
        <v>178.4</v>
      </c>
      <c r="CU52" s="17">
        <f>CT52*VLOOKUP('Données projet'!$B$13,Paramètres!$A$1:$I$89,3,0)*VLOOKUP('Données projet'!$B$13,Paramètres!$A$1:$I$89,5,0)</f>
        <v>169.76544000000001</v>
      </c>
      <c r="CV52" s="13">
        <f t="shared" si="41"/>
        <v>43.037485727362501</v>
      </c>
      <c r="CW52" s="20">
        <f t="shared" si="13"/>
        <v>370.63176230848973</v>
      </c>
      <c r="CX52" s="59">
        <f t="shared" si="14"/>
        <v>625.07814213278175</v>
      </c>
      <c r="CY52" s="59">
        <f ca="1">AVERAGE(OFFSET($CX$3,0,0,'Données projet'!$E$13+1,1))-AVERAGE(OFFSET($H$3,0,0,'Données projet'!$E$13+1,1))</f>
        <v>424.5933338095914</v>
      </c>
      <c r="CZ52" s="59">
        <f t="shared" si="42"/>
        <v>159.28977188196134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4.6170084149674464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4.6170084149674464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>
        <f>DO52*VLOOKUP('Données projet'!$B$14,Paramètres!$A$1:$I$89,3,0)*VLOOKUP('Données projet'!$B$14,Paramètres!$A$1:$I$89,5,0)</f>
        <v>0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-18.333333333333343</v>
      </c>
      <c r="DU52" s="59">
        <f t="shared" si="44"/>
        <v>-18.333333333333343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>
        <f>EJ52*VLOOKUP('Données projet'!$B$15,Paramètres!$A$1:$I$89,3,0)*VLOOKUP('Données projet'!$B$15,Paramètres!$A$1:$I$89,5,0)</f>
        <v>0</v>
      </c>
      <c r="EL52" s="13" t="e">
        <f t="shared" si="45"/>
        <v>#NUM!</v>
      </c>
      <c r="EM52" s="20" t="e">
        <f t="shared" si="19"/>
        <v>#NUM!</v>
      </c>
      <c r="EN52" s="59" t="e">
        <f t="shared" si="20"/>
        <v>#NUM!</v>
      </c>
      <c r="EO52" s="59">
        <f ca="1">AVERAGE(OFFSET($EN$3,0,0,'Données projet'!$E$15+1,1))-AVERAGE(OFFSET($H$3,0,0,'Données projet'!$E$15+1,1))</f>
        <v>-18.333333333333343</v>
      </c>
      <c r="EP52" s="59">
        <f t="shared" si="46"/>
        <v>-18.333333333333343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9.3712500000000034</v>
      </c>
      <c r="FE52" s="12">
        <f>IF('Données projet'!$A$218&gt;35,FE51+FD52-FM51,IF(A52&lt;'Données projet'!$A$218,$FB$205^A52,IF(A52='Données projet'!$A$218,'Données projet'!$B$218,FE51+FD52-FM51)))</f>
        <v>185.64875000000012</v>
      </c>
      <c r="FF52" s="17">
        <f>FE52*VLOOKUP('Données projet'!$B$16,Paramètres!$A$1:$I$89,3,0)*VLOOKUP('Données projet'!$B$16,Paramètres!$A$1:$I$89,5,0)</f>
        <v>179.55947100000012</v>
      </c>
      <c r="FG52" s="13">
        <f t="shared" si="47"/>
        <v>45.224162607337405</v>
      </c>
      <c r="FH52" s="20">
        <f t="shared" si="22"/>
        <v>391.49816186611287</v>
      </c>
      <c r="FI52" s="59">
        <f t="shared" si="23"/>
        <v>645.94454169040478</v>
      </c>
      <c r="FJ52" s="59">
        <f ca="1">AVERAGE(OFFSET($FI$3,0,0,'Données projet'!$E$16+1,1))-AVERAGE(OFFSET($H$3,0,0,'Données projet'!$E$16+1,1))</f>
        <v>664.59451650228573</v>
      </c>
      <c r="FK52" s="59">
        <f t="shared" si="48"/>
        <v>304.44325029106631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3.4589168075342673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3.4589168075342673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17.857000000000006</v>
      </c>
      <c r="N53" s="13">
        <f>IF('Données projet'!$A$36&gt;35,N52+M53-V52,IF(A53&lt;'Données projet'!$A$36,$K$205^A53,IF(A53='Données projet'!$A$36,'Données projet'!$B$36,N52+M53-V52)))</f>
        <v>444.55799999999999</v>
      </c>
      <c r="O53" s="13">
        <f>N53*VLOOKUP('Données projet'!$B$9,Paramètres!$A$1:$I$89,3,0)*VLOOKUP('Données projet'!$B$9,Paramètres!$A$1:$I$89,5,0)</f>
        <v>265.84568400000001</v>
      </c>
      <c r="P53" s="13">
        <f t="shared" si="33"/>
        <v>63.96682452128006</v>
      </c>
      <c r="Q53" s="20">
        <f t="shared" si="53"/>
        <v>574.42345234122934</v>
      </c>
      <c r="R53" s="59">
        <f t="shared" si="0"/>
        <v>829.54443387069944</v>
      </c>
      <c r="S53" s="59">
        <f ca="1">AVERAGE(OFFSET($R$3,0,0,'Données projet'!$E$9+1,1))-AVERAGE(OFFSET($H$3,0,0,'Données projet'!$E$9+1,1))</f>
        <v>460.88622650237176</v>
      </c>
      <c r="T53" s="59">
        <f t="shared" si="34"/>
        <v>396.05161661639647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45.100560259690226</v>
      </c>
      <c r="AA53" s="21">
        <f>EXP(-LN(2)/25)*AA52+(1-EXP(-LN(2)/25))/(LN(2)/25)*Calculateur!V53*Calculateur!X53*VLOOKUP('Données projet'!$B$9,Paramètres!$A$1:$I$89,3,0)*0.475*44/12</f>
        <v>17.204018153063881</v>
      </c>
      <c r="AB53" s="21">
        <f>EXP(-LN(2)/2)*AB52+(1-EXP(-LN(2)/2))/(LN(2)/2)*V53*Y53*VLOOKUP('Données projet'!$B$9,Paramètres!$A$1:$I$89,3,0)*0.475*44/12</f>
        <v>2.1337982062716518</v>
      </c>
      <c r="AC53" s="22">
        <f t="shared" si="3"/>
        <v>64.43837661902576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16.944285714285709</v>
      </c>
      <c r="AI53" s="13">
        <f>IF('Données projet'!$A$62&gt;35,AI52+AH53-AQ52,IF(A53&lt;'Données projet'!$A$62,$AF$205^A53,IF(A53='Données projet'!$A$62,'Données projet'!$B$62,AI52+AH53-AQ52)))</f>
        <v>278.04428571428571</v>
      </c>
      <c r="AJ53" s="13">
        <f>AI53*VLOOKUP('Données projet'!$B$10,Paramètres!$A$1:$I$89,3,0)*VLOOKUP('Données projet'!$B$10,Paramètres!$A$1:$I$89,5,0)</f>
        <v>130.12472571428572</v>
      </c>
      <c r="AK53" s="13">
        <f t="shared" si="35"/>
        <v>34.025178174160651</v>
      </c>
      <c r="AL53" s="20">
        <f t="shared" si="4"/>
        <v>285.89441593904411</v>
      </c>
      <c r="AM53" s="59">
        <f t="shared" si="5"/>
        <v>541.01539746851427</v>
      </c>
      <c r="AN53" s="59">
        <f ca="1">AVERAGE(OFFSET($AM$3,0,0,'Données projet'!$E$10+1,1))-AVERAGE(OFFSET($H$3,0,0,'Données projet'!$E$10+1,1))</f>
        <v>387.50901594883317</v>
      </c>
      <c r="AO53" s="59">
        <f t="shared" si="36"/>
        <v>361.3623790401972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38.026237447310109</v>
      </c>
      <c r="AV53" s="21">
        <f>EXP(-LN(2)/25)*AV52+(1-EXP(-LN(2)/25))/(LN(2)/25)*Calculateur!AQ53*Calculateur!AS53*VLOOKUP('Données projet'!$B$10,Paramètres!$A$1:$I$89,3,0)*0.475*44/12</f>
        <v>26.173189830049377</v>
      </c>
      <c r="AW53" s="21">
        <f>EXP(-LN(2)/2)*AW52+(1-EXP(-LN(2)/2))/(LN(2)/2)*AQ53*AT53*VLOOKUP('Données projet'!$B$10,Paramètres!$A$1:$I$89,3,0)*0.475*44/12</f>
        <v>9.8267527630559748</v>
      </c>
      <c r="AX53" s="21">
        <f t="shared" si="6"/>
        <v>74.026180040415468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195.02</v>
      </c>
      <c r="BB53" s="12">
        <f>VLOOKUP(A53,'Données projet'!$A$87:$I$107,9,0)</f>
        <v>9.3712500000000034</v>
      </c>
      <c r="BC53" s="12">
        <f t="array" ref="BC53">INDEX(BB:BB,MIN(IF(ISNUMBER(BB53:BB249),ROW(BB53:BB249),"")))</f>
        <v>9.3712500000000034</v>
      </c>
      <c r="BD53" s="12">
        <f>IF('Données projet'!$A$88&gt;35,BD52+BC53-BL52,IF(A53&lt;'Données projet'!$A$88,$BA$205^A53,IF(A53='Données projet'!$A$88,'Données projet'!$B$88,BD52+BC53-BL52)))</f>
        <v>195.02000000000012</v>
      </c>
      <c r="BE53" s="13">
        <f>BD53*VLOOKUP('Données projet'!$B$11,Paramètres!$A$1:$I$89,3,0)*VLOOKUP('Données projet'!$B$11,Paramètres!$A$1:$I$89,5,0)</f>
        <v>176.45409600000011</v>
      </c>
      <c r="BF53" s="13">
        <f t="shared" si="37"/>
        <v>44.532376676436577</v>
      </c>
      <c r="BG53" s="20">
        <f t="shared" si="7"/>
        <v>384.88477324479385</v>
      </c>
      <c r="BH53" s="59">
        <f t="shared" si="8"/>
        <v>640.00575477426401</v>
      </c>
      <c r="BI53" s="59">
        <f ca="1">AVERAGE(OFFSET($BH$3,0,0,'Données projet'!$E$11+1,1))-AVERAGE(OFFSET($H$3,0,0,'Données projet'!$E$11+1,1))</f>
        <v>627.65081154031589</v>
      </c>
      <c r="BJ53" s="59">
        <f t="shared" si="38"/>
        <v>288.78083487077618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8.6000000000000007E-2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6.2328921337587886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6.2328921337587886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195.02</v>
      </c>
      <c r="BW53" s="12">
        <f>VLOOKUP(A53,'Données projet'!$A$113:$I$133,9,0)</f>
        <v>9.3712500000000034</v>
      </c>
      <c r="BX53" s="12">
        <f t="array" ref="BX53">INDEX(BW:BW,MIN(IF(ISNUMBER(BW53:BW249),ROW(BW53:BW249),"")))</f>
        <v>9.3712500000000034</v>
      </c>
      <c r="BY53" s="12">
        <f>IF('Données projet'!$A$114&gt;35,BY52+BX53-CG52,IF(A53&lt;'Données projet'!$A$114,$BV$205^A53,IF(A53='Données projet'!$A$114,'Données projet'!$B$114,BY52+BX53-CG52)))</f>
        <v>195.02000000000012</v>
      </c>
      <c r="BZ53" s="13">
        <f>BY53*VLOOKUP('Données projet'!$B$12,Paramètres!$A$1:$I$89,3,0)*VLOOKUP('Données projet'!$B$12,Paramètres!$A$1:$I$89,5,0)</f>
        <v>197.75028000000015</v>
      </c>
      <c r="CA53" s="13">
        <f t="shared" si="39"/>
        <v>49.24942231714175</v>
      </c>
      <c r="CB53" s="20">
        <f t="shared" si="10"/>
        <v>430.19114820235546</v>
      </c>
      <c r="CC53" s="59">
        <f t="shared" si="11"/>
        <v>685.31212973182551</v>
      </c>
      <c r="CD53" s="59">
        <f ca="1">AVERAGE(OFFSET($CC$3,0,0,'Données projet'!$E$12+1,1))-AVERAGE(OFFSET($H$3,0,0,'Données projet'!$E$12+1,1))</f>
        <v>692.2706942067415</v>
      </c>
      <c r="CE53" s="59">
        <f t="shared" si="40"/>
        <v>316.17529091924803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8.6000000000000007E-2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6.9851377361089888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6.9851377361089888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187</v>
      </c>
      <c r="CR53" s="12">
        <f>VLOOKUP(A53,'Données projet'!$A$139:$I$159,9,0)</f>
        <v>8.6</v>
      </c>
      <c r="CS53" s="12">
        <f t="array" ref="CS53">INDEX(CR:CR,MIN(IF(ISNUMBER(CR53:CR249),ROW(CR53:CR249),"")))</f>
        <v>8.6</v>
      </c>
      <c r="CT53" s="12">
        <f>IF('Données projet'!$A$140&gt;35,CT52+CS53-DB52,IF(A53&lt;'Données projet'!$A$140,$CQ$205^A53,IF(A53='Données projet'!$A$140,'Données projet'!$B$140,CT52+CS53-DB52)))</f>
        <v>187</v>
      </c>
      <c r="CU53" s="17">
        <f>CT53*VLOOKUP('Données projet'!$B$13,Paramètres!$A$1:$I$89,3,0)*VLOOKUP('Données projet'!$B$13,Paramètres!$A$1:$I$89,5,0)</f>
        <v>177.94919999999999</v>
      </c>
      <c r="CV53" s="13">
        <f t="shared" si="41"/>
        <v>44.865617113963758</v>
      </c>
      <c r="CW53" s="20">
        <f t="shared" si="13"/>
        <v>388.0691398068202</v>
      </c>
      <c r="CX53" s="59">
        <f t="shared" si="14"/>
        <v>643.1901213362903</v>
      </c>
      <c r="CY53" s="59">
        <f ca="1">AVERAGE(OFFSET($CX$3,0,0,'Données projet'!$E$13+1,1))-AVERAGE(OFFSET($H$3,0,0,'Données projet'!$E$13+1,1))</f>
        <v>424.5933338095914</v>
      </c>
      <c r="CZ53" s="59">
        <f t="shared" si="42"/>
        <v>159.28977188196134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23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7.6476536703032698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7.6476536703032698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>
        <f>DO53*VLOOKUP('Données projet'!$B$14,Paramètres!$A$1:$I$89,3,0)*VLOOKUP('Données projet'!$B$14,Paramètres!$A$1:$I$89,5,0)</f>
        <v>0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-18.333333333333343</v>
      </c>
      <c r="DU53" s="59">
        <f t="shared" si="44"/>
        <v>-18.333333333333343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>
        <f>EJ53*VLOOKUP('Données projet'!$B$15,Paramètres!$A$1:$I$89,3,0)*VLOOKUP('Données projet'!$B$15,Paramètres!$A$1:$I$89,5,0)</f>
        <v>0</v>
      </c>
      <c r="EL53" s="13" t="e">
        <f t="shared" si="45"/>
        <v>#NUM!</v>
      </c>
      <c r="EM53" s="20" t="e">
        <f t="shared" si="19"/>
        <v>#NUM!</v>
      </c>
      <c r="EN53" s="59" t="e">
        <f t="shared" si="20"/>
        <v>#NUM!</v>
      </c>
      <c r="EO53" s="59">
        <f ca="1">AVERAGE(OFFSET($EN$3,0,0,'Données projet'!$E$15+1,1))-AVERAGE(OFFSET($H$3,0,0,'Données projet'!$E$15+1,1))</f>
        <v>-18.333333333333343</v>
      </c>
      <c r="EP53" s="59">
        <f t="shared" si="46"/>
        <v>-18.333333333333343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195.02</v>
      </c>
      <c r="FC53" s="12">
        <f>VLOOKUP(A53,'Données projet'!$A$217:$I$237,9,0)</f>
        <v>9.3712500000000034</v>
      </c>
      <c r="FD53" s="12">
        <f t="array" ref="FD53">INDEX(FC:FC,MIN(IF(ISNUMBER(FC53:FC249),ROW(FC53:FC249),"")))</f>
        <v>9.3712500000000034</v>
      </c>
      <c r="FE53" s="12">
        <f>IF('Données projet'!$A$218&gt;35,FE52+FD53-FM52,IF(A53&lt;'Données projet'!$A$218,$FB$205^A53,IF(A53='Données projet'!$A$218,'Données projet'!$B$218,FE52+FD53-FM52)))</f>
        <v>195.02000000000012</v>
      </c>
      <c r="FF53" s="17">
        <f>FE53*VLOOKUP('Données projet'!$B$16,Paramètres!$A$1:$I$89,3,0)*VLOOKUP('Données projet'!$B$16,Paramètres!$A$1:$I$89,5,0)</f>
        <v>188.62334400000012</v>
      </c>
      <c r="FG53" s="13">
        <f t="shared" si="47"/>
        <v>47.235465062657511</v>
      </c>
      <c r="FH53" s="20">
        <f t="shared" si="22"/>
        <v>410.78742578412863</v>
      </c>
      <c r="FI53" s="59">
        <f t="shared" si="23"/>
        <v>665.90840731359867</v>
      </c>
      <c r="FJ53" s="59">
        <f ca="1">AVERAGE(OFFSET($FI$3,0,0,'Données projet'!$E$16+1,1))-AVERAGE(OFFSET($H$3,0,0,'Données projet'!$E$16+1,1))</f>
        <v>664.59451650228573</v>
      </c>
      <c r="FK53" s="59">
        <f t="shared" si="48"/>
        <v>304.44325029106631</v>
      </c>
      <c r="FL53" s="15">
        <f>IF(ISNA(VLOOKUP(A53,'Données projet'!$A$217:$I$237,3,0)),0,VLOOKUP(A53,'Données projet'!$A$217:$I$237,3,0))</f>
        <v>2</v>
      </c>
      <c r="FM53" s="15">
        <f>IF(ISNA(VLOOKUP(A53,'Données projet'!$A$217:$I$237,4,0)),0,VLOOKUP(A53,'Données projet'!$A$217:$I$237,4,0))</f>
        <v>35.58</v>
      </c>
      <c r="FN53" s="16">
        <f>IF(ISNA(VLOOKUP(A53,'Données projet'!$A$217:$I$237,5,0)),0%,VLOOKUP(A53,'Données projet'!$A$217:$I$237,5,0)*VLOOKUP('Données projet'!$B$16,Paramètres!$A$1:$I$89,7,0))</f>
        <v>8.6000000000000007E-2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6.662746763673189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6.662746763673189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17.857000000000006</v>
      </c>
      <c r="N54" s="13">
        <f>IF('Données projet'!$A$36&gt;35,N53+M54-V53,IF(A54&lt;'Données projet'!$A$36,$K$205^A54,IF(A54='Données projet'!$A$36,'Données projet'!$B$36,N53+M54-V53)))</f>
        <v>462.41500000000002</v>
      </c>
      <c r="O54" s="13">
        <f>N54*VLOOKUP('Données projet'!$B$9,Paramètres!$A$1:$I$89,3,0)*VLOOKUP('Données projet'!$B$9,Paramètres!$A$1:$I$89,5,0)</f>
        <v>276.52417000000003</v>
      </c>
      <c r="P54" s="13">
        <f t="shared" si="33"/>
        <v>66.231932926439853</v>
      </c>
      <c r="Q54" s="20">
        <f t="shared" si="53"/>
        <v>596.96687926354946</v>
      </c>
      <c r="R54" s="59">
        <f t="shared" si="0"/>
        <v>852.75075966679628</v>
      </c>
      <c r="S54" s="59">
        <f ca="1">AVERAGE(OFFSET($R$3,0,0,'Données projet'!$E$9+1,1))-AVERAGE(OFFSET($H$3,0,0,'Données projet'!$E$9+1,1))</f>
        <v>460.88622650237176</v>
      </c>
      <c r="T54" s="59">
        <f t="shared" si="34"/>
        <v>396.05161661639647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44.216165781623211</v>
      </c>
      <c r="AA54" s="21">
        <f>EXP(-LN(2)/25)*AA53+(1-EXP(-LN(2)/25))/(LN(2)/25)*Calculateur!V54*Calculateur!X54*VLOOKUP('Données projet'!$B$9,Paramètres!$A$1:$I$89,3,0)*0.475*44/12</f>
        <v>16.733573371948356</v>
      </c>
      <c r="AB54" s="21">
        <f>EXP(-LN(2)/2)*AB53+(1-EXP(-LN(2)/2))/(LN(2)/2)*V54*Y54*VLOOKUP('Données projet'!$B$9,Paramètres!$A$1:$I$89,3,0)*0.475*44/12</f>
        <v>1.5088231813383766</v>
      </c>
      <c r="AC54" s="22">
        <f t="shared" si="3"/>
        <v>62.458562334909949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16.944285714285709</v>
      </c>
      <c r="AI54" s="13">
        <f>IF('Données projet'!$A$62&gt;35,AI53+AH54-AQ53,IF(A54&lt;'Données projet'!$A$62,$AF$205^A54,IF(A54='Données projet'!$A$62,'Données projet'!$B$62,AI53+AH54-AQ53)))</f>
        <v>294.98857142857139</v>
      </c>
      <c r="AJ54" s="13">
        <f>AI54*VLOOKUP('Données projet'!$B$10,Paramètres!$A$1:$I$89,3,0)*VLOOKUP('Données projet'!$B$10,Paramètres!$A$1:$I$89,5,0)</f>
        <v>138.05465142857142</v>
      </c>
      <c r="AK54" s="13">
        <f t="shared" si="35"/>
        <v>35.850991174438484</v>
      </c>
      <c r="AL54" s="20">
        <f t="shared" si="4"/>
        <v>302.88566086690889</v>
      </c>
      <c r="AM54" s="59">
        <f t="shared" si="5"/>
        <v>558.66954127015572</v>
      </c>
      <c r="AN54" s="59">
        <f ca="1">AVERAGE(OFFSET($AM$3,0,0,'Données projet'!$E$10+1,1))-AVERAGE(OFFSET($H$3,0,0,'Données projet'!$E$10+1,1))</f>
        <v>387.50901594883317</v>
      </c>
      <c r="AO54" s="59">
        <f t="shared" si="36"/>
        <v>361.3623790401972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37.280566124683013</v>
      </c>
      <c r="AV54" s="21">
        <f>EXP(-LN(2)/25)*AV53+(1-EXP(-LN(2)/25))/(LN(2)/25)*Calculateur!AQ54*Calculateur!AS54*VLOOKUP('Données projet'!$B$10,Paramètres!$A$1:$I$89,3,0)*0.475*44/12</f>
        <v>25.457482577758444</v>
      </c>
      <c r="AW54" s="21">
        <f>EXP(-LN(2)/2)*AW53+(1-EXP(-LN(2)/2))/(LN(2)/2)*AQ54*AT54*VLOOKUP('Données projet'!$B$10,Paramètres!$A$1:$I$89,3,0)*0.475*44/12</f>
        <v>6.9485635158005232</v>
      </c>
      <c r="AX54" s="21">
        <f t="shared" si="6"/>
        <v>69.68661221824199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9.5537500000000009</v>
      </c>
      <c r="BD54" s="12">
        <f>IF('Données projet'!$A$88&gt;35,BD53+BC54-BL53,IF(A54&lt;'Données projet'!$A$88,$BA$205^A54,IF(A54='Données projet'!$A$88,'Données projet'!$B$88,BD53+BC54-BL53)))</f>
        <v>168.99375000000015</v>
      </c>
      <c r="BE54" s="13">
        <f>BD54*VLOOKUP('Données projet'!$B$11,Paramètres!$A$1:$I$89,3,0)*VLOOKUP('Données projet'!$B$11,Paramètres!$A$1:$I$89,5,0)</f>
        <v>152.90554500000013</v>
      </c>
      <c r="BF54" s="13">
        <f t="shared" si="37"/>
        <v>39.238142074568863</v>
      </c>
      <c r="BG54" s="20">
        <f t="shared" si="7"/>
        <v>334.65025498820768</v>
      </c>
      <c r="BH54" s="59">
        <f t="shared" si="8"/>
        <v>590.43413539145445</v>
      </c>
      <c r="BI54" s="59">
        <f ca="1">AVERAGE(OFFSET($BH$3,0,0,'Données projet'!$E$11+1,1))-AVERAGE(OFFSET($H$3,0,0,'Données projet'!$E$11+1,1))</f>
        <v>627.65081154031589</v>
      </c>
      <c r="BJ54" s="59">
        <f t="shared" si="38"/>
        <v>288.78083487077618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6.1106689207045948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6.1106689207045948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9.5537500000000009</v>
      </c>
      <c r="BY54" s="12">
        <f>IF('Données projet'!$A$114&gt;35,BY53+BX54-CG53,IF(A54&lt;'Données projet'!$A$114,$BV$205^A54,IF(A54='Données projet'!$A$114,'Données projet'!$B$114,BY53+BX54-CG53)))</f>
        <v>168.99375000000015</v>
      </c>
      <c r="BZ54" s="13">
        <f>BY54*VLOOKUP('Données projet'!$B$12,Paramètres!$A$1:$I$89,3,0)*VLOOKUP('Données projet'!$B$12,Paramètres!$A$1:$I$89,5,0)</f>
        <v>171.35966250000016</v>
      </c>
      <c r="CA54" s="13">
        <f t="shared" si="39"/>
        <v>43.39440142643388</v>
      </c>
      <c r="CB54" s="20">
        <f t="shared" si="10"/>
        <v>374.0299946718726</v>
      </c>
      <c r="CC54" s="59">
        <f t="shared" si="11"/>
        <v>629.81387507511943</v>
      </c>
      <c r="CD54" s="59">
        <f ca="1">AVERAGE(OFFSET($CC$3,0,0,'Données projet'!$E$12+1,1))-AVERAGE(OFFSET($H$3,0,0,'Données projet'!$E$12+1,1))</f>
        <v>692.2706942067415</v>
      </c>
      <c r="CE54" s="59">
        <f t="shared" si="40"/>
        <v>316.17529091924803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6.84816344561722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6.84816344561722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</v>
      </c>
      <c r="CT54" s="12">
        <f>IF('Données projet'!$A$140&gt;35,CT53+CS54-DB53,IF(A54&lt;'Données projet'!$A$140,$CQ$205^A54,IF(A54='Données projet'!$A$140,'Données projet'!$B$140,CT53+CS54-DB53)))</f>
        <v>172</v>
      </c>
      <c r="CU54" s="17">
        <f>CT54*VLOOKUP('Données projet'!$B$13,Paramètres!$A$1:$I$89,3,0)*VLOOKUP('Données projet'!$B$13,Paramètres!$A$1:$I$89,5,0)</f>
        <v>163.67520000000002</v>
      </c>
      <c r="CV54" s="13">
        <f t="shared" si="41"/>
        <v>41.670368197291587</v>
      </c>
      <c r="CW54" s="20">
        <f t="shared" si="13"/>
        <v>357.64353127694955</v>
      </c>
      <c r="CX54" s="59">
        <f t="shared" si="14"/>
        <v>613.42741168019643</v>
      </c>
      <c r="CY54" s="59">
        <f ca="1">AVERAGE(OFFSET($CX$3,0,0,'Données projet'!$E$13+1,1))-AVERAGE(OFFSET($H$3,0,0,'Données projet'!$E$13+1,1))</f>
        <v>424.5933338095914</v>
      </c>
      <c r="CZ54" s="59">
        <f t="shared" si="42"/>
        <v>159.28977188196134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7.4976878464367696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7.4976878464367696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-18.333333333333343</v>
      </c>
      <c r="DU54" s="59">
        <f t="shared" si="44"/>
        <v>-18.333333333333343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>
        <f>EJ54*VLOOKUP('Données projet'!$B$15,Paramètres!$A$1:$I$89,3,0)*VLOOKUP('Données projet'!$B$15,Paramètres!$A$1:$I$89,5,0)</f>
        <v>0</v>
      </c>
      <c r="EL54" s="13" t="e">
        <f t="shared" si="45"/>
        <v>#NUM!</v>
      </c>
      <c r="EM54" s="20" t="e">
        <f t="shared" si="19"/>
        <v>#NUM!</v>
      </c>
      <c r="EN54" s="59" t="e">
        <f t="shared" si="20"/>
        <v>#NUM!</v>
      </c>
      <c r="EO54" s="59">
        <f ca="1">AVERAGE(OFFSET($EN$3,0,0,'Données projet'!$E$15+1,1))-AVERAGE(OFFSET($H$3,0,0,'Données projet'!$E$15+1,1))</f>
        <v>-18.333333333333343</v>
      </c>
      <c r="EP54" s="59">
        <f t="shared" si="46"/>
        <v>-18.333333333333343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9.5537500000000009</v>
      </c>
      <c r="FE54" s="12">
        <f>IF('Données projet'!$A$218&gt;35,FE53+FD54-FM53,IF(A54&lt;'Données projet'!$A$218,$FB$205^A54,IF(A54='Données projet'!$A$218,'Données projet'!$B$218,FE53+FD54-FM53)))</f>
        <v>168.99375000000015</v>
      </c>
      <c r="FF54" s="17">
        <f>FE54*VLOOKUP('Données projet'!$B$16,Paramètres!$A$1:$I$89,3,0)*VLOOKUP('Données projet'!$B$16,Paramètres!$A$1:$I$89,5,0)</f>
        <v>163.45075500000016</v>
      </c>
      <c r="FG54" s="13">
        <f t="shared" si="47"/>
        <v>41.619873615853834</v>
      </c>
      <c r="FH54" s="20">
        <f t="shared" si="22"/>
        <v>357.16467817261235</v>
      </c>
      <c r="FI54" s="59">
        <f t="shared" si="23"/>
        <v>612.94855857585912</v>
      </c>
      <c r="FJ54" s="59">
        <f ca="1">AVERAGE(OFFSET($FI$3,0,0,'Données projet'!$E$16+1,1))-AVERAGE(OFFSET($H$3,0,0,'Données projet'!$E$16+1,1))</f>
        <v>664.59451650228573</v>
      </c>
      <c r="FK54" s="59">
        <f t="shared" si="48"/>
        <v>304.44325029106631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6.5320943635118089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6.5320943635118089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17.857000000000006</v>
      </c>
      <c r="N55" s="13">
        <f>IF('Données projet'!$A$36&gt;35,N54+M55-V54,IF(A55&lt;'Données projet'!$A$36,$K$205^A55,IF(A55='Données projet'!$A$36,'Données projet'!$B$36,N54+M55-V54)))</f>
        <v>480.27200000000005</v>
      </c>
      <c r="O55" s="13">
        <f>N55*VLOOKUP('Données projet'!$B$9,Paramètres!$A$1:$I$89,3,0)*VLOOKUP('Données projet'!$B$9,Paramètres!$A$1:$I$89,5,0)</f>
        <v>287.20265600000005</v>
      </c>
      <c r="P55" s="13">
        <f t="shared" si="33"/>
        <v>68.486879853887146</v>
      </c>
      <c r="Q55" s="20">
        <f t="shared" si="53"/>
        <v>619.49260827885348</v>
      </c>
      <c r="R55" s="59">
        <f t="shared" si="0"/>
        <v>875.92788774243684</v>
      </c>
      <c r="S55" s="59">
        <f ca="1">AVERAGE(OFFSET($R$3,0,0,'Données projet'!$E$9+1,1))-AVERAGE(OFFSET($H$3,0,0,'Données projet'!$E$9+1,1))</f>
        <v>460.88622650237176</v>
      </c>
      <c r="T55" s="59">
        <f t="shared" si="34"/>
        <v>396.05161661639647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43.349113739843716</v>
      </c>
      <c r="AA55" s="21">
        <f>EXP(-LN(2)/25)*AA54+(1-EXP(-LN(2)/25))/(LN(2)/25)*Calculateur!V55*Calculateur!X55*VLOOKUP('Données projet'!$B$9,Paramètres!$A$1:$I$89,3,0)*0.475*44/12</f>
        <v>16.27599292811205</v>
      </c>
      <c r="AB55" s="21">
        <f>EXP(-LN(2)/2)*AB54+(1-EXP(-LN(2)/2))/(LN(2)/2)*V55*Y55*VLOOKUP('Données projet'!$B$9,Paramètres!$A$1:$I$89,3,0)*0.475*44/12</f>
        <v>1.0668991031358259</v>
      </c>
      <c r="AC55" s="22">
        <f t="shared" si="3"/>
        <v>60.692005771091587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16.944285714285709</v>
      </c>
      <c r="AI55" s="13">
        <f>IF('Données projet'!$A$62&gt;35,AI54+AH55-AQ54,IF(A55&lt;'Données projet'!$A$62,$AF$205^A55,IF(A55='Données projet'!$A$62,'Données projet'!$B$62,AI54+AH55-AQ54)))</f>
        <v>311.93285714285707</v>
      </c>
      <c r="AJ55" s="13">
        <f>AI55*VLOOKUP('Données projet'!$B$10,Paramètres!$A$1:$I$89,3,0)*VLOOKUP('Données projet'!$B$10,Paramètres!$A$1:$I$89,5,0)</f>
        <v>145.98457714285712</v>
      </c>
      <c r="AK55" s="13">
        <f t="shared" si="35"/>
        <v>37.664630310684146</v>
      </c>
      <c r="AL55" s="20">
        <f t="shared" si="4"/>
        <v>319.85570298158433</v>
      </c>
      <c r="AM55" s="59">
        <f t="shared" si="5"/>
        <v>576.29098244516763</v>
      </c>
      <c r="AN55" s="59">
        <f ca="1">AVERAGE(OFFSET($AM$3,0,0,'Données projet'!$E$10+1,1))-AVERAGE(OFFSET($H$3,0,0,'Données projet'!$E$10+1,1))</f>
        <v>387.50901594883317</v>
      </c>
      <c r="AO55" s="59">
        <f t="shared" si="36"/>
        <v>361.3623790401972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36.549516961878034</v>
      </c>
      <c r="AV55" s="21">
        <f>EXP(-LN(2)/25)*AV54+(1-EXP(-LN(2)/25))/(LN(2)/25)*Calculateur!AQ55*Calculateur!AS55*VLOOKUP('Données projet'!$B$10,Paramètres!$A$1:$I$89,3,0)*0.475*44/12</f>
        <v>24.761346377918816</v>
      </c>
      <c r="AW55" s="21">
        <f>EXP(-LN(2)/2)*AW54+(1-EXP(-LN(2)/2))/(LN(2)/2)*AQ55*AT55*VLOOKUP('Données projet'!$B$10,Paramètres!$A$1:$I$89,3,0)*0.475*44/12</f>
        <v>4.9133763815279883</v>
      </c>
      <c r="AX55" s="21">
        <f t="shared" si="6"/>
        <v>66.224239721324835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9.5537500000000009</v>
      </c>
      <c r="BD55" s="12">
        <f>IF('Données projet'!$A$88&gt;35,BD54+BC55-BL54,IF(A55&lt;'Données projet'!$A$88,$BA$205^A55,IF(A55='Données projet'!$A$88,'Données projet'!$B$88,BD54+BC55-BL54)))</f>
        <v>178.54750000000016</v>
      </c>
      <c r="BE55" s="13">
        <f>BD55*VLOOKUP('Données projet'!$B$11,Paramètres!$A$1:$I$89,3,0)*VLOOKUP('Données projet'!$B$11,Paramètres!$A$1:$I$89,5,0)</f>
        <v>161.54977800000012</v>
      </c>
      <c r="BF55" s="13">
        <f t="shared" si="37"/>
        <v>41.191875810979205</v>
      </c>
      <c r="BG55" s="20">
        <f t="shared" si="7"/>
        <v>353.10838038745561</v>
      </c>
      <c r="BH55" s="59">
        <f t="shared" si="8"/>
        <v>609.54365985103891</v>
      </c>
      <c r="BI55" s="59">
        <f ca="1">AVERAGE(OFFSET($BH$3,0,0,'Données projet'!$E$11+1,1))-AVERAGE(OFFSET($H$3,0,0,'Données projet'!$E$11+1,1))</f>
        <v>627.65081154031589</v>
      </c>
      <c r="BJ55" s="59">
        <f t="shared" si="38"/>
        <v>288.78083487077618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5.9908424303095948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5.9908424303095948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9.5537500000000009</v>
      </c>
      <c r="BY55" s="12">
        <f>IF('Données projet'!$A$114&gt;35,BY54+BX55-CG54,IF(A55&lt;'Données projet'!$A$114,$BV$205^A55,IF(A55='Données projet'!$A$114,'Données projet'!$B$114,BY54+BX55-CG54)))</f>
        <v>178.54750000000016</v>
      </c>
      <c r="BZ55" s="13">
        <f>BY55*VLOOKUP('Données projet'!$B$12,Paramètres!$A$1:$I$89,3,0)*VLOOKUP('Données projet'!$B$12,Paramètres!$A$1:$I$89,5,0)</f>
        <v>181.04716500000015</v>
      </c>
      <c r="CA55" s="13">
        <f t="shared" si="39"/>
        <v>45.55508237501288</v>
      </c>
      <c r="CB55" s="20">
        <f t="shared" si="10"/>
        <v>394.66558084481431</v>
      </c>
      <c r="CC55" s="59">
        <f t="shared" si="11"/>
        <v>651.10086030839761</v>
      </c>
      <c r="CD55" s="59">
        <f ca="1">AVERAGE(OFFSET($CC$3,0,0,'Données projet'!$E$12+1,1))-AVERAGE(OFFSET($H$3,0,0,'Données projet'!$E$12+1,1))</f>
        <v>692.2706942067415</v>
      </c>
      <c r="CE55" s="59">
        <f t="shared" si="40"/>
        <v>316.17529091924803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6.7138751374159265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6.7138751374159265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</v>
      </c>
      <c r="CT55" s="12">
        <f>IF('Données projet'!$A$140&gt;35,CT54+CS55-DB54,IF(A55&lt;'Données projet'!$A$140,$CQ$205^A55,IF(A55='Données projet'!$A$140,'Données projet'!$B$140,CT54+CS55-DB54)))</f>
        <v>180</v>
      </c>
      <c r="CU55" s="17">
        <f>CT55*VLOOKUP('Données projet'!$B$13,Paramètres!$A$1:$I$89,3,0)*VLOOKUP('Données projet'!$B$13,Paramètres!$A$1:$I$89,5,0)</f>
        <v>171.28800000000001</v>
      </c>
      <c r="CV55" s="13">
        <f t="shared" si="41"/>
        <v>43.37836589572138</v>
      </c>
      <c r="CW55" s="20">
        <f t="shared" si="13"/>
        <v>373.87725393504803</v>
      </c>
      <c r="CX55" s="59">
        <f t="shared" si="14"/>
        <v>630.31253339863133</v>
      </c>
      <c r="CY55" s="59">
        <f ca="1">AVERAGE(OFFSET($CX$3,0,0,'Données projet'!$E$13+1,1))-AVERAGE(OFFSET($H$3,0,0,'Données projet'!$E$13+1,1))</f>
        <v>424.5933338095914</v>
      </c>
      <c r="CZ55" s="59">
        <f t="shared" si="42"/>
        <v>159.28977188196134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7.3506627609061708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7.3506627609061708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-18.333333333333343</v>
      </c>
      <c r="DU55" s="59">
        <f t="shared" si="44"/>
        <v>-18.333333333333343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>
        <f>EJ55*VLOOKUP('Données projet'!$B$15,Paramètres!$A$1:$I$89,3,0)*VLOOKUP('Données projet'!$B$15,Paramètres!$A$1:$I$89,5,0)</f>
        <v>0</v>
      </c>
      <c r="EL55" s="13" t="e">
        <f t="shared" si="45"/>
        <v>#NUM!</v>
      </c>
      <c r="EM55" s="20" t="e">
        <f t="shared" si="19"/>
        <v>#NUM!</v>
      </c>
      <c r="EN55" s="59" t="e">
        <f t="shared" si="20"/>
        <v>#NUM!</v>
      </c>
      <c r="EO55" s="59">
        <f ca="1">AVERAGE(OFFSET($EN$3,0,0,'Données projet'!$E$15+1,1))-AVERAGE(OFFSET($H$3,0,0,'Données projet'!$E$15+1,1))</f>
        <v>-18.333333333333343</v>
      </c>
      <c r="EP55" s="59">
        <f t="shared" si="46"/>
        <v>-18.333333333333343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9.5537500000000009</v>
      </c>
      <c r="FE55" s="12">
        <f>IF('Données projet'!$A$218&gt;35,FE54+FD55-FM54,IF(A55&lt;'Données projet'!$A$218,$FB$205^A55,IF(A55='Données projet'!$A$218,'Données projet'!$B$218,FE54+FD55-FM54)))</f>
        <v>178.54750000000016</v>
      </c>
      <c r="FF55" s="17">
        <f>FE55*VLOOKUP('Données projet'!$B$16,Paramètres!$A$1:$I$89,3,0)*VLOOKUP('Données projet'!$B$16,Paramètres!$A$1:$I$89,5,0)</f>
        <v>172.69114200000016</v>
      </c>
      <c r="FG55" s="13">
        <f t="shared" si="47"/>
        <v>43.69219781086543</v>
      </c>
      <c r="FH55" s="20">
        <f t="shared" si="22"/>
        <v>376.86765017059088</v>
      </c>
      <c r="FI55" s="59">
        <f t="shared" si="23"/>
        <v>633.30292963417423</v>
      </c>
      <c r="FJ55" s="59">
        <f ca="1">AVERAGE(OFFSET($FI$3,0,0,'Données projet'!$E$16+1,1))-AVERAGE(OFFSET($H$3,0,0,'Données projet'!$E$16+1,1))</f>
        <v>664.59451650228573</v>
      </c>
      <c r="FK55" s="59">
        <f t="shared" si="48"/>
        <v>304.44325029106631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6.4040039772274984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6.4040039772274984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17.857000000000006</v>
      </c>
      <c r="N56" s="13">
        <f>IF('Données projet'!$A$36&gt;35,N55+M56-V55,IF(A56&lt;'Données projet'!$A$36,$K$205^A56,IF(A56='Données projet'!$A$36,'Données projet'!$B$36,N55+M56-V55)))</f>
        <v>498.12900000000008</v>
      </c>
      <c r="O56" s="13">
        <f>N56*VLOOKUP('Données projet'!$B$9,Paramètres!$A$1:$I$89,3,0)*VLOOKUP('Données projet'!$B$9,Paramètres!$A$1:$I$89,5,0)</f>
        <v>297.88114200000007</v>
      </c>
      <c r="P56" s="13">
        <f t="shared" si="33"/>
        <v>70.732086381240663</v>
      </c>
      <c r="Q56" s="20">
        <f t="shared" si="53"/>
        <v>642.00137276399425</v>
      </c>
      <c r="R56" s="59">
        <f t="shared" si="0"/>
        <v>899.07675097052743</v>
      </c>
      <c r="S56" s="59">
        <f ca="1">AVERAGE(OFFSET($R$3,0,0,'Données projet'!$E$9+1,1))-AVERAGE(OFFSET($H$3,0,0,'Données projet'!$E$9+1,1))</f>
        <v>460.88622650237176</v>
      </c>
      <c r="T56" s="59">
        <f t="shared" si="34"/>
        <v>396.05161661639647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42.499064059753998</v>
      </c>
      <c r="AA56" s="21">
        <f>EXP(-LN(2)/25)*AA55+(1-EXP(-LN(2)/25))/(LN(2)/25)*Calculateur!V56*Calculateur!X56*VLOOKUP('Données projet'!$B$9,Paramètres!$A$1:$I$89,3,0)*0.475*44/12</f>
        <v>15.830925045575556</v>
      </c>
      <c r="AB56" s="21">
        <f>EXP(-LN(2)/2)*AB55+(1-EXP(-LN(2)/2))/(LN(2)/2)*V56*Y56*VLOOKUP('Données projet'!$B$9,Paramètres!$A$1:$I$89,3,0)*0.475*44/12</f>
        <v>0.75441159066918828</v>
      </c>
      <c r="AC56" s="22">
        <f t="shared" si="3"/>
        <v>59.084400695998738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16.944285714285709</v>
      </c>
      <c r="AI56" s="13">
        <f>IF('Données projet'!$A$62&gt;35,AI55+AH56-AQ55,IF(A56&lt;'Données projet'!$A$62,$AF$205^A56,IF(A56='Données projet'!$A$62,'Données projet'!$B$62,AI55+AH56-AQ55)))</f>
        <v>328.87714285714276</v>
      </c>
      <c r="AJ56" s="13">
        <f>AI56*VLOOKUP('Données projet'!$B$10,Paramètres!$A$1:$I$89,3,0)*VLOOKUP('Données projet'!$B$10,Paramètres!$A$1:$I$89,5,0)</f>
        <v>153.91450285714282</v>
      </c>
      <c r="AK56" s="13">
        <f t="shared" si="35"/>
        <v>39.46683225936065</v>
      </c>
      <c r="AL56" s="20">
        <f t="shared" si="4"/>
        <v>336.80582532791021</v>
      </c>
      <c r="AM56" s="59">
        <f t="shared" si="5"/>
        <v>593.88120353444344</v>
      </c>
      <c r="AN56" s="59">
        <f ca="1">AVERAGE(OFFSET($AM$3,0,0,'Données projet'!$E$10+1,1))-AVERAGE(OFFSET($H$3,0,0,'Données projet'!$E$10+1,1))</f>
        <v>387.50901594883317</v>
      </c>
      <c r="AO56" s="59">
        <f t="shared" si="36"/>
        <v>361.3623790401972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35.832803227259703</v>
      </c>
      <c r="AV56" s="21">
        <f>EXP(-LN(2)/25)*AV55+(1-EXP(-LN(2)/25))/(LN(2)/25)*Calculateur!AQ56*Calculateur!AS56*VLOOKUP('Données projet'!$B$10,Paramètres!$A$1:$I$89,3,0)*0.475*44/12</f>
        <v>24.084246059072012</v>
      </c>
      <c r="AW56" s="21">
        <f>EXP(-LN(2)/2)*AW55+(1-EXP(-LN(2)/2))/(LN(2)/2)*AQ56*AT56*VLOOKUP('Données projet'!$B$10,Paramètres!$A$1:$I$89,3,0)*0.475*44/12</f>
        <v>3.4742817579002621</v>
      </c>
      <c r="AX56" s="21">
        <f t="shared" si="6"/>
        <v>63.391331044231983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9.5537500000000009</v>
      </c>
      <c r="BD56" s="12">
        <f>IF('Données projet'!$A$88&gt;35,BD55+BC56-BL55,IF(A56&lt;'Données projet'!$A$88,$BA$205^A56,IF(A56='Données projet'!$A$88,'Données projet'!$B$88,BD55+BC56-BL55)))</f>
        <v>188.10125000000016</v>
      </c>
      <c r="BE56" s="13">
        <f>BD56*VLOOKUP('Données projet'!$B$11,Paramètres!$A$1:$I$89,3,0)*VLOOKUP('Données projet'!$B$11,Paramètres!$A$1:$I$89,5,0)</f>
        <v>170.19401100000013</v>
      </c>
      <c r="BF56" s="13">
        <f t="shared" si="37"/>
        <v>43.133472710542861</v>
      </c>
      <c r="BG56" s="20">
        <f t="shared" si="7"/>
        <v>371.54536746252899</v>
      </c>
      <c r="BH56" s="59">
        <f t="shared" si="8"/>
        <v>628.62074566906222</v>
      </c>
      <c r="BI56" s="59">
        <f ca="1">AVERAGE(OFFSET($BH$3,0,0,'Données projet'!$E$11+1,1))-AVERAGE(OFFSET($H$3,0,0,'Données projet'!$E$11+1,1))</f>
        <v>627.65081154031589</v>
      </c>
      <c r="BJ56" s="59">
        <f t="shared" si="38"/>
        <v>288.78083487077618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5.8733656643042984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5.8733656643042984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9.5537500000000009</v>
      </c>
      <c r="BY56" s="12">
        <f>IF('Données projet'!$A$114&gt;35,BY55+BX56-CG55,IF(A56&lt;'Données projet'!$A$114,$BV$205^A56,IF(A56='Données projet'!$A$114,'Données projet'!$B$114,BY55+BX56-CG55)))</f>
        <v>188.10125000000016</v>
      </c>
      <c r="BZ56" s="13">
        <f>BY56*VLOOKUP('Données projet'!$B$12,Paramètres!$A$1:$I$89,3,0)*VLOOKUP('Données projet'!$B$12,Paramètres!$A$1:$I$89,5,0)</f>
        <v>190.73466750000017</v>
      </c>
      <c r="CA56" s="13">
        <f t="shared" si="39"/>
        <v>47.70234090493684</v>
      </c>
      <c r="CB56" s="20">
        <f t="shared" si="10"/>
        <v>415.27778963859856</v>
      </c>
      <c r="CC56" s="59">
        <f t="shared" si="11"/>
        <v>672.35316784513179</v>
      </c>
      <c r="CD56" s="59">
        <f ca="1">AVERAGE(OFFSET($CC$3,0,0,'Données projet'!$E$12+1,1))-AVERAGE(OFFSET($H$3,0,0,'Données projet'!$E$12+1,1))</f>
        <v>692.2706942067415</v>
      </c>
      <c r="CE56" s="59">
        <f t="shared" si="40"/>
        <v>316.17529091924803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6.58222014103068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6.58222014103068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</v>
      </c>
      <c r="CT56" s="12">
        <f>IF('Données projet'!$A$140&gt;35,CT55+CS56-DB55,IF(A56&lt;'Données projet'!$A$140,$CQ$205^A56,IF(A56='Données projet'!$A$140,'Données projet'!$B$140,CT55+CS56-DB55)))</f>
        <v>188</v>
      </c>
      <c r="CU56" s="17">
        <f>CT56*VLOOKUP('Données projet'!$B$13,Paramètres!$A$1:$I$89,3,0)*VLOOKUP('Données projet'!$B$13,Paramètres!$A$1:$I$89,5,0)</f>
        <v>178.9008</v>
      </c>
      <c r="CV56" s="13">
        <f t="shared" si="41"/>
        <v>45.077547304318657</v>
      </c>
      <c r="CW56" s="20">
        <f t="shared" si="13"/>
        <v>390.09562155502164</v>
      </c>
      <c r="CX56" s="59">
        <f t="shared" si="14"/>
        <v>647.17099976155487</v>
      </c>
      <c r="CY56" s="59">
        <f ca="1">AVERAGE(OFFSET($CX$3,0,0,'Données projet'!$E$13+1,1))-AVERAGE(OFFSET($H$3,0,0,'Données projet'!$E$13+1,1))</f>
        <v>424.5933338095914</v>
      </c>
      <c r="CZ56" s="59">
        <f t="shared" si="42"/>
        <v>159.28977188196134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7.2065207476263797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7.2065207476263797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-18.333333333333343</v>
      </c>
      <c r="DU56" s="59">
        <f t="shared" si="44"/>
        <v>-18.333333333333343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>
        <f>EJ56*VLOOKUP('Données projet'!$B$15,Paramètres!$A$1:$I$89,3,0)*VLOOKUP('Données projet'!$B$15,Paramètres!$A$1:$I$89,5,0)</f>
        <v>0</v>
      </c>
      <c r="EL56" s="13" t="e">
        <f t="shared" si="45"/>
        <v>#NUM!</v>
      </c>
      <c r="EM56" s="20" t="e">
        <f t="shared" si="19"/>
        <v>#NUM!</v>
      </c>
      <c r="EN56" s="59" t="e">
        <f t="shared" si="20"/>
        <v>#NUM!</v>
      </c>
      <c r="EO56" s="59">
        <f ca="1">AVERAGE(OFFSET($EN$3,0,0,'Données projet'!$E$15+1,1))-AVERAGE(OFFSET($H$3,0,0,'Données projet'!$E$15+1,1))</f>
        <v>-18.333333333333343</v>
      </c>
      <c r="EP56" s="59">
        <f t="shared" si="46"/>
        <v>-18.333333333333343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9.5537500000000009</v>
      </c>
      <c r="FE56" s="12">
        <f>IF('Données projet'!$A$218&gt;35,FE55+FD56-FM55,IF(A56&lt;'Données projet'!$A$218,$FB$205^A56,IF(A56='Données projet'!$A$218,'Données projet'!$B$218,FE55+FD56-FM55)))</f>
        <v>188.10125000000016</v>
      </c>
      <c r="FF56" s="17">
        <f>FE56*VLOOKUP('Données projet'!$B$16,Paramètres!$A$1:$I$89,3,0)*VLOOKUP('Données projet'!$B$16,Paramètres!$A$1:$I$89,5,0)</f>
        <v>181.93152900000015</v>
      </c>
      <c r="FG56" s="13">
        <f t="shared" si="47"/>
        <v>45.751648470358951</v>
      </c>
      <c r="FH56" s="20">
        <f t="shared" si="22"/>
        <v>396.54820076087543</v>
      </c>
      <c r="FI56" s="59">
        <f t="shared" si="23"/>
        <v>653.62357896740866</v>
      </c>
      <c r="FJ56" s="59">
        <f ca="1">AVERAGE(OFFSET($FI$3,0,0,'Données projet'!$E$16+1,1))-AVERAGE(OFFSET($H$3,0,0,'Données projet'!$E$16+1,1))</f>
        <v>664.59451650228573</v>
      </c>
      <c r="FK56" s="59">
        <f t="shared" si="48"/>
        <v>304.44325029106631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6.2784253652908024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6.2784253652908024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17.857000000000006</v>
      </c>
      <c r="N57" s="13">
        <f>IF('Données projet'!$A$36&gt;35,N56+M57-V56,IF(A57&lt;'Données projet'!$A$36,$K$205^A57,IF(A57='Données projet'!$A$36,'Données projet'!$B$36,N56+M57-V56)))</f>
        <v>515.9860000000001</v>
      </c>
      <c r="O57" s="13">
        <f>N57*VLOOKUP('Données projet'!$B$9,Paramètres!$A$1:$I$89,3,0)*VLOOKUP('Données projet'!$B$9,Paramètres!$A$1:$I$89,5,0)</f>
        <v>308.55962800000009</v>
      </c>
      <c r="P57" s="13">
        <f t="shared" si="33"/>
        <v>72.967941685104847</v>
      </c>
      <c r="Q57" s="20">
        <f t="shared" si="53"/>
        <v>664.49385053489107</v>
      </c>
      <c r="R57" s="59">
        <f t="shared" si="0"/>
        <v>922.19822320223034</v>
      </c>
      <c r="S57" s="59">
        <f ca="1">AVERAGE(OFFSET($R$3,0,0,'Données projet'!$E$9+1,1))-AVERAGE(OFFSET($H$3,0,0,'Données projet'!$E$9+1,1))</f>
        <v>460.88622650237176</v>
      </c>
      <c r="T57" s="59">
        <f t="shared" si="34"/>
        <v>396.05161661639647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41.665683335411728</v>
      </c>
      <c r="AA57" s="21">
        <f>EXP(-LN(2)/25)*AA56+(1-EXP(-LN(2)/25))/(LN(2)/25)*Calculateur!V57*Calculateur!X57*VLOOKUP('Données projet'!$B$9,Paramètres!$A$1:$I$89,3,0)*0.475*44/12</f>
        <v>15.398027567692127</v>
      </c>
      <c r="AB57" s="21">
        <f>EXP(-LN(2)/2)*AB56+(1-EXP(-LN(2)/2))/(LN(2)/2)*V57*Y57*VLOOKUP('Données projet'!$B$9,Paramètres!$A$1:$I$89,3,0)*0.475*44/12</f>
        <v>0.53344955156791296</v>
      </c>
      <c r="AC57" s="22">
        <f t="shared" si="3"/>
        <v>57.597160454671766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16.944285714285709</v>
      </c>
      <c r="AI57" s="13">
        <f>IF('Données projet'!$A$62&gt;35,AI56+AH57-AQ56,IF(A57&lt;'Données projet'!$A$62,$AF$205^A57,IF(A57='Données projet'!$A$62,'Données projet'!$B$62,AI56+AH57-AQ56)))</f>
        <v>345.82142857142844</v>
      </c>
      <c r="AJ57" s="13">
        <f>AI57*VLOOKUP('Données projet'!$B$10,Paramètres!$A$1:$I$89,3,0)*VLOOKUP('Données projet'!$B$10,Paramètres!$A$1:$I$89,5,0)</f>
        <v>161.84442857142849</v>
      </c>
      <c r="AK57" s="13">
        <f t="shared" si="35"/>
        <v>41.258253499805392</v>
      </c>
      <c r="AL57" s="20">
        <f t="shared" si="4"/>
        <v>353.7371712740657</v>
      </c>
      <c r="AM57" s="59">
        <f t="shared" si="5"/>
        <v>611.44154394140503</v>
      </c>
      <c r="AN57" s="59">
        <f ca="1">AVERAGE(OFFSET($AM$3,0,0,'Données projet'!$E$10+1,1))-AVERAGE(OFFSET($H$3,0,0,'Données projet'!$E$10+1,1))</f>
        <v>387.50901594883317</v>
      </c>
      <c r="AO57" s="59">
        <f t="shared" si="36"/>
        <v>361.3623790401972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35.130143811825022</v>
      </c>
      <c r="AV57" s="21">
        <f>EXP(-LN(2)/25)*AV56+(1-EXP(-LN(2)/25))/(LN(2)/25)*Calculateur!AQ57*Calculateur!AS57*VLOOKUP('Données projet'!$B$10,Paramètres!$A$1:$I$89,3,0)*0.475*44/12</f>
        <v>23.425661084051232</v>
      </c>
      <c r="AW57" s="21">
        <f>EXP(-LN(2)/2)*AW56+(1-EXP(-LN(2)/2))/(LN(2)/2)*AQ57*AT57*VLOOKUP('Données projet'!$B$10,Paramètres!$A$1:$I$89,3,0)*0.475*44/12</f>
        <v>2.4566881907639946</v>
      </c>
      <c r="AX57" s="21">
        <f t="shared" si="6"/>
        <v>61.012493086640248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9.5537500000000009</v>
      </c>
      <c r="BD57" s="12">
        <f>IF('Données projet'!$A$88&gt;35,BD56+BC57-BL56,IF(A57&lt;'Données projet'!$A$88,$BA$205^A57,IF(A57='Données projet'!$A$88,'Données projet'!$B$88,BD56+BC57-BL56)))</f>
        <v>197.65500000000017</v>
      </c>
      <c r="BE57" s="13">
        <f>BD57*VLOOKUP('Données projet'!$B$11,Paramètres!$A$1:$I$89,3,0)*VLOOKUP('Données projet'!$B$11,Paramètres!$A$1:$I$89,5,0)</f>
        <v>178.83824400000015</v>
      </c>
      <c r="BF57" s="13">
        <f t="shared" si="37"/>
        <v>45.06361953668285</v>
      </c>
      <c r="BG57" s="20">
        <f t="shared" si="7"/>
        <v>389.96241232638954</v>
      </c>
      <c r="BH57" s="59">
        <f t="shared" si="8"/>
        <v>647.66678499372892</v>
      </c>
      <c r="BI57" s="59">
        <f ca="1">AVERAGE(OFFSET($BH$3,0,0,'Données projet'!$E$11+1,1))-AVERAGE(OFFSET($H$3,0,0,'Données projet'!$E$11+1,1))</f>
        <v>627.65081154031589</v>
      </c>
      <c r="BJ57" s="59">
        <f t="shared" si="38"/>
        <v>288.78083487077618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5.7581925460266135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5.7581925460266135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9.5537500000000009</v>
      </c>
      <c r="BY57" s="12">
        <f>IF('Données projet'!$A$114&gt;35,BY56+BX57-CG56,IF(A57&lt;'Données projet'!$A$114,$BV$205^A57,IF(A57='Données projet'!$A$114,'Données projet'!$B$114,BY56+BX57-CG56)))</f>
        <v>197.65500000000017</v>
      </c>
      <c r="BZ57" s="13">
        <f>BY57*VLOOKUP('Données projet'!$B$12,Paramètres!$A$1:$I$89,3,0)*VLOOKUP('Données projet'!$B$12,Paramètres!$A$1:$I$89,5,0)</f>
        <v>200.42217000000019</v>
      </c>
      <c r="CA57" s="13">
        <f t="shared" si="39"/>
        <v>49.83693652432936</v>
      </c>
      <c r="CB57" s="20">
        <f t="shared" si="10"/>
        <v>435.8679438632073</v>
      </c>
      <c r="CC57" s="59">
        <f t="shared" si="11"/>
        <v>693.57231653054669</v>
      </c>
      <c r="CD57" s="59">
        <f ca="1">AVERAGE(OFFSET($CC$3,0,0,'Données projet'!$E$12+1,1))-AVERAGE(OFFSET($H$3,0,0,'Données projet'!$E$12+1,1))</f>
        <v>692.2706942067415</v>
      </c>
      <c r="CE57" s="59">
        <f t="shared" si="40"/>
        <v>316.17529091924803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6.4531468188229297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6.4531468188229297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</v>
      </c>
      <c r="CT57" s="12">
        <f>IF('Données projet'!$A$140&gt;35,CT56+CS57-DB56,IF(A57&lt;'Données projet'!$A$140,$CQ$205^A57,IF(A57='Données projet'!$A$140,'Données projet'!$B$140,CT56+CS57-DB56)))</f>
        <v>196</v>
      </c>
      <c r="CU57" s="17">
        <f>CT57*VLOOKUP('Données projet'!$B$13,Paramètres!$A$1:$I$89,3,0)*VLOOKUP('Données projet'!$B$13,Paramètres!$A$1:$I$89,5,0)</f>
        <v>186.5136</v>
      </c>
      <c r="CV57" s="13">
        <f t="shared" si="41"/>
        <v>46.76833047499894</v>
      </c>
      <c r="CW57" s="20">
        <f t="shared" si="13"/>
        <v>406.29936224395647</v>
      </c>
      <c r="CX57" s="59">
        <f t="shared" si="14"/>
        <v>664.00373491129585</v>
      </c>
      <c r="CY57" s="59">
        <f ca="1">AVERAGE(OFFSET($CX$3,0,0,'Données projet'!$E$13+1,1))-AVERAGE(OFFSET($H$3,0,0,'Données projet'!$E$13+1,1))</f>
        <v>424.5933338095914</v>
      </c>
      <c r="CZ57" s="59">
        <f t="shared" si="42"/>
        <v>159.28977188196134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7.0652052713090585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7.0652052713090585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-18.333333333333343</v>
      </c>
      <c r="DU57" s="59">
        <f t="shared" si="44"/>
        <v>-18.333333333333343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>
        <f>EJ57*VLOOKUP('Données projet'!$B$15,Paramètres!$A$1:$I$89,3,0)*VLOOKUP('Données projet'!$B$15,Paramètres!$A$1:$I$89,5,0)</f>
        <v>0</v>
      </c>
      <c r="EL57" s="13" t="e">
        <f t="shared" si="45"/>
        <v>#NUM!</v>
      </c>
      <c r="EM57" s="20" t="e">
        <f t="shared" si="19"/>
        <v>#NUM!</v>
      </c>
      <c r="EN57" s="59" t="e">
        <f t="shared" si="20"/>
        <v>#NUM!</v>
      </c>
      <c r="EO57" s="59">
        <f ca="1">AVERAGE(OFFSET($EN$3,0,0,'Données projet'!$E$15+1,1))-AVERAGE(OFFSET($H$3,0,0,'Données projet'!$E$15+1,1))</f>
        <v>-18.333333333333343</v>
      </c>
      <c r="EP57" s="59">
        <f t="shared" si="46"/>
        <v>-18.333333333333343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9.5537500000000009</v>
      </c>
      <c r="FE57" s="12">
        <f>IF('Données projet'!$A$218&gt;35,FE56+FD57-FM56,IF(A57&lt;'Données projet'!$A$218,$FB$205^A57,IF(A57='Données projet'!$A$218,'Données projet'!$B$218,FE56+FD57-FM56)))</f>
        <v>197.65500000000017</v>
      </c>
      <c r="FF57" s="17">
        <f>FE57*VLOOKUP('Données projet'!$B$16,Paramètres!$A$1:$I$89,3,0)*VLOOKUP('Données projet'!$B$16,Paramètres!$A$1:$I$89,5,0)</f>
        <v>191.17191600000018</v>
      </c>
      <c r="FG57" s="13">
        <f t="shared" si="47"/>
        <v>47.798954043882908</v>
      </c>
      <c r="FH57" s="20">
        <f t="shared" si="22"/>
        <v>416.20759865976305</v>
      </c>
      <c r="FI57" s="59">
        <f t="shared" si="23"/>
        <v>673.91197132710238</v>
      </c>
      <c r="FJ57" s="59">
        <f ca="1">AVERAGE(OFFSET($FI$3,0,0,'Données projet'!$E$16+1,1))-AVERAGE(OFFSET($H$3,0,0,'Données projet'!$E$16+1,1))</f>
        <v>664.59451650228573</v>
      </c>
      <c r="FK57" s="59">
        <f t="shared" si="48"/>
        <v>304.44325029106631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6.1553092733387951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6.1553092733387951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17.857000000000006</v>
      </c>
      <c r="N58" s="13">
        <f>IF('Données projet'!$A$36&gt;35,N57+M58-V57,IF(A58&lt;'Données projet'!$A$36,$K$205^A58,IF(A58='Données projet'!$A$36,'Données projet'!$B$36,N57+M58-V57)))</f>
        <v>533.84300000000007</v>
      </c>
      <c r="O58" s="13">
        <f>N58*VLOOKUP('Données projet'!$B$9,Paramètres!$A$1:$I$89,3,0)*VLOOKUP('Données projet'!$B$9,Paramètres!$A$1:$I$89,5,0)</f>
        <v>319.23811400000011</v>
      </c>
      <c r="P58" s="13">
        <f t="shared" si="33"/>
        <v>75.194806477511975</v>
      </c>
      <c r="Q58" s="20">
        <f t="shared" si="53"/>
        <v>686.97066983166678</v>
      </c>
      <c r="R58" s="59">
        <f t="shared" si="0"/>
        <v>945.29312531213816</v>
      </c>
      <c r="S58" s="59">
        <f ca="1">AVERAGE(OFFSET($R$3,0,0,'Données projet'!$E$9+1,1))-AVERAGE(OFFSET($H$3,0,0,'Données projet'!$E$9+1,1))</f>
        <v>460.88622650237176</v>
      </c>
      <c r="T58" s="59">
        <f t="shared" si="34"/>
        <v>396.05161661639647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40.84864469876176</v>
      </c>
      <c r="AA58" s="21">
        <f>EXP(-LN(2)/25)*AA57+(1-EXP(-LN(2)/25))/(LN(2)/25)*Calculateur!V58*Calculateur!X58*VLOOKUP('Données projet'!$B$9,Paramètres!$A$1:$I$89,3,0)*0.475*44/12</f>
        <v>14.976967694106509</v>
      </c>
      <c r="AB58" s="21">
        <f>EXP(-LN(2)/2)*AB57+(1-EXP(-LN(2)/2))/(LN(2)/2)*V58*Y58*VLOOKUP('Données projet'!$B$9,Paramètres!$A$1:$I$89,3,0)*0.475*44/12</f>
        <v>0.37720579533459414</v>
      </c>
      <c r="AC58" s="22">
        <f t="shared" si="3"/>
        <v>56.202818188202862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16.944285714285709</v>
      </c>
      <c r="AI58" s="13">
        <f>IF('Données projet'!$A$62&gt;35,AI57+AH58-AQ57,IF(A58&lt;'Données projet'!$A$62,$AF$205^A58,IF(A58='Données projet'!$A$62,'Données projet'!$B$62,AI57+AH58-AQ57)))</f>
        <v>362.76571428571413</v>
      </c>
      <c r="AJ58" s="13">
        <f>AI58*VLOOKUP('Données projet'!$B$10,Paramètres!$A$1:$I$89,3,0)*VLOOKUP('Données projet'!$B$10,Paramètres!$A$1:$I$89,5,0)</f>
        <v>169.7743542857142</v>
      </c>
      <c r="AK58" s="13">
        <f t="shared" si="35"/>
        <v>43.039482545615591</v>
      </c>
      <c r="AL58" s="20">
        <f t="shared" si="4"/>
        <v>370.650765814566</v>
      </c>
      <c r="AM58" s="59">
        <f t="shared" si="5"/>
        <v>628.97322129503732</v>
      </c>
      <c r="AN58" s="59">
        <f ca="1">AVERAGE(OFFSET($AM$3,0,0,'Données projet'!$E$10+1,1))-AVERAGE(OFFSET($H$3,0,0,'Données projet'!$E$10+1,1))</f>
        <v>387.50901594883317</v>
      </c>
      <c r="AO58" s="59">
        <f t="shared" si="36"/>
        <v>361.3623790401972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34.441263118947091</v>
      </c>
      <c r="AV58" s="21">
        <f>EXP(-LN(2)/25)*AV57+(1-EXP(-LN(2)/25))/(LN(2)/25)*Calculateur!AQ58*Calculateur!AS58*VLOOKUP('Données projet'!$B$10,Paramètres!$A$1:$I$89,3,0)*0.475*44/12</f>
        <v>22.785085149805873</v>
      </c>
      <c r="AW58" s="21">
        <f>EXP(-LN(2)/2)*AW57+(1-EXP(-LN(2)/2))/(LN(2)/2)*AQ58*AT58*VLOOKUP('Données projet'!$B$10,Paramètres!$A$1:$I$89,3,0)*0.475*44/12</f>
        <v>1.7371408789501313</v>
      </c>
      <c r="AX58" s="21">
        <f t="shared" si="6"/>
        <v>58.963489147703093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9.5537500000000009</v>
      </c>
      <c r="BD58" s="12">
        <f>IF('Données projet'!$A$88&gt;35,BD57+BC58-BL57,IF(A58&lt;'Données projet'!$A$88,$BA$205^A58,IF(A58='Données projet'!$A$88,'Données projet'!$B$88,BD57+BC58-BL57)))</f>
        <v>207.20875000000018</v>
      </c>
      <c r="BE58" s="13">
        <f>BD58*VLOOKUP('Données projet'!$B$11,Paramètres!$A$1:$I$89,3,0)*VLOOKUP('Données projet'!$B$11,Paramètres!$A$1:$I$89,5,0)</f>
        <v>187.48247700000016</v>
      </c>
      <c r="BF58" s="13">
        <f t="shared" si="37"/>
        <v>46.982932911694917</v>
      </c>
      <c r="BG58" s="20">
        <f t="shared" si="7"/>
        <v>408.3605889295356</v>
      </c>
      <c r="BH58" s="59">
        <f t="shared" si="8"/>
        <v>666.68304441000691</v>
      </c>
      <c r="BI58" s="59">
        <f ca="1">AVERAGE(OFFSET($BH$3,0,0,'Données projet'!$E$11+1,1))-AVERAGE(OFFSET($H$3,0,0,'Données projet'!$E$11+1,1))</f>
        <v>627.65081154031589</v>
      </c>
      <c r="BJ58" s="59">
        <f t="shared" si="38"/>
        <v>288.78083487077618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5.6452779023496884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5.6452779023496884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9.5537500000000009</v>
      </c>
      <c r="BY58" s="12">
        <f>IF('Données projet'!$A$114&gt;35,BY57+BX58-CG57,IF(A58&lt;'Données projet'!$A$114,$BV$205^A58,IF(A58='Données projet'!$A$114,'Données projet'!$B$114,BY57+BX58-CG57)))</f>
        <v>207.20875000000018</v>
      </c>
      <c r="BZ58" s="13">
        <f>BY58*VLOOKUP('Données projet'!$B$12,Paramètres!$A$1:$I$89,3,0)*VLOOKUP('Données projet'!$B$12,Paramètres!$A$1:$I$89,5,0)</f>
        <v>210.10967250000019</v>
      </c>
      <c r="CA58" s="13">
        <f t="shared" si="39"/>
        <v>51.959551170560943</v>
      </c>
      <c r="CB58" s="20">
        <f t="shared" si="10"/>
        <v>456.43723122622731</v>
      </c>
      <c r="CC58" s="59">
        <f t="shared" si="11"/>
        <v>714.75968670669863</v>
      </c>
      <c r="CD58" s="59">
        <f ca="1">AVERAGE(OFFSET($CC$3,0,0,'Données projet'!$E$12+1,1))-AVERAGE(OFFSET($H$3,0,0,'Données projet'!$E$12+1,1))</f>
        <v>692.2706942067415</v>
      </c>
      <c r="CE58" s="59">
        <f t="shared" si="40"/>
        <v>316.17529091924803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6.3266045457367204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6.3266045457367204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204</v>
      </c>
      <c r="CR58" s="12">
        <f>VLOOKUP(A58,'Données projet'!$A$139:$I$159,9,0)</f>
        <v>8</v>
      </c>
      <c r="CS58" s="12">
        <f t="array" ref="CS58">INDEX(CR:CR,MIN(IF(ISNUMBER(CR58:CR254),ROW(CR58:CR254),"")))</f>
        <v>8</v>
      </c>
      <c r="CT58" s="12">
        <f>IF('Données projet'!$A$140&gt;35,CT57+CS58-DB57,IF(A58&lt;'Données projet'!$A$140,$CQ$205^A58,IF(A58='Données projet'!$A$140,'Données projet'!$B$140,CT57+CS58-DB57)))</f>
        <v>204</v>
      </c>
      <c r="CU58" s="17">
        <f>CT58*VLOOKUP('Données projet'!$B$13,Paramètres!$A$1:$I$89,3,0)*VLOOKUP('Données projet'!$B$13,Paramètres!$A$1:$I$89,5,0)</f>
        <v>194.12639999999999</v>
      </c>
      <c r="CV58" s="13">
        <f t="shared" si="41"/>
        <v>48.451097401781084</v>
      </c>
      <c r="CW58" s="20">
        <f t="shared" si="13"/>
        <v>422.48914130810198</v>
      </c>
      <c r="CX58" s="59">
        <f t="shared" si="14"/>
        <v>680.8115967885733</v>
      </c>
      <c r="CY58" s="59">
        <f ca="1">AVERAGE(OFFSET($CX$3,0,0,'Données projet'!$E$13+1,1))-AVERAGE(OFFSET($H$3,0,0,'Données projet'!$E$13+1,1))</f>
        <v>424.5933338095914</v>
      </c>
      <c r="CZ58" s="59">
        <f t="shared" si="42"/>
        <v>159.28977188196134</v>
      </c>
      <c r="DA58" s="15">
        <f>IF(ISNA(VLOOKUP(A58,'Données projet'!$A$139:$I$159,3,0)),0,VLOOKUP(A58,'Données projet'!$A$139:$I$159,3,0))</f>
        <v>5</v>
      </c>
      <c r="DB58" s="15">
        <f>IF(ISNA(VLOOKUP(A58,'Données projet'!$A$139:$I$159,4,0)),0,VLOOKUP(A58,'Données projet'!$A$139:$I$159,4,0))</f>
        <v>24</v>
      </c>
      <c r="DC58" s="16">
        <f>IF(ISNA(VLOOKUP(A58,'Données projet'!$A$139:$I$159,5,0)),0%,VLOOKUP(A58,'Données projet'!$A$139:$I$159,5,0)*VLOOKUP('Données projet'!$B$13,Paramètres!$A$1:$I$89,7,0))</f>
        <v>0.17200000000000001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11.269174956427548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11.269174956427548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-18.333333333333343</v>
      </c>
      <c r="DU58" s="59">
        <f t="shared" si="44"/>
        <v>-18.333333333333343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>
        <f>EJ58*VLOOKUP('Données projet'!$B$15,Paramètres!$A$1:$I$89,3,0)*VLOOKUP('Données projet'!$B$15,Paramètres!$A$1:$I$89,5,0)</f>
        <v>0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-18.333333333333343</v>
      </c>
      <c r="EP58" s="59">
        <f t="shared" si="46"/>
        <v>-18.333333333333343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9.5537500000000009</v>
      </c>
      <c r="FE58" s="12">
        <f>IF('Données projet'!$A$218&gt;35,FE57+FD58-FM57,IF(A58&lt;'Données projet'!$A$218,$FB$205^A58,IF(A58='Données projet'!$A$218,'Données projet'!$B$218,FE57+FD58-FM57)))</f>
        <v>207.20875000000018</v>
      </c>
      <c r="FF58" s="17">
        <f>FE58*VLOOKUP('Données projet'!$B$16,Paramètres!$A$1:$I$89,3,0)*VLOOKUP('Données projet'!$B$16,Paramètres!$A$1:$I$89,5,0)</f>
        <v>200.41230300000018</v>
      </c>
      <c r="FG58" s="13">
        <f t="shared" si="47"/>
        <v>49.834768582334036</v>
      </c>
      <c r="FH58" s="20">
        <f t="shared" si="22"/>
        <v>435.84698300589872</v>
      </c>
      <c r="FI58" s="59">
        <f t="shared" si="23"/>
        <v>694.16943848637015</v>
      </c>
      <c r="FJ58" s="59">
        <f ca="1">AVERAGE(OFFSET($FI$3,0,0,'Données projet'!$E$16+1,1))-AVERAGE(OFFSET($H$3,0,0,'Données projet'!$E$16+1,1))</f>
        <v>664.59451650228573</v>
      </c>
      <c r="FK58" s="59">
        <f t="shared" si="48"/>
        <v>304.44325029106631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6.0346074128565652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6.0346074128565652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551.70000000000005</v>
      </c>
      <c r="L59" s="12">
        <f>VLOOKUP(A59,'Données projet'!$A$35:$I$55,9,0)</f>
        <v>17.857000000000006</v>
      </c>
      <c r="M59" s="12">
        <f t="array" ref="M59">INDEX(L:L,MIN(IF(ISNUMBER(L59:L255),ROW(L59:L255),"")))</f>
        <v>17.857000000000006</v>
      </c>
      <c r="N59" s="13">
        <f>IF('Données projet'!$A$36&gt;35,N58+M59-V58,IF(A59&lt;'Données projet'!$A$36,$K$205^A59,IF(A59='Données projet'!$A$36,'Données projet'!$B$36,N58+M59-V58)))</f>
        <v>551.70000000000005</v>
      </c>
      <c r="O59" s="13">
        <f>N59*VLOOKUP('Données projet'!$B$9,Paramètres!$A$1:$I$89,3,0)*VLOOKUP('Données projet'!$B$9,Paramètres!$A$1:$I$89,5,0)</f>
        <v>329.91660000000007</v>
      </c>
      <c r="P59" s="13">
        <f t="shared" si="33"/>
        <v>77.413015969653813</v>
      </c>
      <c r="Q59" s="20">
        <f t="shared" si="53"/>
        <v>709.43241448048047</v>
      </c>
      <c r="R59" s="59">
        <f t="shared" si="0"/>
        <v>968.36223041910216</v>
      </c>
      <c r="S59" s="59">
        <f ca="1">AVERAGE(OFFSET($R$3,0,0,'Données projet'!$E$9+1,1))-AVERAGE(OFFSET($H$3,0,0,'Données projet'!$E$9+1,1))</f>
        <v>460.88622650237176</v>
      </c>
      <c r="T59" s="59">
        <f t="shared" si="34"/>
        <v>396.05161661639647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77.37</v>
      </c>
      <c r="W59" s="16">
        <f>IF(ISNA(VLOOKUP(A59,'Données projet'!$A$35:$I$55,5,0)),0%,VLOOKUP(A59,'Données projet'!$A$35:$I$55,5,0)*VLOOKUP('Données projet'!$B$9,Paramètres!$A$1:$I$89,7,0))</f>
        <v>0.36000000000000004</v>
      </c>
      <c r="X59" s="16">
        <f>IF(ISNA(VLOOKUP(A59,'Données projet'!$A$35:$I$55,6,0)),0%,VLOOKUP(A59,'Données projet'!$A$35:$I$55,6,0)*VLOOKUP('Données projet'!$B$9,Paramètres!$A$1:$I$89,7,0))</f>
        <v>4.9500000000000002E-2</v>
      </c>
      <c r="Y59" s="16">
        <f>IF(ISNA(VLOOKUP(A59,'Données projet'!$A$35:$I$55,7,0)),0%,VLOOKUP(A59,'Données projet'!$A$35:$I$55,7,0))</f>
        <v>0.09</v>
      </c>
      <c r="Z59" s="21">
        <f>EXP(-LN(2)/35)*Z58+(1-EXP(-LN(2)/35))/(LN(2)/35)*V59*W59*VLOOKUP('Données projet'!$B$9,Paramètres!$A$1:$I$89,3,0)*0.475*44/12</f>
        <v>62.143168615400803</v>
      </c>
      <c r="AA59" s="21">
        <f>EXP(-LN(2)/25)*AA58+(1-EXP(-LN(2)/25))/(LN(2)/25)*Calculateur!V59*Calculateur!X59*VLOOKUP('Données projet'!$B$9,Paramètres!$A$1:$I$89,3,0)*0.475*44/12</f>
        <v>17.593596299446524</v>
      </c>
      <c r="AB59" s="21">
        <f>EXP(-LN(2)/2)*AB58+(1-EXP(-LN(2)/2))/(LN(2)/2)*V59*Y59*VLOOKUP('Données projet'!$B$9,Paramètres!$A$1:$I$89,3,0)*0.475*44/12</f>
        <v>4.9814005238888486</v>
      </c>
      <c r="AC59" s="22">
        <f t="shared" si="3"/>
        <v>84.718165438736179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379.71</v>
      </c>
      <c r="AG59" s="12">
        <f>VLOOKUP(A59,'Données projet'!$A$61:$I$81,9,0)</f>
        <v>16.944285714285709</v>
      </c>
      <c r="AH59" s="12">
        <f t="array" ref="AH59">INDEX(AG:AG,MIN(IF(ISNUMBER(AG59:AG255),ROW(AG59:AG255),"")))</f>
        <v>16.944285714285709</v>
      </c>
      <c r="AI59" s="13">
        <f>IF('Données projet'!$A$62&gt;35,AI58+AH59-AQ58,IF(A59&lt;'Données projet'!$A$62,$AF$205^A59,IF(A59='Données projet'!$A$62,'Données projet'!$B$62,AI58+AH59-AQ58)))</f>
        <v>379.70999999999981</v>
      </c>
      <c r="AJ59" s="13">
        <f>AI59*VLOOKUP('Données projet'!$B$10,Paramètres!$A$1:$I$89,3,0)*VLOOKUP('Données projet'!$B$10,Paramètres!$A$1:$I$89,5,0)</f>
        <v>177.70427999999993</v>
      </c>
      <c r="AK59" s="13">
        <f t="shared" si="35"/>
        <v>44.811049826105538</v>
      </c>
      <c r="AL59" s="20">
        <f t="shared" si="4"/>
        <v>387.54753278046701</v>
      </c>
      <c r="AM59" s="59">
        <f t="shared" si="5"/>
        <v>646.4773487190887</v>
      </c>
      <c r="AN59" s="59">
        <f ca="1">AVERAGE(OFFSET($AM$3,0,0,'Données projet'!$E$10+1,1))-AVERAGE(OFFSET($H$3,0,0,'Données projet'!$E$10+1,1))</f>
        <v>387.50901594883317</v>
      </c>
      <c r="AO59" s="59">
        <f t="shared" si="36"/>
        <v>361.3623790401972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79.39</v>
      </c>
      <c r="AR59" s="16">
        <f>IF(ISNA(VLOOKUP(A59,'Données projet'!$A$61:$I$81,5,0)),0%,VLOOKUP(A59,'Données projet'!$A$61:$I$81,5,0)*VLOOKUP('Données projet'!$B$10,Paramètres!$A$1:$I$89,7,0))</f>
        <v>0.33</v>
      </c>
      <c r="AS59" s="16">
        <f>IF(ISNA(VLOOKUP(A59,'Données projet'!$A$61:$I$81,6,0)),0%,VLOOKUP(A59,'Données projet'!$A$61:$I$81,6,0)*VLOOKUP('Données projet'!$B$10,Paramètres!$A$1:$I$89,7,0))</f>
        <v>0.12100000000000001</v>
      </c>
      <c r="AT59" s="16">
        <f>IF(ISNA(VLOOKUP(A59,'Données projet'!$A$61:$I$81,7,0)),0%,VLOOKUP(A59,'Données projet'!$A$61:$I$81,7,0))</f>
        <v>0.18</v>
      </c>
      <c r="AU59" s="21">
        <f>EXP(-LN(2)/35)*AU58+(1-EXP(-LN(2)/35))/(LN(2)/35)*AQ59*AR59*VLOOKUP('Données projet'!$B$10,Paramètres!$A$1:$I$89,3,0)*0.475*44/12</f>
        <v>50.030886601283541</v>
      </c>
      <c r="AV59" s="21">
        <f>EXP(-LN(2)/25)*AV58+(1-EXP(-LN(2)/25))/(LN(2)/25)*Calculateur!AQ59*Calculateur!AS59*VLOOKUP('Données projet'!$B$10,Paramètres!$A$1:$I$89,3,0)*0.475*44/12</f>
        <v>28.102375656725251</v>
      </c>
      <c r="AW59" s="21">
        <f>EXP(-LN(2)/2)*AW58+(1-EXP(-LN(2)/2))/(LN(2)/2)*AQ59*AT59*VLOOKUP('Données projet'!$B$10,Paramètres!$A$1:$I$89,3,0)*0.475*44/12</f>
        <v>8.8005026531387429</v>
      </c>
      <c r="AX59" s="21">
        <f t="shared" si="6"/>
        <v>86.933764911147534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9.5537500000000009</v>
      </c>
      <c r="BD59" s="12">
        <f>IF('Données projet'!$A$88&gt;35,BD58+BC59-BL58,IF(A59&lt;'Données projet'!$A$88,$BA$205^A59,IF(A59='Données projet'!$A$88,'Données projet'!$B$88,BD58+BC59-BL58)))</f>
        <v>216.76250000000019</v>
      </c>
      <c r="BE59" s="13">
        <f>BD59*VLOOKUP('Données projet'!$B$11,Paramètres!$A$1:$I$89,3,0)*VLOOKUP('Données projet'!$B$11,Paramètres!$A$1:$I$89,5,0)</f>
        <v>196.12671000000017</v>
      </c>
      <c r="BF59" s="13">
        <f t="shared" si="37"/>
        <v>48.891969383051702</v>
      </c>
      <c r="BG59" s="20">
        <f t="shared" si="7"/>
        <v>426.74086659214868</v>
      </c>
      <c r="BH59" s="59">
        <f t="shared" si="8"/>
        <v>685.67068253077036</v>
      </c>
      <c r="BI59" s="59">
        <f ca="1">AVERAGE(OFFSET($BH$3,0,0,'Données projet'!$E$11+1,1))-AVERAGE(OFFSET($H$3,0,0,'Données projet'!$E$11+1,1))</f>
        <v>627.65081154031589</v>
      </c>
      <c r="BJ59" s="59">
        <f t="shared" si="38"/>
        <v>288.78083487077618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5.5345774459641355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5.5345774459641355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9.5537500000000009</v>
      </c>
      <c r="BY59" s="12">
        <f>IF('Données projet'!$A$114&gt;35,BY58+BX59-CG58,IF(A59&lt;'Données projet'!$A$114,$BV$205^A59,IF(A59='Données projet'!$A$114,'Données projet'!$B$114,BY58+BX59-CG58)))</f>
        <v>216.76250000000019</v>
      </c>
      <c r="BZ59" s="13">
        <f>BY59*VLOOKUP('Données projet'!$B$12,Paramètres!$A$1:$I$89,3,0)*VLOOKUP('Données projet'!$B$12,Paramètres!$A$1:$I$89,5,0)</f>
        <v>219.79717500000021</v>
      </c>
      <c r="CA59" s="13">
        <f t="shared" si="39"/>
        <v>54.070800342815986</v>
      </c>
      <c r="CB59" s="20">
        <f t="shared" si="10"/>
        <v>476.98672372207147</v>
      </c>
      <c r="CC59" s="59">
        <f t="shared" si="11"/>
        <v>735.91653966069316</v>
      </c>
      <c r="CD59" s="59">
        <f ca="1">AVERAGE(OFFSET($CC$3,0,0,'Données projet'!$E$12+1,1))-AVERAGE(OFFSET($H$3,0,0,'Données projet'!$E$12+1,1))</f>
        <v>692.2706942067415</v>
      </c>
      <c r="CE59" s="59">
        <f t="shared" si="40"/>
        <v>316.17529091924803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6.2025436894425665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6.2025436894425665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7.6</v>
      </c>
      <c r="CT59" s="12">
        <f>IF('Données projet'!$A$140&gt;35,CT58+CS59-DB58,IF(A59&lt;'Données projet'!$A$140,$CQ$205^A59,IF(A59='Données projet'!$A$140,'Données projet'!$B$140,CT58+CS59-DB58)))</f>
        <v>187.6</v>
      </c>
      <c r="CU59" s="17">
        <f>CT59*VLOOKUP('Données projet'!$B$13,Paramètres!$A$1:$I$89,3,0)*VLOOKUP('Données projet'!$B$13,Paramètres!$A$1:$I$89,5,0)</f>
        <v>178.52016</v>
      </c>
      <c r="CV59" s="13">
        <f t="shared" si="41"/>
        <v>44.992791013015236</v>
      </c>
      <c r="CW59" s="20">
        <f t="shared" si="13"/>
        <v>389.28505634766822</v>
      </c>
      <c r="CX59" s="59">
        <f t="shared" si="14"/>
        <v>648.21487228628996</v>
      </c>
      <c r="CY59" s="59">
        <f ca="1">AVERAGE(OFFSET($CX$3,0,0,'Données projet'!$E$13+1,1))-AVERAGE(OFFSET($H$3,0,0,'Données projet'!$E$13+1,1))</f>
        <v>424.5933338095914</v>
      </c>
      <c r="CZ59" s="59">
        <f t="shared" si="42"/>
        <v>159.28977188196134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11.048193309050024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11.048193309050024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-18.333333333333343</v>
      </c>
      <c r="DU59" s="59">
        <f t="shared" si="44"/>
        <v>-18.333333333333343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>
        <f>EJ59*VLOOKUP('Données projet'!$B$15,Paramètres!$A$1:$I$89,3,0)*VLOOKUP('Données projet'!$B$15,Paramètres!$A$1:$I$89,5,0)</f>
        <v>0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-18.333333333333343</v>
      </c>
      <c r="EP59" s="59">
        <f t="shared" si="46"/>
        <v>-18.333333333333343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9.5537500000000009</v>
      </c>
      <c r="FE59" s="12">
        <f>IF('Données projet'!$A$218&gt;35,FE58+FD59-FM58,IF(A59&lt;'Données projet'!$A$218,$FB$205^A59,IF(A59='Données projet'!$A$218,'Données projet'!$B$218,FE58+FD59-FM58)))</f>
        <v>216.76250000000019</v>
      </c>
      <c r="FF59" s="17">
        <f>FE59*VLOOKUP('Données projet'!$B$16,Paramètres!$A$1:$I$89,3,0)*VLOOKUP('Données projet'!$B$16,Paramètres!$A$1:$I$89,5,0)</f>
        <v>209.65269000000021</v>
      </c>
      <c r="FG59" s="13">
        <f t="shared" si="47"/>
        <v>51.859682415280766</v>
      </c>
      <c r="FH59" s="20">
        <f t="shared" si="22"/>
        <v>455.46738195661436</v>
      </c>
      <c r="FI59" s="59">
        <f t="shared" si="23"/>
        <v>714.3971978952361</v>
      </c>
      <c r="FJ59" s="59">
        <f ca="1">AVERAGE(OFFSET($FI$3,0,0,'Données projet'!$E$16+1,1))-AVERAGE(OFFSET($H$3,0,0,'Données projet'!$E$16+1,1))</f>
        <v>664.59451650228573</v>
      </c>
      <c r="FK59" s="59">
        <f t="shared" si="48"/>
        <v>304.44325029106631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5.9162724422375259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5.9162724422375259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15.602999999999998</v>
      </c>
      <c r="N60" s="13">
        <f>IF('Données projet'!$A$36&gt;35,N59+M60-V59,IF(A60&lt;'Données projet'!$A$36,$K$205^A60,IF(A60='Données projet'!$A$36,'Données projet'!$B$36,N59+M60-V59)))</f>
        <v>489.93299999999999</v>
      </c>
      <c r="O60" s="13">
        <f>N60*VLOOKUP('Données projet'!$B$9,Paramètres!$A$1:$I$89,3,0)*VLOOKUP('Données projet'!$B$9,Paramètres!$A$1:$I$89,5,0)</f>
        <v>292.97993400000001</v>
      </c>
      <c r="P60" s="13">
        <f t="shared" si="33"/>
        <v>69.702766061708147</v>
      </c>
      <c r="Q60" s="20">
        <f t="shared" si="53"/>
        <v>631.67236927414172</v>
      </c>
      <c r="R60" s="59">
        <f t="shared" si="0"/>
        <v>891.19900932481937</v>
      </c>
      <c r="S60" s="59">
        <f ca="1">AVERAGE(OFFSET($R$3,0,0,'Données projet'!$E$9+1,1))-AVERAGE(OFFSET($H$3,0,0,'Données projet'!$E$9+1,1))</f>
        <v>460.88622650237176</v>
      </c>
      <c r="T60" s="59">
        <f t="shared" si="34"/>
        <v>396.05161661639647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60.924578982442981</v>
      </c>
      <c r="AA60" s="21">
        <f>EXP(-LN(2)/25)*AA59+(1-EXP(-LN(2)/25))/(LN(2)/25)*Calculateur!V60*Calculateur!X60*VLOOKUP('Données projet'!$B$9,Paramètres!$A$1:$I$89,3,0)*0.475*44/12</f>
        <v>17.112498483431139</v>
      </c>
      <c r="AB60" s="21">
        <f>EXP(-LN(2)/2)*AB59+(1-EXP(-LN(2)/2))/(LN(2)/2)*V60*Y60*VLOOKUP('Données projet'!$B$9,Paramètres!$A$1:$I$89,3,0)*0.475*44/12</f>
        <v>3.5223820902480254</v>
      </c>
      <c r="AC60" s="22">
        <f t="shared" si="3"/>
        <v>81.55945955612215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16.595714285714287</v>
      </c>
      <c r="AI60" s="13">
        <f>IF('Données projet'!$A$62&gt;35,AI59+AH60-AQ59,IF(A60&lt;'Données projet'!$A$62,$AF$205^A60,IF(A60='Données projet'!$A$62,'Données projet'!$B$62,AI59+AH60-AQ59)))</f>
        <v>316.9157142857141</v>
      </c>
      <c r="AJ60" s="13">
        <f>AI60*VLOOKUP('Données projet'!$B$10,Paramètres!$A$1:$I$89,3,0)*VLOOKUP('Données projet'!$B$10,Paramètres!$A$1:$I$89,5,0)</f>
        <v>148.3165542857142</v>
      </c>
      <c r="AK60" s="13">
        <f t="shared" si="35"/>
        <v>38.195765606294593</v>
      </c>
      <c r="AL60" s="20">
        <f t="shared" si="4"/>
        <v>324.84229047858202</v>
      </c>
      <c r="AM60" s="59">
        <f t="shared" si="5"/>
        <v>584.36893052925973</v>
      </c>
      <c r="AN60" s="59">
        <f ca="1">AVERAGE(OFFSET($AM$3,0,0,'Données projet'!$E$10+1,1))-AVERAGE(OFFSET($H$3,0,0,'Données projet'!$E$10+1,1))</f>
        <v>387.50901594883317</v>
      </c>
      <c r="AO60" s="59">
        <f t="shared" si="36"/>
        <v>361.3623790401972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49.049811430860011</v>
      </c>
      <c r="AV60" s="21">
        <f>EXP(-LN(2)/25)*AV59+(1-EXP(-LN(2)/25))/(LN(2)/25)*Calculateur!AQ60*Calculateur!AS60*VLOOKUP('Données projet'!$B$10,Paramètres!$A$1:$I$89,3,0)*0.475*44/12</f>
        <v>27.333914716552393</v>
      </c>
      <c r="AW60" s="21">
        <f>EXP(-LN(2)/2)*AW59+(1-EXP(-LN(2)/2))/(LN(2)/2)*AQ60*AT60*VLOOKUP('Données projet'!$B$10,Paramètres!$A$1:$I$89,3,0)*0.475*44/12</f>
        <v>6.2228951038846088</v>
      </c>
      <c r="AX60" s="21">
        <f t="shared" si="6"/>
        <v>82.606621251297014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9.5537500000000009</v>
      </c>
      <c r="BD60" s="12">
        <f>IF('Données projet'!$A$88&gt;35,BD59+BC60-BL59,IF(A60&lt;'Données projet'!$A$88,$BA$205^A60,IF(A60='Données projet'!$A$88,'Données projet'!$B$88,BD59+BC60-BL59)))</f>
        <v>226.3162500000002</v>
      </c>
      <c r="BE60" s="13">
        <f>BD60*VLOOKUP('Données projet'!$B$11,Paramètres!$A$1:$I$89,3,0)*VLOOKUP('Données projet'!$B$11,Paramètres!$A$1:$I$89,5,0)</f>
        <v>204.77094300000016</v>
      </c>
      <c r="BF60" s="13">
        <f t="shared" si="37"/>
        <v>50.791233664926693</v>
      </c>
      <c r="BG60" s="20">
        <f t="shared" si="7"/>
        <v>445.10412435808092</v>
      </c>
      <c r="BH60" s="59">
        <f t="shared" si="8"/>
        <v>704.63076440875864</v>
      </c>
      <c r="BI60" s="59">
        <f ca="1">AVERAGE(OFFSET($BH$3,0,0,'Données projet'!$E$11+1,1))-AVERAGE(OFFSET($H$3,0,0,'Données projet'!$E$11+1,1))</f>
        <v>627.65081154031589</v>
      </c>
      <c r="BJ60" s="59">
        <f t="shared" si="38"/>
        <v>288.78083487077618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5.4260477580076927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5.4260477580076927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9.5537500000000009</v>
      </c>
      <c r="BY60" s="12">
        <f>IF('Données projet'!$A$114&gt;35,BY59+BX60-CG59,IF(A60&lt;'Données projet'!$A$114,$BV$205^A60,IF(A60='Données projet'!$A$114,'Données projet'!$B$114,BY59+BX60-CG59)))</f>
        <v>226.3162500000002</v>
      </c>
      <c r="BZ60" s="13">
        <f>BY60*VLOOKUP('Données projet'!$B$12,Paramètres!$A$1:$I$89,3,0)*VLOOKUP('Données projet'!$B$12,Paramètres!$A$1:$I$89,5,0)</f>
        <v>229.4846775000002</v>
      </c>
      <c r="CA60" s="13">
        <f t="shared" si="39"/>
        <v>56.171242216591338</v>
      </c>
      <c r="CB60" s="20">
        <f t="shared" si="10"/>
        <v>497.51739350639696</v>
      </c>
      <c r="CC60" s="59">
        <f t="shared" si="11"/>
        <v>757.04403355707473</v>
      </c>
      <c r="CD60" s="59">
        <f ca="1">AVERAGE(OFFSET($CC$3,0,0,'Données projet'!$E$12+1,1))-AVERAGE(OFFSET($H$3,0,0,'Données projet'!$E$12+1,1))</f>
        <v>692.2706942067415</v>
      </c>
      <c r="CE60" s="59">
        <f t="shared" si="40"/>
        <v>316.17529091924803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6.0809155908706902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6.0809155908706902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7.6</v>
      </c>
      <c r="CT60" s="12">
        <f>IF('Données projet'!$A$140&gt;35,CT59+CS60-DB59,IF(A60&lt;'Données projet'!$A$140,$CQ$205^A60,IF(A60='Données projet'!$A$140,'Données projet'!$B$140,CT59+CS60-DB59)))</f>
        <v>195.2</v>
      </c>
      <c r="CU60" s="17">
        <f>CT60*VLOOKUP('Données projet'!$B$13,Paramètres!$A$1:$I$89,3,0)*VLOOKUP('Données projet'!$B$13,Paramètres!$A$1:$I$89,5,0)</f>
        <v>185.75232</v>
      </c>
      <c r="CV60" s="13">
        <f t="shared" si="41"/>
        <v>46.599618930398798</v>
      </c>
      <c r="CW60" s="20">
        <f t="shared" si="13"/>
        <v>404.67962697044459</v>
      </c>
      <c r="CX60" s="59">
        <f t="shared" si="14"/>
        <v>664.20626702112236</v>
      </c>
      <c r="CY60" s="59">
        <f ca="1">AVERAGE(OFFSET($CX$3,0,0,'Données projet'!$E$13+1,1))-AVERAGE(OFFSET($H$3,0,0,'Données projet'!$E$13+1,1))</f>
        <v>424.5933338095914</v>
      </c>
      <c r="CZ60" s="59">
        <f t="shared" si="42"/>
        <v>159.28977188196134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10.831544976992078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10.831544976992078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-18.333333333333343</v>
      </c>
      <c r="DU60" s="59">
        <f t="shared" si="44"/>
        <v>-18.333333333333343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>
        <f>EJ60*VLOOKUP('Données projet'!$B$15,Paramètres!$A$1:$I$89,3,0)*VLOOKUP('Données projet'!$B$15,Paramètres!$A$1:$I$89,5,0)</f>
        <v>0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-18.333333333333343</v>
      </c>
      <c r="EP60" s="59">
        <f t="shared" si="46"/>
        <v>-18.333333333333343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9.5537500000000009</v>
      </c>
      <c r="FE60" s="12">
        <f>IF('Données projet'!$A$218&gt;35,FE59+FD60-FM59,IF(A60&lt;'Données projet'!$A$218,$FB$205^A60,IF(A60='Données projet'!$A$218,'Données projet'!$B$218,FE59+FD60-FM59)))</f>
        <v>226.3162500000002</v>
      </c>
      <c r="FF60" s="17">
        <f>FE60*VLOOKUP('Données projet'!$B$16,Paramètres!$A$1:$I$89,3,0)*VLOOKUP('Données projet'!$B$16,Paramètres!$A$1:$I$89,5,0)</f>
        <v>218.8930770000002</v>
      </c>
      <c r="FG60" s="13">
        <f t="shared" si="47"/>
        <v>53.874230892742354</v>
      </c>
      <c r="FH60" s="20">
        <f t="shared" si="22"/>
        <v>475.06972791319322</v>
      </c>
      <c r="FI60" s="59">
        <f t="shared" si="23"/>
        <v>734.59636796387099</v>
      </c>
      <c r="FJ60" s="59">
        <f ca="1">AVERAGE(OFFSET($FI$3,0,0,'Données projet'!$E$16+1,1))-AVERAGE(OFFSET($H$3,0,0,'Données projet'!$E$16+1,1))</f>
        <v>664.59451650228573</v>
      </c>
      <c r="FK60" s="59">
        <f t="shared" si="48"/>
        <v>304.44325029106631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5.8002579482151209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5.8002579482151209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15.602999999999998</v>
      </c>
      <c r="N61" s="13">
        <f>IF('Données projet'!$A$36&gt;35,N60+M61-V60,IF(A61&lt;'Données projet'!$A$36,$K$205^A61,IF(A61='Données projet'!$A$36,'Données projet'!$B$36,N60+M61-V60)))</f>
        <v>505.536</v>
      </c>
      <c r="O61" s="13">
        <f>N61*VLOOKUP('Données projet'!$B$9,Paramètres!$A$1:$I$89,3,0)*VLOOKUP('Données projet'!$B$9,Paramètres!$A$1:$I$89,5,0)</f>
        <v>302.31052800000003</v>
      </c>
      <c r="P61" s="13">
        <f t="shared" si="33"/>
        <v>71.66062239498595</v>
      </c>
      <c r="Q61" s="20">
        <f t="shared" si="53"/>
        <v>651.3330869379339</v>
      </c>
      <c r="R61" s="59">
        <f t="shared" si="0"/>
        <v>911.44619753662232</v>
      </c>
      <c r="S61" s="59">
        <f ca="1">AVERAGE(OFFSET($R$3,0,0,'Données projet'!$E$9+1,1))-AVERAGE(OFFSET($H$3,0,0,'Données projet'!$E$9+1,1))</f>
        <v>460.88622650237176</v>
      </c>
      <c r="T61" s="59">
        <f t="shared" si="34"/>
        <v>396.05161661639647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59.729885148921177</v>
      </c>
      <c r="AA61" s="21">
        <f>EXP(-LN(2)/25)*AA60+(1-EXP(-LN(2)/25))/(LN(2)/25)*Calculateur!V61*Calculateur!X61*VLOOKUP('Données projet'!$B$9,Paramètres!$A$1:$I$89,3,0)*0.475*44/12</f>
        <v>16.644556312494529</v>
      </c>
      <c r="AB61" s="21">
        <f>EXP(-LN(2)/2)*AB60+(1-EXP(-LN(2)/2))/(LN(2)/2)*V61*Y61*VLOOKUP('Données projet'!$B$9,Paramètres!$A$1:$I$89,3,0)*0.475*44/12</f>
        <v>2.4907002619444247</v>
      </c>
      <c r="AC61" s="22">
        <f t="shared" si="3"/>
        <v>78.865141723360125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16.595714285714287</v>
      </c>
      <c r="AI61" s="13">
        <f>IF('Données projet'!$A$62&gt;35,AI60+AH61-AQ60,IF(A61&lt;'Données projet'!$A$62,$AF$205^A61,IF(A61='Données projet'!$A$62,'Données projet'!$B$62,AI60+AH61-AQ60)))</f>
        <v>333.51142857142838</v>
      </c>
      <c r="AJ61" s="13">
        <f>AI61*VLOOKUP('Données projet'!$B$10,Paramètres!$A$1:$I$89,3,0)*VLOOKUP('Données projet'!$B$10,Paramètres!$A$1:$I$89,5,0)</f>
        <v>156.08334857142847</v>
      </c>
      <c r="AK61" s="13">
        <f t="shared" si="35"/>
        <v>39.957833547833964</v>
      </c>
      <c r="AL61" s="20">
        <f t="shared" si="4"/>
        <v>341.43839219104871</v>
      </c>
      <c r="AM61" s="59">
        <f t="shared" si="5"/>
        <v>601.55150278973713</v>
      </c>
      <c r="AN61" s="59">
        <f ca="1">AVERAGE(OFFSET($AM$3,0,0,'Données projet'!$E$10+1,1))-AVERAGE(OFFSET($H$3,0,0,'Données projet'!$E$10+1,1))</f>
        <v>387.50901594883317</v>
      </c>
      <c r="AO61" s="59">
        <f t="shared" si="36"/>
        <v>361.3623790401972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48.087974546131719</v>
      </c>
      <c r="AV61" s="21">
        <f>EXP(-LN(2)/25)*AV60+(1-EXP(-LN(2)/25))/(LN(2)/25)*Calculateur!AQ61*Calculateur!AS61*VLOOKUP('Données projet'!$B$10,Paramètres!$A$1:$I$89,3,0)*0.475*44/12</f>
        <v>26.586467381200166</v>
      </c>
      <c r="AW61" s="21">
        <f>EXP(-LN(2)/2)*AW60+(1-EXP(-LN(2)/2))/(LN(2)/2)*AQ61*AT61*VLOOKUP('Données projet'!$B$10,Paramètres!$A$1:$I$89,3,0)*0.475*44/12</f>
        <v>4.4002513265693723</v>
      </c>
      <c r="AX61" s="21">
        <f t="shared" si="6"/>
        <v>79.074693253901259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235.87</v>
      </c>
      <c r="BB61" s="12">
        <f>VLOOKUP(A61,'Données projet'!$A$87:$I$107,9,0)</f>
        <v>9.5537500000000009</v>
      </c>
      <c r="BC61" s="12">
        <f t="array" ref="BC61">INDEX(BB:BB,MIN(IF(ISNUMBER(BB61:BB257),ROW(BB61:BB257),"")))</f>
        <v>9.5537500000000009</v>
      </c>
      <c r="BD61" s="12">
        <f>IF('Données projet'!$A$88&gt;35,BD60+BC61-BL60,IF(A61&lt;'Données projet'!$A$88,$BA$205^A61,IF(A61='Données projet'!$A$88,'Données projet'!$B$88,BD60+BC61-BL60)))</f>
        <v>235.8700000000002</v>
      </c>
      <c r="BE61" s="13">
        <f>BD61*VLOOKUP('Données projet'!$B$11,Paramètres!$A$1:$I$89,3,0)*VLOOKUP('Données projet'!$B$11,Paramètres!$A$1:$I$89,5,0)</f>
        <v>213.41517600000017</v>
      </c>
      <c r="BF61" s="13">
        <f t="shared" si="37"/>
        <v>52.681185448853228</v>
      </c>
      <c r="BG61" s="20">
        <f t="shared" si="7"/>
        <v>463.45116285675294</v>
      </c>
      <c r="BH61" s="59">
        <f t="shared" si="8"/>
        <v>723.56427345544137</v>
      </c>
      <c r="BI61" s="59">
        <f ca="1">AVERAGE(OFFSET($BH$3,0,0,'Données projet'!$E$11+1,1))-AVERAGE(OFFSET($H$3,0,0,'Données projet'!$E$11+1,1))</f>
        <v>627.65081154031589</v>
      </c>
      <c r="BJ61" s="59">
        <f t="shared" si="38"/>
        <v>288.78083487077618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8.6000000000000007E-2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9.1845134385305762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9.1845134385305762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235.87</v>
      </c>
      <c r="BW61" s="12">
        <f>VLOOKUP(A61,'Données projet'!$A$113:$I$133,9,0)</f>
        <v>9.5537500000000009</v>
      </c>
      <c r="BX61" s="12">
        <f t="array" ref="BX61">INDEX(BW:BW,MIN(IF(ISNUMBER(BW61:BW257),ROW(BW61:BW257),"")))</f>
        <v>9.5537500000000009</v>
      </c>
      <c r="BY61" s="12">
        <f>IF('Données projet'!$A$114&gt;35,BY60+BX61-CG60,IF(A61&lt;'Données projet'!$A$114,$BV$205^A61,IF(A61='Données projet'!$A$114,'Données projet'!$B$114,BY60+BX61-CG60)))</f>
        <v>235.8700000000002</v>
      </c>
      <c r="BZ61" s="13">
        <f>BY61*VLOOKUP('Données projet'!$B$12,Paramètres!$A$1:$I$89,3,0)*VLOOKUP('Données projet'!$B$12,Paramètres!$A$1:$I$89,5,0)</f>
        <v>239.1721800000002</v>
      </c>
      <c r="CA61" s="13">
        <f t="shared" si="39"/>
        <v>58.261385175767472</v>
      </c>
      <c r="CB61" s="20">
        <f t="shared" si="10"/>
        <v>518.0301260144621</v>
      </c>
      <c r="CC61" s="59">
        <f t="shared" si="11"/>
        <v>778.14323661315052</v>
      </c>
      <c r="CD61" s="59">
        <f ca="1">AVERAGE(OFFSET($CC$3,0,0,'Données projet'!$E$12+1,1))-AVERAGE(OFFSET($H$3,0,0,'Données projet'!$E$12+1,1))</f>
        <v>692.2706942067415</v>
      </c>
      <c r="CE61" s="59">
        <f t="shared" si="40"/>
        <v>316.17529091924803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8.6000000000000007E-2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10.292989198353233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10.292989198353233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7.6</v>
      </c>
      <c r="CT61" s="12">
        <f>IF('Données projet'!$A$140&gt;35,CT60+CS61-DB60,IF(A61&lt;'Données projet'!$A$140,$CQ$205^A61,IF(A61='Données projet'!$A$140,'Données projet'!$B$140,CT60+CS61-DB60)))</f>
        <v>202.79999999999998</v>
      </c>
      <c r="CU61" s="17">
        <f>CT61*VLOOKUP('Données projet'!$B$13,Paramètres!$A$1:$I$89,3,0)*VLOOKUP('Données projet'!$B$13,Paramètres!$A$1:$I$89,5,0)</f>
        <v>192.98447999999999</v>
      </c>
      <c r="CV61" s="13">
        <f t="shared" si="41"/>
        <v>48.199179293232802</v>
      </c>
      <c r="CW61" s="20">
        <f t="shared" si="13"/>
        <v>420.06153993571371</v>
      </c>
      <c r="CX61" s="59">
        <f t="shared" si="14"/>
        <v>680.17465053440219</v>
      </c>
      <c r="CY61" s="59">
        <f ca="1">AVERAGE(OFFSET($CX$3,0,0,'Données projet'!$E$13+1,1))-AVERAGE(OFFSET($H$3,0,0,'Données projet'!$E$13+1,1))</f>
        <v>424.5933338095914</v>
      </c>
      <c r="CZ61" s="59">
        <f t="shared" si="42"/>
        <v>159.28977188196134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10.619144986583352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10.619144986583352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-18.333333333333343</v>
      </c>
      <c r="DU61" s="59">
        <f t="shared" si="44"/>
        <v>-18.333333333333343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>
        <f>EJ61*VLOOKUP('Données projet'!$B$15,Paramètres!$A$1:$I$89,3,0)*VLOOKUP('Données projet'!$B$15,Paramètres!$A$1:$I$89,5,0)</f>
        <v>0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-18.333333333333343</v>
      </c>
      <c r="EP61" s="59">
        <f t="shared" si="46"/>
        <v>-18.333333333333343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>
        <f>VLOOKUP(A61,'Données projet'!$A$217:$I$237,2,0)</f>
        <v>235.87</v>
      </c>
      <c r="FC61" s="12">
        <f>VLOOKUP(A61,'Données projet'!$A$217:$I$237,9,0)</f>
        <v>9.5537500000000009</v>
      </c>
      <c r="FD61" s="12">
        <f t="array" ref="FD61">INDEX(FC:FC,MIN(IF(ISNUMBER(FC61:FC257),ROW(FC61:FC257),"")))</f>
        <v>9.5537500000000009</v>
      </c>
      <c r="FE61" s="12">
        <f>IF('Données projet'!$A$218&gt;35,FE60+FD61-FM60,IF(A61&lt;'Données projet'!$A$218,$FB$205^A61,IF(A61='Données projet'!$A$218,'Données projet'!$B$218,FE60+FD61-FM60)))</f>
        <v>235.8700000000002</v>
      </c>
      <c r="FF61" s="17">
        <f>FE61*VLOOKUP('Données projet'!$B$16,Paramètres!$A$1:$I$89,3,0)*VLOOKUP('Données projet'!$B$16,Paramètres!$A$1:$I$89,5,0)</f>
        <v>228.1334640000002</v>
      </c>
      <c r="FG61" s="13">
        <f t="shared" si="47"/>
        <v>55.87890160925069</v>
      </c>
      <c r="FH61" s="20">
        <f t="shared" si="22"/>
        <v>494.6548701027786</v>
      </c>
      <c r="FI61" s="59">
        <f t="shared" si="23"/>
        <v>754.76798070146697</v>
      </c>
      <c r="FJ61" s="59">
        <f ca="1">AVERAGE(OFFSET($FI$3,0,0,'Données projet'!$E$16+1,1))-AVERAGE(OFFSET($H$3,0,0,'Données projet'!$E$16+1,1))</f>
        <v>664.59451650228573</v>
      </c>
      <c r="FK61" s="59">
        <f t="shared" si="48"/>
        <v>304.44325029106631</v>
      </c>
      <c r="FL61" s="15">
        <f>IF(ISNA(VLOOKUP(A61,'Données projet'!$A$217:$I$237,3,0)),0,VLOOKUP(A61,'Données projet'!$A$217:$I$237,3,0))</f>
        <v>3</v>
      </c>
      <c r="FM61" s="15">
        <f>IF(ISNA(VLOOKUP(A61,'Données projet'!$A$217:$I$237,4,0)),0,VLOOKUP(A61,'Données projet'!$A$217:$I$237,4,0))</f>
        <v>44.93</v>
      </c>
      <c r="FN61" s="16">
        <f>IF(ISNA(VLOOKUP(A61,'Données projet'!$A$217:$I$237,5,0)),0%,VLOOKUP(A61,'Données projet'!$A$217:$I$237,5,0)*VLOOKUP('Données projet'!$B$16,Paramètres!$A$1:$I$89,7,0))</f>
        <v>8.6000000000000007E-2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9.8179281584292362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9.8179281584292362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15.602999999999998</v>
      </c>
      <c r="N62" s="13">
        <f>IF('Données projet'!$A$36&gt;35,N61+M62-V61,IF(A62&lt;'Données projet'!$A$36,$K$205^A62,IF(A62='Données projet'!$A$36,'Données projet'!$B$36,N61+M62-V61)))</f>
        <v>521.13900000000001</v>
      </c>
      <c r="O62" s="13">
        <f>N62*VLOOKUP('Données projet'!$B$9,Paramètres!$A$1:$I$89,3,0)*VLOOKUP('Données projet'!$B$9,Paramètres!$A$1:$I$89,5,0)</f>
        <v>311.64112200000005</v>
      </c>
      <c r="P62" s="13">
        <f t="shared" si="33"/>
        <v>73.611456373141493</v>
      </c>
      <c r="Q62" s="20">
        <f t="shared" si="53"/>
        <v>670.98157399988816</v>
      </c>
      <c r="R62" s="59">
        <f t="shared" si="0"/>
        <v>931.670981193731</v>
      </c>
      <c r="S62" s="59">
        <f ca="1">AVERAGE(OFFSET($R$3,0,0,'Données projet'!$E$9+1,1))-AVERAGE(OFFSET($H$3,0,0,'Données projet'!$E$9+1,1))</f>
        <v>460.88622650237176</v>
      </c>
      <c r="T62" s="59">
        <f t="shared" si="34"/>
        <v>396.05161661639647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58.558618532783449</v>
      </c>
      <c r="AA62" s="21">
        <f>EXP(-LN(2)/25)*AA61+(1-EXP(-LN(2)/25))/(LN(2)/25)*Calculateur!V62*Calculateur!X62*VLOOKUP('Données projet'!$B$9,Paramètres!$A$1:$I$89,3,0)*0.475*44/12</f>
        <v>16.189410044830193</v>
      </c>
      <c r="AB62" s="21">
        <f>EXP(-LN(2)/2)*AB61+(1-EXP(-LN(2)/2))/(LN(2)/2)*V62*Y62*VLOOKUP('Données projet'!$B$9,Paramètres!$A$1:$I$89,3,0)*0.475*44/12</f>
        <v>1.7611910451240131</v>
      </c>
      <c r="AC62" s="22">
        <f t="shared" si="3"/>
        <v>76.509219622737646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16.595714285714287</v>
      </c>
      <c r="AI62" s="13">
        <f>IF('Données projet'!$A$62&gt;35,AI61+AH62-AQ61,IF(A62&lt;'Données projet'!$A$62,$AF$205^A62,IF(A62='Données projet'!$A$62,'Données projet'!$B$62,AI61+AH62-AQ61)))</f>
        <v>350.10714285714266</v>
      </c>
      <c r="AJ62" s="13">
        <f>AI62*VLOOKUP('Données projet'!$B$10,Paramètres!$A$1:$I$89,3,0)*VLOOKUP('Données projet'!$B$10,Paramètres!$A$1:$I$89,5,0)</f>
        <v>163.85014285714277</v>
      </c>
      <c r="AK62" s="13">
        <f t="shared" si="35"/>
        <v>41.709720429643745</v>
      </c>
      <c r="AL62" s="20">
        <f t="shared" si="4"/>
        <v>358.01676189115318</v>
      </c>
      <c r="AM62" s="59">
        <f t="shared" si="5"/>
        <v>618.70616908499596</v>
      </c>
      <c r="AN62" s="59">
        <f ca="1">AVERAGE(OFFSET($AM$3,0,0,'Données projet'!$E$10+1,1))-AVERAGE(OFFSET($H$3,0,0,'Données projet'!$E$10+1,1))</f>
        <v>387.50901594883317</v>
      </c>
      <c r="AO62" s="59">
        <f t="shared" si="36"/>
        <v>361.3623790401972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47.144998696050379</v>
      </c>
      <c r="AV62" s="21">
        <f>EXP(-LN(2)/25)*AV61+(1-EXP(-LN(2)/25))/(LN(2)/25)*Calculateur!AQ62*Calculateur!AS62*VLOOKUP('Données projet'!$B$10,Paramètres!$A$1:$I$89,3,0)*0.475*44/12</f>
        <v>25.859459032539693</v>
      </c>
      <c r="AW62" s="21">
        <f>EXP(-LN(2)/2)*AW61+(1-EXP(-LN(2)/2))/(LN(2)/2)*AQ62*AT62*VLOOKUP('Données projet'!$B$10,Paramètres!$A$1:$I$89,3,0)*0.475*44/12</f>
        <v>3.1114475519423048</v>
      </c>
      <c r="AX62" s="21">
        <f t="shared" si="6"/>
        <v>76.115905280532374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9.2524999999999977</v>
      </c>
      <c r="BD62" s="12">
        <f>IF('Données projet'!$A$88&gt;35,BD61+BC62-BL61,IF(A62&lt;'Données projet'!$A$88,$BA$205^A62,IF(A62='Données projet'!$A$88,'Données projet'!$B$88,BD61+BC62-BL61)))</f>
        <v>200.19250000000019</v>
      </c>
      <c r="BE62" s="13">
        <f>BD62*VLOOKUP('Données projet'!$B$11,Paramètres!$A$1:$I$89,3,0)*VLOOKUP('Données projet'!$B$11,Paramètres!$A$1:$I$89,5,0)</f>
        <v>181.13417400000017</v>
      </c>
      <c r="BF62" s="13">
        <f t="shared" si="37"/>
        <v>45.574426667354729</v>
      </c>
      <c r="BG62" s="20">
        <f t="shared" si="7"/>
        <v>394.85081282897653</v>
      </c>
      <c r="BH62" s="59">
        <f t="shared" si="8"/>
        <v>655.54022002281931</v>
      </c>
      <c r="BI62" s="59">
        <f ca="1">AVERAGE(OFFSET($BH$3,0,0,'Données projet'!$E$11+1,1))-AVERAGE(OFFSET($H$3,0,0,'Données projet'!$E$11+1,1))</f>
        <v>627.65081154031589</v>
      </c>
      <c r="BJ62" s="59">
        <f t="shared" si="38"/>
        <v>288.78083487077618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9.0044107320010376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9.0044107320010376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9.2524999999999977</v>
      </c>
      <c r="BY62" s="12">
        <f>IF('Données projet'!$A$114&gt;35,BY61+BX62-CG61,IF(A62&lt;'Données projet'!$A$114,$BV$205^A62,IF(A62='Données projet'!$A$114,'Données projet'!$B$114,BY61+BX62-CG61)))</f>
        <v>200.19250000000019</v>
      </c>
      <c r="BZ62" s="13">
        <f>BY62*VLOOKUP('Données projet'!$B$12,Paramètres!$A$1:$I$89,3,0)*VLOOKUP('Données projet'!$B$12,Paramètres!$A$1:$I$89,5,0)</f>
        <v>202.99519500000022</v>
      </c>
      <c r="CA62" s="13">
        <f t="shared" si="39"/>
        <v>50.40185036856122</v>
      </c>
      <c r="CB62" s="20">
        <f t="shared" si="10"/>
        <v>441.33318735024449</v>
      </c>
      <c r="CC62" s="59">
        <f t="shared" si="11"/>
        <v>702.02259454408727</v>
      </c>
      <c r="CD62" s="59">
        <f ca="1">AVERAGE(OFFSET($CC$3,0,0,'Données projet'!$E$12+1,1))-AVERAGE(OFFSET($H$3,0,0,'Données projet'!$E$12+1,1))</f>
        <v>692.2706942067415</v>
      </c>
      <c r="CE62" s="59">
        <f t="shared" si="40"/>
        <v>316.17529091924803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10.091149958277025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10.091149958277025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7.6</v>
      </c>
      <c r="CT62" s="12">
        <f>IF('Données projet'!$A$140&gt;35,CT61+CS62-DB61,IF(A62&lt;'Données projet'!$A$140,$CQ$205^A62,IF(A62='Données projet'!$A$140,'Données projet'!$B$140,CT61+CS62-DB61)))</f>
        <v>210.39999999999998</v>
      </c>
      <c r="CU62" s="17">
        <f>CT62*VLOOKUP('Données projet'!$B$13,Paramètres!$A$1:$I$89,3,0)*VLOOKUP('Données projet'!$B$13,Paramètres!$A$1:$I$89,5,0)</f>
        <v>200.21663999999998</v>
      </c>
      <c r="CV62" s="13">
        <f t="shared" si="41"/>
        <v>49.791775640053082</v>
      </c>
      <c r="CW62" s="20">
        <f t="shared" si="13"/>
        <v>435.4313239064258</v>
      </c>
      <c r="CX62" s="59">
        <f t="shared" si="14"/>
        <v>696.12073110026859</v>
      </c>
      <c r="CY62" s="59">
        <f ca="1">AVERAGE(OFFSET($CX$3,0,0,'Données projet'!$E$13+1,1))-AVERAGE(OFFSET($H$3,0,0,'Données projet'!$E$13+1,1))</f>
        <v>424.5933338095914</v>
      </c>
      <c r="CZ62" s="59">
        <f t="shared" si="42"/>
        <v>159.28977188196134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10.410910030435341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10.410910030435341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-18.333333333333343</v>
      </c>
      <c r="DU62" s="59">
        <f t="shared" si="44"/>
        <v>-18.333333333333343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>
        <f>EJ62*VLOOKUP('Données projet'!$B$15,Paramètres!$A$1:$I$89,3,0)*VLOOKUP('Données projet'!$B$15,Paramètres!$A$1:$I$89,5,0)</f>
        <v>0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-18.333333333333343</v>
      </c>
      <c r="EP62" s="59">
        <f t="shared" si="46"/>
        <v>-18.333333333333343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9.2524999999999977</v>
      </c>
      <c r="FE62" s="12">
        <f>IF('Données projet'!$A$218&gt;35,FE61+FD62-FM61,IF(A62&lt;'Données projet'!$A$218,$FB$205^A62,IF(A62='Données projet'!$A$218,'Données projet'!$B$218,FE61+FD62-FM61)))</f>
        <v>200.19250000000019</v>
      </c>
      <c r="FF62" s="17">
        <f>FE62*VLOOKUP('Données projet'!$B$16,Paramètres!$A$1:$I$89,3,0)*VLOOKUP('Données projet'!$B$16,Paramètres!$A$1:$I$89,5,0)</f>
        <v>193.62618600000019</v>
      </c>
      <c r="FG62" s="13">
        <f t="shared" si="47"/>
        <v>48.340766859082926</v>
      </c>
      <c r="FH62" s="20">
        <f t="shared" si="22"/>
        <v>421.42577622956969</v>
      </c>
      <c r="FI62" s="59">
        <f t="shared" si="23"/>
        <v>682.11518342341242</v>
      </c>
      <c r="FJ62" s="59">
        <f ca="1">AVERAGE(OFFSET($FI$3,0,0,'Données projet'!$E$16+1,1))-AVERAGE(OFFSET($H$3,0,0,'Données projet'!$E$16+1,1))</f>
        <v>664.59451650228573</v>
      </c>
      <c r="FK62" s="59">
        <f t="shared" si="48"/>
        <v>304.44325029106631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9.6254045755873161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9.6254045755873161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15.602999999999998</v>
      </c>
      <c r="N63" s="13">
        <f>IF('Données projet'!$A$36&gt;35,N62+M63-V62,IF(A63&lt;'Données projet'!$A$36,$K$205^A63,IF(A63='Données projet'!$A$36,'Données projet'!$B$36,N62+M63-V62)))</f>
        <v>536.74199999999996</v>
      </c>
      <c r="O63" s="13">
        <f>N63*VLOOKUP('Données projet'!$B$9,Paramètres!$A$1:$I$89,3,0)*VLOOKUP('Données projet'!$B$9,Paramètres!$A$1:$I$89,5,0)</f>
        <v>320.97171600000001</v>
      </c>
      <c r="P63" s="13">
        <f t="shared" si="33"/>
        <v>75.555502382460148</v>
      </c>
      <c r="Q63" s="20">
        <f t="shared" si="53"/>
        <v>690.61823868278464</v>
      </c>
      <c r="R63" s="59">
        <f t="shared" si="0"/>
        <v>951.87394501426206</v>
      </c>
      <c r="S63" s="59">
        <f ca="1">AVERAGE(OFFSET($R$3,0,0,'Données projet'!$E$9+1,1))-AVERAGE(OFFSET($H$3,0,0,'Données projet'!$E$9+1,1))</f>
        <v>460.88622650237176</v>
      </c>
      <c r="T63" s="59">
        <f t="shared" si="34"/>
        <v>396.05161661639647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57.41031974058609</v>
      </c>
      <c r="AA63" s="21">
        <f>EXP(-LN(2)/25)*AA62+(1-EXP(-LN(2)/25))/(LN(2)/25)*Calculateur!V63*Calculateur!X63*VLOOKUP('Données projet'!$B$9,Paramètres!$A$1:$I$89,3,0)*0.475*44/12</f>
        <v>15.746709775790238</v>
      </c>
      <c r="AB63" s="21">
        <f>EXP(-LN(2)/2)*AB62+(1-EXP(-LN(2)/2))/(LN(2)/2)*V63*Y63*VLOOKUP('Données projet'!$B$9,Paramètres!$A$1:$I$89,3,0)*0.475*44/12</f>
        <v>1.2453501309722126</v>
      </c>
      <c r="AC63" s="22">
        <f t="shared" si="3"/>
        <v>74.402379647348539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16.595714285714287</v>
      </c>
      <c r="AI63" s="13">
        <f>IF('Données projet'!$A$62&gt;35,AI62+AH63-AQ62,IF(A63&lt;'Données projet'!$A$62,$AF$205^A63,IF(A63='Données projet'!$A$62,'Données projet'!$B$62,AI62+AH63-AQ62)))</f>
        <v>366.70285714285694</v>
      </c>
      <c r="AJ63" s="13">
        <f>AI63*VLOOKUP('Données projet'!$B$10,Paramètres!$A$1:$I$89,3,0)*VLOOKUP('Données projet'!$B$10,Paramètres!$A$1:$I$89,5,0)</f>
        <v>171.61693714285704</v>
      </c>
      <c r="AK63" s="13">
        <f t="shared" si="35"/>
        <v>43.45196395541258</v>
      </c>
      <c r="AL63" s="20">
        <f t="shared" si="4"/>
        <v>374.57833607948623</v>
      </c>
      <c r="AM63" s="59">
        <f t="shared" si="5"/>
        <v>635.83404241096378</v>
      </c>
      <c r="AN63" s="59">
        <f ca="1">AVERAGE(OFFSET($AM$3,0,0,'Données projet'!$E$10+1,1))-AVERAGE(OFFSET($H$3,0,0,'Données projet'!$E$10+1,1))</f>
        <v>387.50901594883317</v>
      </c>
      <c r="AO63" s="59">
        <f t="shared" si="36"/>
        <v>361.3623790401972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46.220514027230656</v>
      </c>
      <c r="AV63" s="21">
        <f>EXP(-LN(2)/25)*AV62+(1-EXP(-LN(2)/25))/(LN(2)/25)*Calculateur!AQ63*Calculateur!AS63*VLOOKUP('Données projet'!$B$10,Paramètres!$A$1:$I$89,3,0)*0.475*44/12</f>
        <v>25.152330765405047</v>
      </c>
      <c r="AW63" s="21">
        <f>EXP(-LN(2)/2)*AW62+(1-EXP(-LN(2)/2))/(LN(2)/2)*AQ63*AT63*VLOOKUP('Données projet'!$B$10,Paramètres!$A$1:$I$89,3,0)*0.475*44/12</f>
        <v>2.2001256632846866</v>
      </c>
      <c r="AX63" s="21">
        <f t="shared" si="6"/>
        <v>73.572970455920384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9.2524999999999977</v>
      </c>
      <c r="BD63" s="12">
        <f>IF('Données projet'!$A$88&gt;35,BD62+BC63-BL62,IF(A63&lt;'Données projet'!$A$88,$BA$205^A63,IF(A63='Données projet'!$A$88,'Données projet'!$B$88,BD62+BC63-BL62)))</f>
        <v>209.44500000000019</v>
      </c>
      <c r="BE63" s="13">
        <f>BD63*VLOOKUP('Données projet'!$B$11,Paramètres!$A$1:$I$89,3,0)*VLOOKUP('Données projet'!$B$11,Paramètres!$A$1:$I$89,5,0)</f>
        <v>189.50583600000016</v>
      </c>
      <c r="BF63" s="13">
        <f t="shared" si="37"/>
        <v>47.430683653447495</v>
      </c>
      <c r="BG63" s="20">
        <f t="shared" si="7"/>
        <v>412.6644383964213</v>
      </c>
      <c r="BH63" s="59">
        <f t="shared" si="8"/>
        <v>673.92014472789879</v>
      </c>
      <c r="BI63" s="59">
        <f ca="1">AVERAGE(OFFSET($BH$3,0,0,'Données projet'!$E$11+1,1))-AVERAGE(OFFSET($H$3,0,0,'Données projet'!$E$11+1,1))</f>
        <v>627.65081154031589</v>
      </c>
      <c r="BJ63" s="59">
        <f t="shared" si="38"/>
        <v>288.78083487077618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8.8278397296947393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8.8278397296947393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9.2524999999999977</v>
      </c>
      <c r="BY63" s="12">
        <f>IF('Données projet'!$A$114&gt;35,BY62+BX63-CG62,IF(A63&lt;'Données projet'!$A$114,$BV$205^A63,IF(A63='Données projet'!$A$114,'Données projet'!$B$114,BY62+BX63-CG62)))</f>
        <v>209.44500000000019</v>
      </c>
      <c r="BZ63" s="13">
        <f>BY63*VLOOKUP('Données projet'!$B$12,Paramètres!$A$1:$I$89,3,0)*VLOOKUP('Données projet'!$B$12,Paramètres!$A$1:$I$89,5,0)</f>
        <v>212.3772300000002</v>
      </c>
      <c r="CA63" s="13">
        <f t="shared" si="39"/>
        <v>52.454729443519689</v>
      </c>
      <c r="CB63" s="20">
        <f t="shared" si="10"/>
        <v>461.24899603079712</v>
      </c>
      <c r="CC63" s="59">
        <f t="shared" si="11"/>
        <v>722.50470236227466</v>
      </c>
      <c r="CD63" s="59">
        <f ca="1">AVERAGE(OFFSET($CC$3,0,0,'Données projet'!$E$12+1,1))-AVERAGE(OFFSET($H$3,0,0,'Données projet'!$E$12+1,1))</f>
        <v>692.2706942067415</v>
      </c>
      <c r="CE63" s="59">
        <f t="shared" si="40"/>
        <v>316.17529091924803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9.8932686625889321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9.8932686625889321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218</v>
      </c>
      <c r="CR63" s="12">
        <f>VLOOKUP(A63,'Données projet'!$A$139:$I$159,9,0)</f>
        <v>7.6</v>
      </c>
      <c r="CS63" s="12">
        <f t="array" ref="CS63">INDEX(CR:CR,MIN(IF(ISNUMBER(CR63:CR259),ROW(CR63:CR259),"")))</f>
        <v>7.6</v>
      </c>
      <c r="CT63" s="12">
        <f>IF('Données projet'!$A$140&gt;35,CT62+CS63-DB62,IF(A63&lt;'Données projet'!$A$140,$CQ$205^A63,IF(A63='Données projet'!$A$140,'Données projet'!$B$140,CT62+CS63-DB62)))</f>
        <v>217.99999999999997</v>
      </c>
      <c r="CU63" s="17">
        <f>CT63*VLOOKUP('Données projet'!$B$13,Paramètres!$A$1:$I$89,3,0)*VLOOKUP('Données projet'!$B$13,Paramètres!$A$1:$I$89,5,0)</f>
        <v>207.44879999999998</v>
      </c>
      <c r="CV63" s="13">
        <f t="shared" si="41"/>
        <v>51.377688337856355</v>
      </c>
      <c r="CW63" s="20">
        <f t="shared" si="13"/>
        <v>450.78946718843309</v>
      </c>
      <c r="CX63" s="59">
        <f t="shared" si="14"/>
        <v>712.04517351991058</v>
      </c>
      <c r="CY63" s="59">
        <f ca="1">AVERAGE(OFFSET($CX$3,0,0,'Données projet'!$E$13+1,1))-AVERAGE(OFFSET($H$3,0,0,'Données projet'!$E$13+1,1))</f>
        <v>424.5933338095914</v>
      </c>
      <c r="CZ63" s="59">
        <f t="shared" si="42"/>
        <v>159.28977188196134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25</v>
      </c>
      <c r="DC63" s="16">
        <f>IF(ISNA(VLOOKUP(A63,'Données projet'!$A$139:$I$159,5,0)),0%,VLOOKUP(A63,'Données projet'!$A$139:$I$159,5,0)*VLOOKUP('Données projet'!$B$13,Paramètres!$A$1:$I$89,7,0))</f>
        <v>0.17200000000000001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14.730210571369899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14.730210571369899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-18.333333333333343</v>
      </c>
      <c r="DU63" s="59">
        <f t="shared" si="44"/>
        <v>-18.333333333333343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>
        <f>EJ63*VLOOKUP('Données projet'!$B$15,Paramètres!$A$1:$I$89,3,0)*VLOOKUP('Données projet'!$B$15,Paramètres!$A$1:$I$89,5,0)</f>
        <v>0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-18.333333333333343</v>
      </c>
      <c r="EP63" s="59">
        <f t="shared" si="46"/>
        <v>-18.333333333333343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9.2524999999999977</v>
      </c>
      <c r="FE63" s="12">
        <f>IF('Données projet'!$A$218&gt;35,FE62+FD63-FM62,IF(A63&lt;'Données projet'!$A$218,$FB$205^A63,IF(A63='Données projet'!$A$218,'Données projet'!$B$218,FE62+FD63-FM62)))</f>
        <v>209.44500000000019</v>
      </c>
      <c r="FF63" s="17">
        <f>FE63*VLOOKUP('Données projet'!$B$16,Paramètres!$A$1:$I$89,3,0)*VLOOKUP('Données projet'!$B$16,Paramètres!$A$1:$I$89,5,0)</f>
        <v>202.57520400000018</v>
      </c>
      <c r="FG63" s="13">
        <f t="shared" si="47"/>
        <v>50.309697523865829</v>
      </c>
      <c r="FH63" s="20">
        <f t="shared" si="22"/>
        <v>440.44120348739995</v>
      </c>
      <c r="FI63" s="59">
        <f t="shared" si="23"/>
        <v>701.69690981887743</v>
      </c>
      <c r="FJ63" s="59">
        <f ca="1">AVERAGE(OFFSET($FI$3,0,0,'Données projet'!$E$16+1,1))-AVERAGE(OFFSET($H$3,0,0,'Données projet'!$E$16+1,1))</f>
        <v>664.59451650228573</v>
      </c>
      <c r="FK63" s="59">
        <f t="shared" si="48"/>
        <v>304.44325029106631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9.4366562627771344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9.4366562627771344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15.602999999999998</v>
      </c>
      <c r="N64" s="13">
        <f>IF('Données projet'!$A$36&gt;35,N63+M64-V63,IF(A64&lt;'Données projet'!$A$36,$K$205^A64,IF(A64='Données projet'!$A$36,'Données projet'!$B$36,N63+M64-V63)))</f>
        <v>552.34499999999991</v>
      </c>
      <c r="O64" s="13">
        <f>N64*VLOOKUP('Données projet'!$B$9,Paramètres!$A$1:$I$89,3,0)*VLOOKUP('Données projet'!$B$9,Paramètres!$A$1:$I$89,5,0)</f>
        <v>330.30230999999998</v>
      </c>
      <c r="P64" s="13">
        <f t="shared" si="33"/>
        <v>77.492980407216848</v>
      </c>
      <c r="Q64" s="20">
        <f t="shared" si="53"/>
        <v>710.24346412590251</v>
      </c>
      <c r="R64" s="59">
        <f t="shared" si="0"/>
        <v>972.05564557103185</v>
      </c>
      <c r="S64" s="59">
        <f ca="1">AVERAGE(OFFSET($R$3,0,0,'Données projet'!$E$9+1,1))-AVERAGE(OFFSET($H$3,0,0,'Données projet'!$E$9+1,1))</f>
        <v>460.88622650237176</v>
      </c>
      <c r="T64" s="59">
        <f t="shared" si="34"/>
        <v>396.05161661639647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56.284538387310612</v>
      </c>
      <c r="AA64" s="21">
        <f>EXP(-LN(2)/25)*AA63+(1-EXP(-LN(2)/25))/(LN(2)/25)*Calculateur!V64*Calculateur!X64*VLOOKUP('Données projet'!$B$9,Paramètres!$A$1:$I$89,3,0)*0.475*44/12</f>
        <v>15.316115168887777</v>
      </c>
      <c r="AB64" s="21">
        <f>EXP(-LN(2)/2)*AB63+(1-EXP(-LN(2)/2))/(LN(2)/2)*V64*Y64*VLOOKUP('Données projet'!$B$9,Paramètres!$A$1:$I$89,3,0)*0.475*44/12</f>
        <v>0.88059552256200668</v>
      </c>
      <c r="AC64" s="22">
        <f t="shared" si="3"/>
        <v>72.481249078760385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16.595714285714287</v>
      </c>
      <c r="AI64" s="13">
        <f>IF('Données projet'!$A$62&gt;35,AI63+AH64-AQ63,IF(A64&lt;'Données projet'!$A$62,$AF$205^A64,IF(A64='Données projet'!$A$62,'Données projet'!$B$62,AI63+AH64-AQ63)))</f>
        <v>383.29857142857122</v>
      </c>
      <c r="AJ64" s="13">
        <f>AI64*VLOOKUP('Données projet'!$B$10,Paramètres!$A$1:$I$89,3,0)*VLOOKUP('Données projet'!$B$10,Paramètres!$A$1:$I$89,5,0)</f>
        <v>179.38373142857134</v>
      </c>
      <c r="AK64" s="13">
        <f t="shared" si="35"/>
        <v>45.185050408380668</v>
      </c>
      <c r="AL64" s="20">
        <f t="shared" si="4"/>
        <v>391.12396169935806</v>
      </c>
      <c r="AM64" s="59">
        <f t="shared" si="5"/>
        <v>652.93614314448746</v>
      </c>
      <c r="AN64" s="59">
        <f ca="1">AVERAGE(OFFSET($AM$3,0,0,'Données projet'!$E$10+1,1))-AVERAGE(OFFSET($H$3,0,0,'Données projet'!$E$10+1,1))</f>
        <v>387.50901594883317</v>
      </c>
      <c r="AO64" s="59">
        <f t="shared" si="36"/>
        <v>361.3623790401972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45.314157938886517</v>
      </c>
      <c r="AV64" s="21">
        <f>EXP(-LN(2)/25)*AV63+(1-EXP(-LN(2)/25))/(LN(2)/25)*Calculateur!AQ64*Calculateur!AS64*VLOOKUP('Données projet'!$B$10,Paramètres!$A$1:$I$89,3,0)*0.475*44/12</f>
        <v>24.464538957921459</v>
      </c>
      <c r="AW64" s="21">
        <f>EXP(-LN(2)/2)*AW63+(1-EXP(-LN(2)/2))/(LN(2)/2)*AQ64*AT64*VLOOKUP('Données projet'!$B$10,Paramètres!$A$1:$I$89,3,0)*0.475*44/12</f>
        <v>1.5557237759711526</v>
      </c>
      <c r="AX64" s="21">
        <f t="shared" si="6"/>
        <v>71.334420672779117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9.2524999999999977</v>
      </c>
      <c r="BD64" s="12">
        <f>IF('Données projet'!$A$88&gt;35,BD63+BC64-BL63,IF(A64&lt;'Données projet'!$A$88,$BA$205^A64,IF(A64='Données projet'!$A$88,'Données projet'!$B$88,BD63+BC64-BL63)))</f>
        <v>218.69750000000019</v>
      </c>
      <c r="BE64" s="13">
        <f>BD64*VLOOKUP('Données projet'!$B$11,Paramètres!$A$1:$I$89,3,0)*VLOOKUP('Données projet'!$B$11,Paramètres!$A$1:$I$89,5,0)</f>
        <v>197.87749800000014</v>
      </c>
      <c r="BF64" s="13">
        <f t="shared" si="37"/>
        <v>49.277416774103372</v>
      </c>
      <c r="BG64" s="20">
        <f t="shared" si="7"/>
        <v>430.46147656489694</v>
      </c>
      <c r="BH64" s="59">
        <f t="shared" si="8"/>
        <v>692.27365801002634</v>
      </c>
      <c r="BI64" s="59">
        <f ca="1">AVERAGE(OFFSET($BH$3,0,0,'Données projet'!$E$11+1,1))-AVERAGE(OFFSET($H$3,0,0,'Données projet'!$E$11+1,1))</f>
        <v>627.65081154031589</v>
      </c>
      <c r="BJ64" s="59">
        <f t="shared" si="38"/>
        <v>288.78083487077618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8.6547311770459903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8.6547311770459903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9.2524999999999977</v>
      </c>
      <c r="BY64" s="12">
        <f>IF('Données projet'!$A$114&gt;35,BY63+BX64-CG63,IF(A64&lt;'Données projet'!$A$114,$BV$205^A64,IF(A64='Données projet'!$A$114,'Données projet'!$B$114,BY63+BX64-CG63)))</f>
        <v>218.69750000000019</v>
      </c>
      <c r="BZ64" s="13">
        <f>BY64*VLOOKUP('Données projet'!$B$12,Paramètres!$A$1:$I$89,3,0)*VLOOKUP('Données projet'!$B$12,Paramètres!$A$1:$I$89,5,0)</f>
        <v>221.7592650000002</v>
      </c>
      <c r="CA64" s="13">
        <f t="shared" si="39"/>
        <v>54.497075847509379</v>
      </c>
      <c r="CB64" s="20">
        <f t="shared" si="10"/>
        <v>481.14646030941248</v>
      </c>
      <c r="CC64" s="59">
        <f t="shared" si="11"/>
        <v>742.95864175454176</v>
      </c>
      <c r="CD64" s="59">
        <f ca="1">AVERAGE(OFFSET($CC$3,0,0,'Données projet'!$E$12+1,1))-AVERAGE(OFFSET($H$3,0,0,'Données projet'!$E$12+1,1))</f>
        <v>692.2706942067415</v>
      </c>
      <c r="CE64" s="59">
        <f t="shared" si="40"/>
        <v>316.17529091924803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9.6992676984136104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9.6992676984136104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7.4</v>
      </c>
      <c r="CT64" s="12">
        <f>IF('Données projet'!$A$140&gt;35,CT63+CS64-DB63,IF(A64&lt;'Données projet'!$A$140,$CQ$205^A64,IF(A64='Données projet'!$A$140,'Données projet'!$B$140,CT63+CS64-DB63)))</f>
        <v>200.39999999999998</v>
      </c>
      <c r="CU64" s="17">
        <f>CT64*VLOOKUP('Données projet'!$B$13,Paramètres!$A$1:$I$89,3,0)*VLOOKUP('Données projet'!$B$13,Paramètres!$A$1:$I$89,5,0)</f>
        <v>190.70063999999999</v>
      </c>
      <c r="CV64" s="13">
        <f t="shared" si="41"/>
        <v>47.694821208401116</v>
      </c>
      <c r="CW64" s="20">
        <f t="shared" si="13"/>
        <v>415.20542827129862</v>
      </c>
      <c r="CX64" s="59">
        <f t="shared" si="14"/>
        <v>677.01760971642796</v>
      </c>
      <c r="CY64" s="59">
        <f ca="1">AVERAGE(OFFSET($CX$3,0,0,'Données projet'!$E$13+1,1))-AVERAGE(OFFSET($H$3,0,0,'Données projet'!$E$13+1,1))</f>
        <v>424.5933338095914</v>
      </c>
      <c r="CZ64" s="59">
        <f t="shared" si="42"/>
        <v>159.28977188196134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14.441360126606634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14.441360126606634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-18.333333333333343</v>
      </c>
      <c r="DU64" s="59">
        <f t="shared" si="44"/>
        <v>-18.333333333333343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>
        <f>EJ64*VLOOKUP('Données projet'!$B$15,Paramètres!$A$1:$I$89,3,0)*VLOOKUP('Données projet'!$B$15,Paramètres!$A$1:$I$89,5,0)</f>
        <v>0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-18.333333333333343</v>
      </c>
      <c r="EP64" s="59">
        <f t="shared" si="46"/>
        <v>-18.333333333333343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9.2524999999999977</v>
      </c>
      <c r="FE64" s="12">
        <f>IF('Données projet'!$A$218&gt;35,FE63+FD64-FM63,IF(A64&lt;'Données projet'!$A$218,$FB$205^A64,IF(A64='Données projet'!$A$218,'Données projet'!$B$218,FE63+FD64-FM63)))</f>
        <v>218.69750000000019</v>
      </c>
      <c r="FF64" s="17">
        <f>FE64*VLOOKUP('Données projet'!$B$16,Paramètres!$A$1:$I$89,3,0)*VLOOKUP('Données projet'!$B$16,Paramètres!$A$1:$I$89,5,0)</f>
        <v>211.52422200000021</v>
      </c>
      <c r="FG64" s="13">
        <f t="shared" si="47"/>
        <v>52.268526230328021</v>
      </c>
      <c r="FH64" s="20">
        <f t="shared" si="22"/>
        <v>459.43903650115499</v>
      </c>
      <c r="FI64" s="59">
        <f t="shared" si="23"/>
        <v>721.25121794628433</v>
      </c>
      <c r="FJ64" s="59">
        <f ca="1">AVERAGE(OFFSET($FI$3,0,0,'Données projet'!$E$16+1,1))-AVERAGE(OFFSET($H$3,0,0,'Données projet'!$E$16+1,1))</f>
        <v>664.59451650228573</v>
      </c>
      <c r="FK64" s="59">
        <f t="shared" si="48"/>
        <v>304.44325029106631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9.2516091892560581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9.2516091892560581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15.602999999999998</v>
      </c>
      <c r="N65" s="13">
        <f>IF('Données projet'!$A$36&gt;35,N64+M65-V64,IF(A65&lt;'Données projet'!$A$36,$K$205^A65,IF(A65='Données projet'!$A$36,'Données projet'!$B$36,N64+M65-V64)))</f>
        <v>567.94799999999987</v>
      </c>
      <c r="O65" s="13">
        <f>N65*VLOOKUP('Données projet'!$B$9,Paramètres!$A$1:$I$89,3,0)*VLOOKUP('Données projet'!$B$9,Paramètres!$A$1:$I$89,5,0)</f>
        <v>339.63290399999994</v>
      </c>
      <c r="P65" s="13">
        <f t="shared" si="33"/>
        <v>79.424097296144211</v>
      </c>
      <c r="Q65" s="20">
        <f t="shared" si="53"/>
        <v>729.85761059078425</v>
      </c>
      <c r="R65" s="59">
        <f t="shared" si="0"/>
        <v>992.21661355043557</v>
      </c>
      <c r="S65" s="59">
        <f ca="1">AVERAGE(OFFSET($R$3,0,0,'Données projet'!$E$9+1,1))-AVERAGE(OFFSET($H$3,0,0,'Données projet'!$E$9+1,1))</f>
        <v>460.88622650237176</v>
      </c>
      <c r="T65" s="59">
        <f t="shared" si="34"/>
        <v>396.05161661639647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55.180832919714042</v>
      </c>
      <c r="AA65" s="21">
        <f>EXP(-LN(2)/25)*AA64+(1-EXP(-LN(2)/25))/(LN(2)/25)*Calculateur!V65*Calculateur!X65*VLOOKUP('Données projet'!$B$9,Paramètres!$A$1:$I$89,3,0)*0.475*44/12</f>
        <v>14.897295194155049</v>
      </c>
      <c r="AB65" s="21">
        <f>EXP(-LN(2)/2)*AB64+(1-EXP(-LN(2)/2))/(LN(2)/2)*V65*Y65*VLOOKUP('Données projet'!$B$9,Paramètres!$A$1:$I$89,3,0)*0.475*44/12</f>
        <v>0.6226750654861064</v>
      </c>
      <c r="AC65" s="22">
        <f t="shared" si="3"/>
        <v>70.700803179355205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16.595714285714287</v>
      </c>
      <c r="AI65" s="13">
        <f>IF('Données projet'!$A$62&gt;35,AI64+AH65-AQ64,IF(A65&lt;'Données projet'!$A$62,$AF$205^A65,IF(A65='Données projet'!$A$62,'Données projet'!$B$62,AI64+AH65-AQ64)))</f>
        <v>399.8942857142855</v>
      </c>
      <c r="AJ65" s="13">
        <f>AI65*VLOOKUP('Données projet'!$B$10,Paramètres!$A$1:$I$89,3,0)*VLOOKUP('Données projet'!$B$10,Paramètres!$A$1:$I$89,5,0)</f>
        <v>187.15052571428564</v>
      </c>
      <c r="AK65" s="13">
        <f t="shared" si="35"/>
        <v>46.909421581101313</v>
      </c>
      <c r="AL65" s="20">
        <f t="shared" si="4"/>
        <v>407.6544082061323</v>
      </c>
      <c r="AM65" s="59">
        <f t="shared" si="5"/>
        <v>670.01341116578362</v>
      </c>
      <c r="AN65" s="59">
        <f ca="1">AVERAGE(OFFSET($AM$3,0,0,'Données projet'!$E$10+1,1))-AVERAGE(OFFSET($H$3,0,0,'Données projet'!$E$10+1,1))</f>
        <v>387.50901594883317</v>
      </c>
      <c r="AO65" s="59">
        <f t="shared" si="36"/>
        <v>361.3623790401972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44.425574940612179</v>
      </c>
      <c r="AV65" s="21">
        <f>EXP(-LN(2)/25)*AV64+(1-EXP(-LN(2)/25))/(LN(2)/25)*Calculateur!AQ65*Calculateur!AS65*VLOOKUP('Données projet'!$B$10,Paramètres!$A$1:$I$89,3,0)*0.475*44/12</f>
        <v>23.795554853582907</v>
      </c>
      <c r="AW65" s="21">
        <f>EXP(-LN(2)/2)*AW64+(1-EXP(-LN(2)/2))/(LN(2)/2)*AQ65*AT65*VLOOKUP('Données projet'!$B$10,Paramètres!$A$1:$I$89,3,0)*0.475*44/12</f>
        <v>1.1000628316423433</v>
      </c>
      <c r="AX65" s="21">
        <f t="shared" si="6"/>
        <v>69.32119262583744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9.2524999999999977</v>
      </c>
      <c r="BD65" s="12">
        <f>IF('Données projet'!$A$88&gt;35,BD64+BC65-BL64,IF(A65&lt;'Données projet'!$A$88,$BA$205^A65,IF(A65='Données projet'!$A$88,'Données projet'!$B$88,BD64+BC65-BL64)))</f>
        <v>227.95000000000019</v>
      </c>
      <c r="BE65" s="13">
        <f>BD65*VLOOKUP('Données projet'!$B$11,Paramètres!$A$1:$I$89,3,0)*VLOOKUP('Données projet'!$B$11,Paramètres!$A$1:$I$89,5,0)</f>
        <v>206.24916000000016</v>
      </c>
      <c r="BF65" s="13">
        <f t="shared" si="37"/>
        <v>51.115075026737237</v>
      </c>
      <c r="BG65" s="20">
        <f t="shared" si="7"/>
        <v>448.24270933823431</v>
      </c>
      <c r="BH65" s="59">
        <f t="shared" si="8"/>
        <v>710.60171229788557</v>
      </c>
      <c r="BI65" s="59">
        <f ca="1">AVERAGE(OFFSET($BH$3,0,0,'Données projet'!$E$11+1,1))-AVERAGE(OFFSET($H$3,0,0,'Données projet'!$E$11+1,1))</f>
        <v>627.65081154031589</v>
      </c>
      <c r="BJ65" s="59">
        <f t="shared" si="38"/>
        <v>288.78083487077618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8.4850171775288921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8.4850171775288921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9.2524999999999977</v>
      </c>
      <c r="BY65" s="12">
        <f>IF('Données projet'!$A$114&gt;35,BY64+BX65-CG64,IF(A65&lt;'Données projet'!$A$114,$BV$205^A65,IF(A65='Données projet'!$A$114,'Données projet'!$B$114,BY64+BX65-CG64)))</f>
        <v>227.95000000000019</v>
      </c>
      <c r="BZ65" s="13">
        <f>BY65*VLOOKUP('Données projet'!$B$12,Paramètres!$A$1:$I$89,3,0)*VLOOKUP('Données projet'!$B$12,Paramètres!$A$1:$I$89,5,0)</f>
        <v>231.1413000000002</v>
      </c>
      <c r="CA65" s="13">
        <f t="shared" si="39"/>
        <v>56.529386137528874</v>
      </c>
      <c r="CB65" s="20">
        <f t="shared" si="10"/>
        <v>501.02644502286307</v>
      </c>
      <c r="CC65" s="59">
        <f t="shared" si="11"/>
        <v>763.38544798251439</v>
      </c>
      <c r="CD65" s="59">
        <f ca="1">AVERAGE(OFFSET($CC$3,0,0,'Données projet'!$E$12+1,1))-AVERAGE(OFFSET($H$3,0,0,'Données projet'!$E$12+1,1))</f>
        <v>692.2706942067415</v>
      </c>
      <c r="CE65" s="59">
        <f t="shared" si="40"/>
        <v>316.17529091924803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9.5090709748168614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9.5090709748168614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7.4</v>
      </c>
      <c r="CT65" s="12">
        <f>IF('Données projet'!$A$140&gt;35,CT64+CS65-DB64,IF(A65&lt;'Données projet'!$A$140,$CQ$205^A65,IF(A65='Données projet'!$A$140,'Données projet'!$B$140,CT64+CS65-DB64)))</f>
        <v>207.79999999999998</v>
      </c>
      <c r="CU65" s="17">
        <f>CT65*VLOOKUP('Données projet'!$B$13,Paramètres!$A$1:$I$89,3,0)*VLOOKUP('Données projet'!$B$13,Paramètres!$A$1:$I$89,5,0)</f>
        <v>197.74247999999997</v>
      </c>
      <c r="CV65" s="13">
        <f t="shared" si="41"/>
        <v>49.247705850607339</v>
      </c>
      <c r="CW65" s="20">
        <f t="shared" si="13"/>
        <v>430.17457368980769</v>
      </c>
      <c r="CX65" s="59">
        <f t="shared" si="14"/>
        <v>692.53357664945906</v>
      </c>
      <c r="CY65" s="59">
        <f ca="1">AVERAGE(OFFSET($CX$3,0,0,'Données projet'!$E$13+1,1))-AVERAGE(OFFSET($H$3,0,0,'Données projet'!$E$13+1,1))</f>
        <v>424.5933338095914</v>
      </c>
      <c r="CZ65" s="59">
        <f t="shared" si="42"/>
        <v>159.28977188196134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14.158173862883801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14.158173862883801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-18.333333333333343</v>
      </c>
      <c r="DU65" s="59">
        <f t="shared" si="44"/>
        <v>-18.333333333333343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>
        <f>EJ65*VLOOKUP('Données projet'!$B$15,Paramètres!$A$1:$I$89,3,0)*VLOOKUP('Données projet'!$B$15,Paramètres!$A$1:$I$89,5,0)</f>
        <v>0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-18.333333333333343</v>
      </c>
      <c r="EP65" s="59">
        <f t="shared" si="46"/>
        <v>-18.333333333333343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9.2524999999999977</v>
      </c>
      <c r="FE65" s="12">
        <f>IF('Données projet'!$A$218&gt;35,FE64+FD65-FM64,IF(A65&lt;'Données projet'!$A$218,$FB$205^A65,IF(A65='Données projet'!$A$218,'Données projet'!$B$218,FE64+FD65-FM64)))</f>
        <v>227.95000000000019</v>
      </c>
      <c r="FF65" s="17">
        <f>FE65*VLOOKUP('Données projet'!$B$16,Paramètres!$A$1:$I$89,3,0)*VLOOKUP('Données projet'!$B$16,Paramètres!$A$1:$I$89,5,0)</f>
        <v>220.4732400000002</v>
      </c>
      <c r="FG65" s="13">
        <f t="shared" si="47"/>
        <v>54.2177292297565</v>
      </c>
      <c r="FH65" s="20">
        <f t="shared" si="22"/>
        <v>478.42010474182621</v>
      </c>
      <c r="FI65" s="59">
        <f t="shared" si="23"/>
        <v>740.77910770147753</v>
      </c>
      <c r="FJ65" s="59">
        <f ca="1">AVERAGE(OFFSET($FI$3,0,0,'Données projet'!$E$16+1,1))-AVERAGE(OFFSET($H$3,0,0,'Données projet'!$E$16+1,1))</f>
        <v>664.59451650228573</v>
      </c>
      <c r="FK65" s="59">
        <f t="shared" si="48"/>
        <v>304.44325029106631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9.0701907759791602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9.0701907759791602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15.602999999999998</v>
      </c>
      <c r="N66" s="13">
        <f>IF('Données projet'!$A$36&gt;35,N65+M66-V65,IF(A66&lt;'Données projet'!$A$36,$K$205^A66,IF(A66='Données projet'!$A$36,'Données projet'!$B$36,N65+M66-V65)))</f>
        <v>583.55099999999982</v>
      </c>
      <c r="O66" s="13">
        <f>N66*VLOOKUP('Données projet'!$B$9,Paramètres!$A$1:$I$89,3,0)*VLOOKUP('Données projet'!$B$9,Paramètres!$A$1:$I$89,5,0)</f>
        <v>348.9634979999999</v>
      </c>
      <c r="P66" s="13">
        <f t="shared" si="33"/>
        <v>81.34904788581558</v>
      </c>
      <c r="Q66" s="20">
        <f t="shared" si="53"/>
        <v>749.46101741779523</v>
      </c>
      <c r="R66" s="59">
        <f t="shared" si="0"/>
        <v>1012.3573557612013</v>
      </c>
      <c r="S66" s="59">
        <f ca="1">AVERAGE(OFFSET($R$3,0,0,'Données projet'!$E$9+1,1))-AVERAGE(OFFSET($H$3,0,0,'Données projet'!$E$9+1,1))</f>
        <v>460.88622650237176</v>
      </c>
      <c r="T66" s="59">
        <f t="shared" si="34"/>
        <v>396.05161661639647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54.098770443143181</v>
      </c>
      <c r="AA66" s="21">
        <f>EXP(-LN(2)/25)*AA65+(1-EXP(-LN(2)/25))/(LN(2)/25)*Calculateur!V66*Calculateur!X66*VLOOKUP('Données projet'!$B$9,Paramètres!$A$1:$I$89,3,0)*0.475*44/12</f>
        <v>14.489927873656173</v>
      </c>
      <c r="AB66" s="21">
        <f>EXP(-LN(2)/2)*AB65+(1-EXP(-LN(2)/2))/(LN(2)/2)*V66*Y66*VLOOKUP('Données projet'!$B$9,Paramètres!$A$1:$I$89,3,0)*0.475*44/12</f>
        <v>0.4402977612810034</v>
      </c>
      <c r="AC66" s="22">
        <f t="shared" si="3"/>
        <v>69.028996078080354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416.49</v>
      </c>
      <c r="AG66" s="12">
        <f>VLOOKUP(A66,'Données projet'!$A$61:$I$81,9,0)</f>
        <v>16.595714285714287</v>
      </c>
      <c r="AH66" s="12">
        <f t="array" ref="AH66">INDEX(AG:AG,MIN(IF(ISNUMBER(AG66:AG262),ROW(AG66:AG262),"")))</f>
        <v>16.595714285714287</v>
      </c>
      <c r="AI66" s="13">
        <f>IF('Données projet'!$A$62&gt;35,AI65+AH66-AQ65,IF(A66&lt;'Données projet'!$A$62,$AF$205^A66,IF(A66='Données projet'!$A$62,'Données projet'!$B$62,AI65+AH66-AQ65)))</f>
        <v>416.48999999999978</v>
      </c>
      <c r="AJ66" s="13">
        <f>AI66*VLOOKUP('Données projet'!$B$10,Paramètres!$A$1:$I$89,3,0)*VLOOKUP('Données projet'!$B$10,Paramètres!$A$1:$I$89,5,0)</f>
        <v>194.91731999999988</v>
      </c>
      <c r="AK66" s="13">
        <f t="shared" si="35"/>
        <v>48.625480522444235</v>
      </c>
      <c r="AL66" s="20">
        <f t="shared" si="4"/>
        <v>424.17037757659017</v>
      </c>
      <c r="AM66" s="59">
        <f t="shared" si="5"/>
        <v>687.06671591999634</v>
      </c>
      <c r="AN66" s="59">
        <f ca="1">AVERAGE(OFFSET($AM$3,0,0,'Données projet'!$E$10+1,1))-AVERAGE(OFFSET($H$3,0,0,'Données projet'!$E$10+1,1))</f>
        <v>387.50901594883317</v>
      </c>
      <c r="AO66" s="59">
        <f t="shared" si="36"/>
        <v>361.3623790401972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79.099999999999994</v>
      </c>
      <c r="AR66" s="16">
        <f>IF(ISNA(VLOOKUP(A66,'Données projet'!$A$61:$I$81,5,0)),0%,VLOOKUP(A66,'Données projet'!$A$61:$I$81,5,0)*VLOOKUP('Données projet'!$B$10,Paramètres!$A$1:$I$89,7,0))</f>
        <v>0.38500000000000001</v>
      </c>
      <c r="AS66" s="16">
        <f>IF(ISNA(VLOOKUP(A66,'Données projet'!$A$61:$I$81,6,0)),0%,VLOOKUP(A66,'Données projet'!$A$61:$I$81,6,0)*VLOOKUP('Données projet'!$B$10,Paramètres!$A$1:$I$89,7,0))</f>
        <v>9.3500000000000014E-2</v>
      </c>
      <c r="AT66" s="16">
        <f>IF(ISNA(VLOOKUP(A66,'Données projet'!$A$61:$I$81,7,0)),0%,VLOOKUP(A66,'Données projet'!$A$61:$I$81,7,0))</f>
        <v>0.13</v>
      </c>
      <c r="AU66" s="21">
        <f>EXP(-LN(2)/35)*AU65+(1-EXP(-LN(2)/35))/(LN(2)/35)*AQ66*AR66*VLOOKUP('Données projet'!$B$10,Paramètres!$A$1:$I$89,3,0)*0.475*44/12</f>
        <v>62.460928854216611</v>
      </c>
      <c r="AV66" s="21">
        <f>EXP(-LN(2)/25)*AV65+(1-EXP(-LN(2)/25))/(LN(2)/25)*Calculateur!AQ66*Calculateur!AS66*VLOOKUP('Données projet'!$B$10,Paramètres!$A$1:$I$89,3,0)*0.475*44/12</f>
        <v>27.71836691718541</v>
      </c>
      <c r="AW66" s="21">
        <f>EXP(-LN(2)/2)*AW65+(1-EXP(-LN(2)/2))/(LN(2)/2)*AQ66*AT66*VLOOKUP('Données projet'!$B$10,Paramètres!$A$1:$I$89,3,0)*0.475*44/12</f>
        <v>6.22666641482303</v>
      </c>
      <c r="AX66" s="21">
        <f t="shared" si="6"/>
        <v>96.405962186225054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9.2524999999999977</v>
      </c>
      <c r="BD66" s="12">
        <f>IF('Données projet'!$A$88&gt;35,BD65+BC66-BL65,IF(A66&lt;'Données projet'!$A$88,$BA$205^A66,IF(A66='Données projet'!$A$88,'Données projet'!$B$88,BD65+BC66-BL65)))</f>
        <v>237.20250000000019</v>
      </c>
      <c r="BE66" s="13">
        <f>BD66*VLOOKUP('Données projet'!$B$11,Paramètres!$A$1:$I$89,3,0)*VLOOKUP('Données projet'!$B$11,Paramètres!$A$1:$I$89,5,0)</f>
        <v>214.62082200000015</v>
      </c>
      <c r="BF66" s="13">
        <f t="shared" si="37"/>
        <v>52.944068896315315</v>
      </c>
      <c r="BG66" s="20">
        <f t="shared" si="7"/>
        <v>466.0088516444161</v>
      </c>
      <c r="BH66" s="59">
        <f t="shared" si="8"/>
        <v>728.90518998782227</v>
      </c>
      <c r="BI66" s="59">
        <f ca="1">AVERAGE(OFFSET($BH$3,0,0,'Données projet'!$E$11+1,1))-AVERAGE(OFFSET($H$3,0,0,'Données projet'!$E$11+1,1))</f>
        <v>627.65081154031589</v>
      </c>
      <c r="BJ66" s="59">
        <f t="shared" si="38"/>
        <v>288.78083487077618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8.3186311660270054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8.3186311660270054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9.2524999999999977</v>
      </c>
      <c r="BY66" s="12">
        <f>IF('Données projet'!$A$114&gt;35,BY65+BX66-CG65,IF(A66&lt;'Données projet'!$A$114,$BV$205^A66,IF(A66='Données projet'!$A$114,'Données projet'!$B$114,BY65+BX66-CG65)))</f>
        <v>237.20250000000019</v>
      </c>
      <c r="BZ66" s="13">
        <f>BY66*VLOOKUP('Données projet'!$B$12,Paramètres!$A$1:$I$89,3,0)*VLOOKUP('Données projet'!$B$12,Paramètres!$A$1:$I$89,5,0)</f>
        <v>240.52333500000023</v>
      </c>
      <c r="CA66" s="13">
        <f t="shared" si="39"/>
        <v>58.552114278737164</v>
      </c>
      <c r="CB66" s="20">
        <f t="shared" si="10"/>
        <v>520.88974082713423</v>
      </c>
      <c r="CC66" s="59">
        <f t="shared" si="11"/>
        <v>783.78607917054035</v>
      </c>
      <c r="CD66" s="59">
        <f ca="1">AVERAGE(OFFSET($CC$3,0,0,'Données projet'!$E$12+1,1))-AVERAGE(OFFSET($H$3,0,0,'Données projet'!$E$12+1,1))</f>
        <v>692.2706942067415</v>
      </c>
      <c r="CE66" s="59">
        <f t="shared" si="40"/>
        <v>316.17529091924803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9.3226038929612987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9.3226038929612987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7.4</v>
      </c>
      <c r="CT66" s="12">
        <f>IF('Données projet'!$A$140&gt;35,CT65+CS66-DB65,IF(A66&lt;'Données projet'!$A$140,$CQ$205^A66,IF(A66='Données projet'!$A$140,'Données projet'!$B$140,CT65+CS66-DB65)))</f>
        <v>215.2</v>
      </c>
      <c r="CU66" s="17">
        <f>CT66*VLOOKUP('Données projet'!$B$13,Paramètres!$A$1:$I$89,3,0)*VLOOKUP('Données projet'!$B$13,Paramètres!$A$1:$I$89,5,0)</f>
        <v>204.78431999999998</v>
      </c>
      <c r="CV66" s="13">
        <f t="shared" si="41"/>
        <v>50.794165457324233</v>
      </c>
      <c r="CW66" s="20">
        <f t="shared" si="13"/>
        <v>445.13252883817296</v>
      </c>
      <c r="CX66" s="59">
        <f t="shared" si="14"/>
        <v>708.02886718157902</v>
      </c>
      <c r="CY66" s="59">
        <f ca="1">AVERAGE(OFFSET($CX$3,0,0,'Données projet'!$E$13+1,1))-AVERAGE(OFFSET($H$3,0,0,'Données projet'!$E$13+1,1))</f>
        <v>424.5933338095914</v>
      </c>
      <c r="CZ66" s="59">
        <f t="shared" si="42"/>
        <v>159.28977188196134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13.880540709066009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13.880540709066009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-18.333333333333343</v>
      </c>
      <c r="DU66" s="59">
        <f t="shared" si="44"/>
        <v>-18.333333333333343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-18.333333333333343</v>
      </c>
      <c r="EP66" s="59">
        <f t="shared" si="46"/>
        <v>-18.333333333333343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9.2524999999999977</v>
      </c>
      <c r="FE66" s="12">
        <f>IF('Données projet'!$A$218&gt;35,FE65+FD66-FM65,IF(A66&lt;'Données projet'!$A$218,$FB$205^A66,IF(A66='Données projet'!$A$218,'Données projet'!$B$218,FE65+FD66-FM65)))</f>
        <v>237.20250000000019</v>
      </c>
      <c r="FF66" s="17">
        <f>FE66*VLOOKUP('Données projet'!$B$16,Paramètres!$A$1:$I$89,3,0)*VLOOKUP('Données projet'!$B$16,Paramètres!$A$1:$I$89,5,0)</f>
        <v>229.4222580000002</v>
      </c>
      <c r="FG66" s="13">
        <f t="shared" si="47"/>
        <v>56.157741923307334</v>
      </c>
      <c r="FH66" s="20">
        <f t="shared" si="22"/>
        <v>497.38516653309392</v>
      </c>
      <c r="FI66" s="59">
        <f t="shared" si="23"/>
        <v>760.28150487650009</v>
      </c>
      <c r="FJ66" s="59">
        <f ca="1">AVERAGE(OFFSET($FI$3,0,0,'Données projet'!$E$16+1,1))-AVERAGE(OFFSET($H$3,0,0,'Données projet'!$E$16+1,1))</f>
        <v>664.59451650228573</v>
      </c>
      <c r="FK66" s="59">
        <f t="shared" si="48"/>
        <v>304.44325029106631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8.8923298671323163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8.8923298671323163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15.602999999999998</v>
      </c>
      <c r="N67" s="13">
        <f>IF('Données projet'!$A$36&gt;35,N66+M67-V66,IF(A67&lt;'Données projet'!$A$36,$K$205^A67,IF(A67='Données projet'!$A$36,'Données projet'!$B$36,N66+M67-V66)))</f>
        <v>599.15399999999977</v>
      </c>
      <c r="O67" s="13">
        <f>N67*VLOOKUP('Données projet'!$B$9,Paramètres!$A$1:$I$89,3,0)*VLOOKUP('Données projet'!$B$9,Paramètres!$A$1:$I$89,5,0)</f>
        <v>358.29409199999986</v>
      </c>
      <c r="P67" s="13">
        <f t="shared" si="33"/>
        <v>83.268016000500722</v>
      </c>
      <c r="Q67" s="20">
        <f t="shared" ref="Q67:Q98" si="54">(O67+P67)*0.475*44/12</f>
        <v>769.05400476753857</v>
      </c>
      <c r="R67" s="59">
        <f t="shared" ref="R67:R130" si="55">Q67+(I67+J67)*44/12</f>
        <v>1032.4783569270933</v>
      </c>
      <c r="S67" s="59">
        <f ca="1">AVERAGE(OFFSET($R$3,0,0,'Données projet'!$E$9+1,1))-AVERAGE(OFFSET($H$3,0,0,'Données projet'!$E$9+1,1))</f>
        <v>460.88622650237176</v>
      </c>
      <c r="T67" s="59">
        <f t="shared" si="34"/>
        <v>396.05161661639647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53.037926551744931</v>
      </c>
      <c r="AA67" s="21">
        <f>EXP(-LN(2)/25)*AA66+(1-EXP(-LN(2)/25))/(LN(2)/25)*Calculateur!V67*Calculateur!X67*VLOOKUP('Données projet'!$B$9,Paramètres!$A$1:$I$89,3,0)*0.475*44/12</f>
        <v>14.093700033958855</v>
      </c>
      <c r="AB67" s="21">
        <f>EXP(-LN(2)/2)*AB66+(1-EXP(-LN(2)/2))/(LN(2)/2)*V67*Y67*VLOOKUP('Données projet'!$B$9,Paramètres!$A$1:$I$89,3,0)*0.475*44/12</f>
        <v>0.3113375327430532</v>
      </c>
      <c r="AC67" s="22">
        <f t="shared" si="3"/>
        <v>67.442964118446838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16.050000000000004</v>
      </c>
      <c r="AI67" s="13">
        <f>IF('Données projet'!$A$62&gt;35,AI66+AH67-AQ66,IF(A67&lt;'Données projet'!$A$62,$AF$205^A67,IF(A67='Données projet'!$A$62,'Données projet'!$B$62,AI66+AH67-AQ66)))</f>
        <v>353.43999999999983</v>
      </c>
      <c r="AJ67" s="13">
        <f>AI67*VLOOKUP('Données projet'!$B$10,Paramètres!$A$1:$I$89,3,0)*VLOOKUP('Données projet'!$B$10,Paramètres!$A$1:$I$89,5,0)</f>
        <v>165.40991999999991</v>
      </c>
      <c r="AK67" s="13">
        <f t="shared" si="35"/>
        <v>42.060366422582085</v>
      </c>
      <c r="AL67" s="20">
        <f t="shared" si="4"/>
        <v>361.34408218599697</v>
      </c>
      <c r="AM67" s="59">
        <f t="shared" si="5"/>
        <v>624.76843434555167</v>
      </c>
      <c r="AN67" s="59">
        <f ca="1">AVERAGE(OFFSET($AM$3,0,0,'Données projet'!$E$10+1,1))-AVERAGE(OFFSET($H$3,0,0,'Données projet'!$E$10+1,1))</f>
        <v>387.50901594883317</v>
      </c>
      <c r="AO67" s="59">
        <f t="shared" si="36"/>
        <v>361.3623790401972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61.236108136790222</v>
      </c>
      <c r="AV67" s="21">
        <f>EXP(-LN(2)/25)*AV66+(1-EXP(-LN(2)/25))/(LN(2)/25)*Calculateur!AQ67*Calculateur!AS67*VLOOKUP('Données projet'!$B$10,Paramètres!$A$1:$I$89,3,0)*0.475*44/12</f>
        <v>26.960406716189411</v>
      </c>
      <c r="AW67" s="21">
        <f>EXP(-LN(2)/2)*AW66+(1-EXP(-LN(2)/2))/(LN(2)/2)*AQ67*AT67*VLOOKUP('Données projet'!$B$10,Paramètres!$A$1:$I$89,3,0)*0.475*44/12</f>
        <v>4.4029180461078932</v>
      </c>
      <c r="AX67" s="21">
        <f t="shared" si="6"/>
        <v>92.599432899087532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9.2524999999999977</v>
      </c>
      <c r="BD67" s="12">
        <f>IF('Données projet'!$A$88&gt;35,BD66+BC67-BL66,IF(A67&lt;'Données projet'!$A$88,$BA$205^A67,IF(A67='Données projet'!$A$88,'Données projet'!$B$88,BD66+BC67-BL66)))</f>
        <v>246.45500000000018</v>
      </c>
      <c r="BE67" s="13">
        <f>BD67*VLOOKUP('Données projet'!$B$11,Paramètres!$A$1:$I$89,3,0)*VLOOKUP('Données projet'!$B$11,Paramètres!$A$1:$I$89,5,0)</f>
        <v>222.99248400000016</v>
      </c>
      <c r="BF67" s="13">
        <f t="shared" si="37"/>
        <v>54.764775031234961</v>
      </c>
      <c r="BG67" s="20">
        <f t="shared" si="7"/>
        <v>483.76055947940108</v>
      </c>
      <c r="BH67" s="59">
        <f t="shared" si="8"/>
        <v>747.18491163895578</v>
      </c>
      <c r="BI67" s="59">
        <f ca="1">AVERAGE(OFFSET($BH$3,0,0,'Données projet'!$E$11+1,1))-AVERAGE(OFFSET($H$3,0,0,'Données projet'!$E$11+1,1))</f>
        <v>627.65081154031589</v>
      </c>
      <c r="BJ67" s="59">
        <f t="shared" si="38"/>
        <v>288.78083487077618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8.1555078827252245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8.1555078827252245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9.2524999999999977</v>
      </c>
      <c r="BY67" s="12">
        <f>IF('Données projet'!$A$114&gt;35,BY66+BX67-CG66,IF(A67&lt;'Données projet'!$A$114,$BV$205^A67,IF(A67='Données projet'!$A$114,'Données projet'!$B$114,BY66+BX67-CG66)))</f>
        <v>246.45500000000018</v>
      </c>
      <c r="BZ67" s="13">
        <f>BY67*VLOOKUP('Données projet'!$B$12,Paramètres!$A$1:$I$89,3,0)*VLOOKUP('Données projet'!$B$12,Paramètres!$A$1:$I$89,5,0)</f>
        <v>249.9053700000002</v>
      </c>
      <c r="CA67" s="13">
        <f t="shared" si="39"/>
        <v>60.565676815620975</v>
      </c>
      <c r="CB67" s="20">
        <f t="shared" si="10"/>
        <v>540.73707320387359</v>
      </c>
      <c r="CC67" s="59">
        <f t="shared" si="11"/>
        <v>804.16142536342841</v>
      </c>
      <c r="CD67" s="59">
        <f ca="1">AVERAGE(OFFSET($CC$3,0,0,'Données projet'!$E$12+1,1))-AVERAGE(OFFSET($H$3,0,0,'Données projet'!$E$12+1,1))</f>
        <v>692.2706942067415</v>
      </c>
      <c r="CE67" s="59">
        <f t="shared" si="40"/>
        <v>316.17529091924803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9.1397933168472338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9.1397933168472338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7.4</v>
      </c>
      <c r="CT67" s="12">
        <f>IF('Données projet'!$A$140&gt;35,CT66+CS67-DB66,IF(A67&lt;'Données projet'!$A$140,$CQ$205^A67,IF(A67='Données projet'!$A$140,'Données projet'!$B$140,CT66+CS67-DB66)))</f>
        <v>222.6</v>
      </c>
      <c r="CU67" s="17">
        <f>CT67*VLOOKUP('Données projet'!$B$13,Paramètres!$A$1:$I$89,3,0)*VLOOKUP('Données projet'!$B$13,Paramètres!$A$1:$I$89,5,0)</f>
        <v>211.82616000000002</v>
      </c>
      <c r="CV67" s="13">
        <f t="shared" si="41"/>
        <v>52.334446286305763</v>
      </c>
      <c r="CW67" s="20">
        <f t="shared" si="13"/>
        <v>460.07972261531586</v>
      </c>
      <c r="CX67" s="59">
        <f t="shared" si="14"/>
        <v>723.50407477487056</v>
      </c>
      <c r="CY67" s="59">
        <f ca="1">AVERAGE(OFFSET($CX$3,0,0,'Données projet'!$E$13+1,1))-AVERAGE(OFFSET($H$3,0,0,'Données projet'!$E$13+1,1))</f>
        <v>424.5933338095914</v>
      </c>
      <c r="CZ67" s="59">
        <f t="shared" si="42"/>
        <v>159.28977188196134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13.60835177205508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13.60835177205508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-18.333333333333343</v>
      </c>
      <c r="DU67" s="59">
        <f t="shared" si="44"/>
        <v>-18.333333333333343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-18.333333333333343</v>
      </c>
      <c r="EP67" s="59">
        <f t="shared" si="46"/>
        <v>-18.333333333333343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9.2524999999999977</v>
      </c>
      <c r="FE67" s="12">
        <f>IF('Données projet'!$A$218&gt;35,FE66+FD67-FM66,IF(A67&lt;'Données projet'!$A$218,$FB$205^A67,IF(A67='Données projet'!$A$218,'Données projet'!$B$218,FE66+FD67-FM66)))</f>
        <v>246.45500000000018</v>
      </c>
      <c r="FF67" s="17">
        <f>FE67*VLOOKUP('Données projet'!$B$16,Paramètres!$A$1:$I$89,3,0)*VLOOKUP('Données projet'!$B$16,Paramètres!$A$1:$I$89,5,0)</f>
        <v>238.37127600000017</v>
      </c>
      <c r="FG67" s="13">
        <f t="shared" si="47"/>
        <v>58.088963821708049</v>
      </c>
      <c r="FH67" s="20">
        <f t="shared" si="22"/>
        <v>516.33491768947522</v>
      </c>
      <c r="FI67" s="59">
        <f t="shared" si="23"/>
        <v>779.75926984903003</v>
      </c>
      <c r="FJ67" s="59">
        <f ca="1">AVERAGE(OFFSET($FI$3,0,0,'Données projet'!$E$16+1,1))-AVERAGE(OFFSET($H$3,0,0,'Données projet'!$E$16+1,1))</f>
        <v>664.59451650228573</v>
      </c>
      <c r="FK67" s="59">
        <f t="shared" si="48"/>
        <v>304.44325029106631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8.7179567022235158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8.7179567022235158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15.602999999999998</v>
      </c>
      <c r="N68" s="13">
        <f>IF('Données projet'!$A$36&gt;35,N67+M68-V67,IF(A68&lt;'Données projet'!$A$36,$K$205^A68,IF(A68='Données projet'!$A$36,'Données projet'!$B$36,N67+M68-V67)))</f>
        <v>614.75699999999972</v>
      </c>
      <c r="O68" s="13">
        <f>N68*VLOOKUP('Données projet'!$B$9,Paramètres!$A$1:$I$89,3,0)*VLOOKUP('Données projet'!$B$9,Paramètres!$A$1:$I$89,5,0)</f>
        <v>367.62468599999988</v>
      </c>
      <c r="P68" s="13">
        <f t="shared" si="33"/>
        <v>85.181175344938808</v>
      </c>
      <c r="Q68" s="20">
        <f t="shared" si="54"/>
        <v>788.63687517576818</v>
      </c>
      <c r="R68" s="59">
        <f t="shared" si="55"/>
        <v>1052.5800812922234</v>
      </c>
      <c r="S68" s="59">
        <f ca="1">AVERAGE(OFFSET($R$3,0,0,'Données projet'!$E$9+1,1))-AVERAGE(OFFSET($H$3,0,0,'Données projet'!$E$9+1,1))</f>
        <v>460.88622650237176</v>
      </c>
      <c r="T68" s="59">
        <f t="shared" si="34"/>
        <v>396.05161661639647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51.997885162006121</v>
      </c>
      <c r="AA68" s="21">
        <f>EXP(-LN(2)/25)*AA67+(1-EXP(-LN(2)/25))/(LN(2)/25)*Calculateur!V68*Calculateur!X68*VLOOKUP('Données projet'!$B$9,Paramètres!$A$1:$I$89,3,0)*0.475*44/12</f>
        <v>13.708307065374777</v>
      </c>
      <c r="AB68" s="21">
        <f>EXP(-LN(2)/2)*AB67+(1-EXP(-LN(2)/2))/(LN(2)/2)*V68*Y68*VLOOKUP('Données projet'!$B$9,Paramètres!$A$1:$I$89,3,0)*0.475*44/12</f>
        <v>0.2201488806405017</v>
      </c>
      <c r="AC68" s="22">
        <f t="shared" ref="AC68:AC131" si="57">SUM(Z68:AB68)</f>
        <v>65.926341108021404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16.050000000000004</v>
      </c>
      <c r="AI68" s="13">
        <f>IF('Données projet'!$A$62&gt;35,AI67+AH68-AQ67,IF(A68&lt;'Données projet'!$A$62,$AF$205^A68,IF(A68='Données projet'!$A$62,'Données projet'!$B$62,AI67+AH68-AQ67)))</f>
        <v>369.48999999999984</v>
      </c>
      <c r="AJ68" s="13">
        <f>AI68*VLOOKUP('Données projet'!$B$10,Paramètres!$A$1:$I$89,3,0)*VLOOKUP('Données projet'!$B$10,Paramètres!$A$1:$I$89,5,0)</f>
        <v>172.92131999999995</v>
      </c>
      <c r="AK68" s="13">
        <f t="shared" si="35"/>
        <v>43.743651873932684</v>
      </c>
      <c r="AL68" s="20">
        <f t="shared" ref="AL68:AL131" si="58">(AJ68+AK68)*0.475*44/12</f>
        <v>377.35815934709927</v>
      </c>
      <c r="AM68" s="59">
        <f t="shared" ref="AM68:AM131" si="59">AL68+(AD68+AE68)*44/12</f>
        <v>641.30136546355448</v>
      </c>
      <c r="AN68" s="59">
        <f ca="1">AVERAGE(OFFSET($AM$3,0,0,'Données projet'!$E$10+1,1))-AVERAGE(OFFSET($H$3,0,0,'Données projet'!$E$10+1,1))</f>
        <v>387.50901594883317</v>
      </c>
      <c r="AO68" s="59">
        <f t="shared" si="36"/>
        <v>361.3623790401972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60.035305406565691</v>
      </c>
      <c r="AV68" s="21">
        <f>EXP(-LN(2)/25)*AV67+(1-EXP(-LN(2)/25))/(LN(2)/25)*Calculateur!AQ68*Calculateur!AS68*VLOOKUP('Données projet'!$B$10,Paramètres!$A$1:$I$89,3,0)*0.475*44/12</f>
        <v>26.223172976749041</v>
      </c>
      <c r="AW68" s="21">
        <f>EXP(-LN(2)/2)*AW67+(1-EXP(-LN(2)/2))/(LN(2)/2)*AQ68*AT68*VLOOKUP('Données projet'!$B$10,Paramètres!$A$1:$I$89,3,0)*0.475*44/12</f>
        <v>3.1133332074115154</v>
      </c>
      <c r="AX68" s="21">
        <f t="shared" ref="AX68:AX131" si="60">SUM(AU68:AW68)</f>
        <v>89.371811590726239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9.2524999999999977</v>
      </c>
      <c r="BD68" s="12">
        <f>IF('Données projet'!$A$88&gt;35,BD67+BC68-BL67,IF(A68&lt;'Données projet'!$A$88,$BA$205^A68,IF(A68='Données projet'!$A$88,'Données projet'!$B$88,BD67+BC68-BL67)))</f>
        <v>255.70750000000018</v>
      </c>
      <c r="BE68" s="13">
        <f>BD68*VLOOKUP('Données projet'!$B$11,Paramètres!$A$1:$I$89,3,0)*VLOOKUP('Données projet'!$B$11,Paramètres!$A$1:$I$89,5,0)</f>
        <v>231.36414600000015</v>
      </c>
      <c r="BF68" s="13">
        <f t="shared" si="37"/>
        <v>56.57754019728695</v>
      </c>
      <c r="BG68" s="20">
        <f t="shared" ref="BG68:BG131" si="61">(BE68+BF68)*0.475*44/12</f>
        <v>501.49843679360833</v>
      </c>
      <c r="BH68" s="59">
        <f t="shared" ref="BH68:BH131" si="62">BG68+(AY68+AZ68)*44/12</f>
        <v>765.44164291006359</v>
      </c>
      <c r="BI68" s="59">
        <f ca="1">AVERAGE(OFFSET($BH$3,0,0,'Données projet'!$E$11+1,1))-AVERAGE(OFFSET($H$3,0,0,'Données projet'!$E$11+1,1))</f>
        <v>627.65081154031589</v>
      </c>
      <c r="BJ68" s="59">
        <f t="shared" si="38"/>
        <v>288.78083487077618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7.9955833475136133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7.9955833475136133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9.2524999999999977</v>
      </c>
      <c r="BY68" s="12">
        <f>IF('Données projet'!$A$114&gt;35,BY67+BX68-CG67,IF(A68&lt;'Données projet'!$A$114,$BV$205^A68,IF(A68='Données projet'!$A$114,'Données projet'!$B$114,BY67+BX68-CG67)))</f>
        <v>255.70750000000018</v>
      </c>
      <c r="BZ68" s="13">
        <f>BY68*VLOOKUP('Données projet'!$B$12,Paramètres!$A$1:$I$89,3,0)*VLOOKUP('Données projet'!$B$12,Paramètres!$A$1:$I$89,5,0)</f>
        <v>259.28740500000021</v>
      </c>
      <c r="CA68" s="13">
        <f t="shared" si="39"/>
        <v>62.570457244776364</v>
      </c>
      <c r="CB68" s="20">
        <f t="shared" ref="CB68:CB131" si="64">(BZ68+CA68)*0.475*44/12</f>
        <v>560.56911007631913</v>
      </c>
      <c r="CC68" s="59">
        <f t="shared" ref="CC68:CC131" si="65">CB68+(BT68+BU68)*44/12</f>
        <v>824.51231619277428</v>
      </c>
      <c r="CD68" s="59">
        <f ca="1">AVERAGE(OFFSET($CC$3,0,0,'Données projet'!$E$12+1,1))-AVERAGE(OFFSET($H$3,0,0,'Données projet'!$E$12+1,1))</f>
        <v>692.2706942067415</v>
      </c>
      <c r="CE68" s="59">
        <f t="shared" si="40"/>
        <v>316.17529091924803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8.9605675446273239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8.9605675446273239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230</v>
      </c>
      <c r="CR68" s="12">
        <f>VLOOKUP(A68,'Données projet'!$A$139:$I$159,9,0)</f>
        <v>7.4</v>
      </c>
      <c r="CS68" s="12">
        <f t="array" ref="CS68">INDEX(CR:CR,MIN(IF(ISNUMBER(CR68:CR264),ROW(CR68:CR264),"")))</f>
        <v>7.4</v>
      </c>
      <c r="CT68" s="12">
        <f>IF('Données projet'!$A$140&gt;35,CT67+CS68-DB67,IF(A68&lt;'Données projet'!$A$140,$CQ$205^A68,IF(A68='Données projet'!$A$140,'Données projet'!$B$140,CT67+CS68-DB67)))</f>
        <v>230</v>
      </c>
      <c r="CU68" s="17">
        <f>CT68*VLOOKUP('Données projet'!$B$13,Paramètres!$A$1:$I$89,3,0)*VLOOKUP('Données projet'!$B$13,Paramètres!$A$1:$I$89,5,0)</f>
        <v>218.86799999999999</v>
      </c>
      <c r="CV68" s="13">
        <f t="shared" si="41"/>
        <v>53.868777293257544</v>
      </c>
      <c r="CW68" s="20">
        <f t="shared" ref="CW68:CW131" si="67">(CU68+CV68)*0.475*44/12</f>
        <v>475.01655378575691</v>
      </c>
      <c r="CX68" s="59">
        <f t="shared" ref="CX68:CX131" si="68">CW68+(CO68+CP68)*44/12</f>
        <v>738.95975990221211</v>
      </c>
      <c r="CY68" s="59">
        <f ca="1">AVERAGE(OFFSET($CX$3,0,0,'Données projet'!$E$13+1,1))-AVERAGE(OFFSET($H$3,0,0,'Données projet'!$E$13+1,1))</f>
        <v>424.5933338095914</v>
      </c>
      <c r="CZ68" s="59">
        <f t="shared" si="42"/>
        <v>159.28977188196134</v>
      </c>
      <c r="DA68" s="15">
        <f>IF(ISNA(VLOOKUP(A68,'Données projet'!$A$139:$I$159,3,0)),0,VLOOKUP(A68,'Données projet'!$A$139:$I$159,3,0))</f>
        <v>7</v>
      </c>
      <c r="DB68" s="15">
        <f>IF(ISNA(VLOOKUP(A68,'Données projet'!$A$139:$I$159,4,0)),0,VLOOKUP(A68,'Données projet'!$A$139:$I$159,4,0))</f>
        <v>26</v>
      </c>
      <c r="DC68" s="16">
        <f>IF(ISNA(VLOOKUP(A68,'Données projet'!$A$139:$I$159,5,0)),0%,VLOOKUP(A68,'Données projet'!$A$139:$I$159,5,0)*VLOOKUP('Données projet'!$B$13,Paramètres!$A$1:$I$89,7,0))</f>
        <v>0.215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19.221988071664352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19.221988071664352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-18.333333333333343</v>
      </c>
      <c r="DU68" s="59">
        <f t="shared" si="44"/>
        <v>-18.333333333333343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-18.333333333333343</v>
      </c>
      <c r="EP68" s="59">
        <f t="shared" si="46"/>
        <v>-18.333333333333343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9.2524999999999977</v>
      </c>
      <c r="FE68" s="12">
        <f>IF('Données projet'!$A$218&gt;35,FE67+FD68-FM67,IF(A68&lt;'Données projet'!$A$218,$FB$205^A68,IF(A68='Données projet'!$A$218,'Données projet'!$B$218,FE67+FD68-FM67)))</f>
        <v>255.70750000000018</v>
      </c>
      <c r="FF68" s="17">
        <f>FE68*VLOOKUP('Données projet'!$B$16,Paramètres!$A$1:$I$89,3,0)*VLOOKUP('Données projet'!$B$16,Paramètres!$A$1:$I$89,5,0)</f>
        <v>247.32029400000016</v>
      </c>
      <c r="FG68" s="13">
        <f t="shared" si="47"/>
        <v>60.011762739223698</v>
      </c>
      <c r="FH68" s="20">
        <f t="shared" ref="FH68:FH131" si="76">(FF68+FG68)*0.475*44/12</f>
        <v>535.26999882081486</v>
      </c>
      <c r="FI68" s="59">
        <f t="shared" ref="FI68:FI131" si="77">FH68+(EZ68+FA68)*44/12</f>
        <v>799.21320493727012</v>
      </c>
      <c r="FJ68" s="59">
        <f ca="1">AVERAGE(OFFSET($FI$3,0,0,'Données projet'!$E$16+1,1))-AVERAGE(OFFSET($H$3,0,0,'Données projet'!$E$16+1,1))</f>
        <v>664.59451650228573</v>
      </c>
      <c r="FK68" s="59">
        <f t="shared" si="48"/>
        <v>304.44325029106631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8.5470028887214493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8.5470028887214493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630.36</v>
      </c>
      <c r="L69" s="12">
        <f>VLOOKUP(A69,'Données projet'!$A$35:$I$55,9,0)</f>
        <v>15.602999999999998</v>
      </c>
      <c r="M69" s="12">
        <f t="array" ref="M69">INDEX(L:L,MIN(IF(ISNUMBER(L69:L265),ROW(L69:L265),"")))</f>
        <v>15.602999999999998</v>
      </c>
      <c r="N69" s="13">
        <f>IF('Données projet'!$A$36&gt;35,N68+M69-V68,IF(A69&lt;'Données projet'!$A$36,$K$205^A69,IF(A69='Données projet'!$A$36,'Données projet'!$B$36,N68+M69-V68)))</f>
        <v>630.35999999999967</v>
      </c>
      <c r="O69" s="13">
        <f>N69*VLOOKUP('Données projet'!$B$9,Paramètres!$A$1:$I$89,3,0)*VLOOKUP('Données projet'!$B$9,Paramètres!$A$1:$I$89,5,0)</f>
        <v>376.95527999999985</v>
      </c>
      <c r="P69" s="13">
        <f t="shared" ref="P69:P132" si="87">EXP(-1.0587+0.8836*LN(O69)+0.284)</f>
        <v>87.088690303924849</v>
      </c>
      <c r="Q69" s="20">
        <f t="shared" si="54"/>
        <v>808.20991494600219</v>
      </c>
      <c r="R69" s="59">
        <f t="shared" si="55"/>
        <v>1072.6629740631893</v>
      </c>
      <c r="S69" s="59">
        <f ca="1">AVERAGE(OFFSET($R$3,0,0,'Données projet'!$E$9+1,1))-AVERAGE(OFFSET($H$3,0,0,'Données projet'!$E$9+1,1))</f>
        <v>460.88622650237176</v>
      </c>
      <c r="T69" s="59">
        <f t="shared" ref="T69:T132" si="88">$T$3</f>
        <v>396.05161661639647</v>
      </c>
      <c r="U69" s="15">
        <f>IF(ISNA(VLOOKUP(A69,'Données projet'!$A$35:$I$55,3,0)),0,VLOOKUP(A69,'Données projet'!$A$35:$I$55,3,0))</f>
        <v>7</v>
      </c>
      <c r="V69" s="15">
        <f>IF(ISNA(VLOOKUP(A69,'Données projet'!$A$35:$I$55,4,0)),0,VLOOKUP(A69,'Données projet'!$A$35:$I$55,4,0))</f>
        <v>87.84</v>
      </c>
      <c r="W69" s="16">
        <f>IF(ISNA(VLOOKUP(A69,'Données projet'!$A$35:$I$55,5,0)),0%,VLOOKUP(A69,'Données projet'!$A$35:$I$55,5,0)*VLOOKUP('Données projet'!$B$9,Paramètres!$A$1:$I$89,7,0))</f>
        <v>0.36000000000000004</v>
      </c>
      <c r="X69" s="16">
        <f>IF(ISNA(VLOOKUP(A69,'Données projet'!$A$35:$I$55,6,0)),0%,VLOOKUP(A69,'Données projet'!$A$35:$I$55,6,0)*VLOOKUP('Données projet'!$B$9,Paramètres!$A$1:$I$89,7,0))</f>
        <v>4.9500000000000002E-2</v>
      </c>
      <c r="Y69" s="16">
        <f>IF(ISNA(VLOOKUP(A69,'Données projet'!$A$35:$I$55,7,0)),0%,VLOOKUP(A69,'Données projet'!$A$35:$I$55,7,0))</f>
        <v>0.09</v>
      </c>
      <c r="Z69" s="21">
        <f>EXP(-LN(2)/35)*Z68+(1-EXP(-LN(2)/35))/(LN(2)/35)*V69*W69*VLOOKUP('Données projet'!$B$9,Paramètres!$A$1:$I$89,3,0)*0.475*44/12</f>
        <v>76.063831147300888</v>
      </c>
      <c r="AA69" s="21">
        <f>EXP(-LN(2)/25)*AA68+(1-EXP(-LN(2)/25))/(LN(2)/25)*Calculateur!V69*Calculateur!X69*VLOOKUP('Données projet'!$B$9,Paramètres!$A$1:$I$89,3,0)*0.475*44/12</f>
        <v>16.769140611107606</v>
      </c>
      <c r="AB69" s="21">
        <f>EXP(-LN(2)/2)*AB68+(1-EXP(-LN(2)/2))/(LN(2)/2)*V69*Y69*VLOOKUP('Données projet'!$B$9,Paramètres!$A$1:$I$89,3,0)*0.475*44/12</f>
        <v>5.5083522058640142</v>
      </c>
      <c r="AC69" s="22">
        <f t="shared" si="57"/>
        <v>98.341323964272505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16.050000000000004</v>
      </c>
      <c r="AI69" s="13">
        <f>IF('Données projet'!$A$62&gt;35,AI68+AH69-AQ68,IF(A69&lt;'Données projet'!$A$62,$AF$205^A69,IF(A69='Données projet'!$A$62,'Données projet'!$B$62,AI68+AH69-AQ68)))</f>
        <v>385.53999999999985</v>
      </c>
      <c r="AJ69" s="13">
        <f>AI69*VLOOKUP('Données projet'!$B$10,Paramètres!$A$1:$I$89,3,0)*VLOOKUP('Données projet'!$B$10,Paramètres!$A$1:$I$89,5,0)</f>
        <v>180.43271999999993</v>
      </c>
      <c r="AK69" s="13">
        <f t="shared" ref="AK69:AK132" si="89">EXP(-1.0587+0.8836*LN(AJ69)+0.284)</f>
        <v>45.418444936488953</v>
      </c>
      <c r="AL69" s="20">
        <f t="shared" si="58"/>
        <v>393.35744559771814</v>
      </c>
      <c r="AM69" s="59">
        <f t="shared" si="59"/>
        <v>657.81050471490516</v>
      </c>
      <c r="AN69" s="59">
        <f ca="1">AVERAGE(OFFSET($AM$3,0,0,'Données projet'!$E$10+1,1))-AVERAGE(OFFSET($H$3,0,0,'Données projet'!$E$10+1,1))</f>
        <v>387.50901594883317</v>
      </c>
      <c r="AO69" s="59">
        <f t="shared" ref="AO69:AO132" si="90">$AO$3</f>
        <v>361.3623790401972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58.858049685463513</v>
      </c>
      <c r="AV69" s="21">
        <f>EXP(-LN(2)/25)*AV68+(1-EXP(-LN(2)/25))/(LN(2)/25)*Calculateur!AQ69*Calculateur!AS69*VLOOKUP('Données projet'!$B$10,Paramètres!$A$1:$I$89,3,0)*0.475*44/12</f>
        <v>25.506098932683106</v>
      </c>
      <c r="AW69" s="21">
        <f>EXP(-LN(2)/2)*AW68+(1-EXP(-LN(2)/2))/(LN(2)/2)*AQ69*AT69*VLOOKUP('Données projet'!$B$10,Paramètres!$A$1:$I$89,3,0)*0.475*44/12</f>
        <v>2.2014590230539466</v>
      </c>
      <c r="AX69" s="21">
        <f t="shared" si="60"/>
        <v>86.565607641200558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264.95999999999998</v>
      </c>
      <c r="BB69" s="12">
        <f>VLOOKUP(A69,'Données projet'!$A$87:$I$107,9,0)</f>
        <v>9.2524999999999977</v>
      </c>
      <c r="BC69" s="12">
        <f t="array" ref="BC69">INDEX(BB:BB,MIN(IF(ISNUMBER(BB69:BB265),ROW(BB69:BB265),"")))</f>
        <v>9.2524999999999977</v>
      </c>
      <c r="BD69" s="12">
        <f>IF('Données projet'!$A$88&gt;35,BD68+BC69-BL68,IF(A69&lt;'Données projet'!$A$88,$BA$205^A69,IF(A69='Données projet'!$A$88,'Données projet'!$B$88,BD68+BC69-BL68)))</f>
        <v>264.96000000000015</v>
      </c>
      <c r="BE69" s="13">
        <f>BD69*VLOOKUP('Données projet'!$B$11,Paramètres!$A$1:$I$89,3,0)*VLOOKUP('Données projet'!$B$11,Paramètres!$A$1:$I$89,5,0)</f>
        <v>239.73580800000011</v>
      </c>
      <c r="BF69" s="13">
        <f t="shared" ref="BF69:BF132" si="91">EXP(-1.0587+0.8836*LN(BE69)+0.284)</f>
        <v>58.38268464325516</v>
      </c>
      <c r="BG69" s="20">
        <f t="shared" si="61"/>
        <v>519.22304135366949</v>
      </c>
      <c r="BH69" s="59">
        <f t="shared" si="62"/>
        <v>783.67610047085657</v>
      </c>
      <c r="BI69" s="59">
        <f ca="1">AVERAGE(OFFSET($BH$3,0,0,'Données projet'!$E$11+1,1))-AVERAGE(OFFSET($H$3,0,0,'Données projet'!$E$11+1,1))</f>
        <v>627.65081154031589</v>
      </c>
      <c r="BJ69" s="59">
        <f t="shared" ref="BJ69:BJ132" si="92">$BJ$3</f>
        <v>288.78083487077618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0.129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14.278663085383233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14.278663085383233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264.95999999999998</v>
      </c>
      <c r="BW69" s="12">
        <f>VLOOKUP(A69,'Données projet'!$A$113:$I$133,9,0)</f>
        <v>9.2524999999999977</v>
      </c>
      <c r="BX69" s="12">
        <f t="array" ref="BX69">INDEX(BW:BW,MIN(IF(ISNUMBER(BW69:BW265),ROW(BW69:BW265),"")))</f>
        <v>9.2524999999999977</v>
      </c>
      <c r="BY69" s="12">
        <f>IF('Données projet'!$A$114&gt;35,BY68+BX69-CG68,IF(A69&lt;'Données projet'!$A$114,$BV$205^A69,IF(A69='Données projet'!$A$114,'Données projet'!$B$114,BY68+BX69-CG68)))</f>
        <v>264.96000000000015</v>
      </c>
      <c r="BZ69" s="13">
        <f>BY69*VLOOKUP('Données projet'!$B$12,Paramètres!$A$1:$I$89,3,0)*VLOOKUP('Données projet'!$B$12,Paramètres!$A$1:$I$89,5,0)</f>
        <v>268.66944000000018</v>
      </c>
      <c r="CA69" s="13">
        <f t="shared" ref="CA69:CA132" si="93">EXP(-1.0587+0.8836*LN(BZ69)+0.284)</f>
        <v>64.566809737006352</v>
      </c>
      <c r="CB69" s="20">
        <f t="shared" si="64"/>
        <v>580.38646829195295</v>
      </c>
      <c r="CC69" s="59">
        <f t="shared" si="65"/>
        <v>844.83952740914003</v>
      </c>
      <c r="CD69" s="59">
        <f ca="1">AVERAGE(OFFSET($CC$3,0,0,'Données projet'!$E$12+1,1))-AVERAGE(OFFSET($H$3,0,0,'Données projet'!$E$12+1,1))</f>
        <v>692.2706942067415</v>
      </c>
      <c r="CE69" s="59">
        <f t="shared" ref="CE69:CE132" si="94">$CE$3</f>
        <v>316.17529091924803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0.129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16.001950009481206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16.001950009481206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7</v>
      </c>
      <c r="CT69" s="12">
        <f>IF('Données projet'!$A$140&gt;35,CT68+CS69-DB68,IF(A69&lt;'Données projet'!$A$140,$CQ$205^A69,IF(A69='Données projet'!$A$140,'Données projet'!$B$140,CT68+CS69-DB68)))</f>
        <v>211</v>
      </c>
      <c r="CU69" s="17">
        <f>CT69*VLOOKUP('Données projet'!$B$13,Paramètres!$A$1:$I$89,3,0)*VLOOKUP('Données projet'!$B$13,Paramètres!$A$1:$I$89,5,0)</f>
        <v>200.78760000000003</v>
      </c>
      <c r="CV69" s="13">
        <f t="shared" ref="CV69:CV132" si="95">EXP(-1.0587+0.8836*LN(CU69)+0.284)</f>
        <v>49.917218754196675</v>
      </c>
      <c r="CW69" s="20">
        <f t="shared" si="67"/>
        <v>436.64422599689254</v>
      </c>
      <c r="CX69" s="59">
        <f t="shared" si="68"/>
        <v>701.09728511407957</v>
      </c>
      <c r="CY69" s="59">
        <f ca="1">AVERAGE(OFFSET($CX$3,0,0,'Données projet'!$E$13+1,1))-AVERAGE(OFFSET($H$3,0,0,'Données projet'!$E$13+1,1))</f>
        <v>424.5933338095914</v>
      </c>
      <c r="CZ69" s="59">
        <f t="shared" ref="CZ69:CZ132" si="96">$CZ$3</f>
        <v>159.28977188196134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18.845056609834064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18.845056609834064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-18.333333333333343</v>
      </c>
      <c r="DU69" s="59">
        <f t="shared" ref="DU69:DU132" si="98">$DU$3</f>
        <v>-18.333333333333343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-18.333333333333343</v>
      </c>
      <c r="EP69" s="59">
        <f t="shared" ref="EP69:EP132" si="100">$EP$3</f>
        <v>-18.333333333333343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>
        <f>VLOOKUP(A69,'Données projet'!$A$217:$I$237,2,0)</f>
        <v>264.95999999999998</v>
      </c>
      <c r="FC69" s="12">
        <f>VLOOKUP(A69,'Données projet'!$A$217:$I$237,9,0)</f>
        <v>9.2524999999999977</v>
      </c>
      <c r="FD69" s="12">
        <f t="array" ref="FD69">INDEX(FC:FC,MIN(IF(ISNUMBER(FC69:FC265),ROW(FC69:FC265),"")))</f>
        <v>9.2524999999999977</v>
      </c>
      <c r="FE69" s="12">
        <f>IF('Données projet'!$A$218&gt;35,FE68+FD69-FM68,IF(A69&lt;'Données projet'!$A$218,$FB$205^A69,IF(A69='Données projet'!$A$218,'Données projet'!$B$218,FE68+FD69-FM68)))</f>
        <v>264.96000000000015</v>
      </c>
      <c r="FF69" s="17">
        <f>FE69*VLOOKUP('Données projet'!$B$16,Paramètres!$A$1:$I$89,3,0)*VLOOKUP('Données projet'!$B$16,Paramètres!$A$1:$I$89,5,0)</f>
        <v>256.26931200000018</v>
      </c>
      <c r="FG69" s="13">
        <f t="shared" ref="FG69:FG132" si="101">EXP(-1.0587+0.8836*LN(FF69)+0.284)</f>
        <v>61.926478363546003</v>
      </c>
      <c r="FH69" s="20">
        <f t="shared" si="76"/>
        <v>554.19100154984289</v>
      </c>
      <c r="FI69" s="59">
        <f t="shared" si="77"/>
        <v>818.64406066702998</v>
      </c>
      <c r="FJ69" s="59">
        <f ca="1">AVERAGE(OFFSET($FI$3,0,0,'Données projet'!$E$16+1,1))-AVERAGE(OFFSET($H$3,0,0,'Données projet'!$E$16+1,1))</f>
        <v>664.59451650228573</v>
      </c>
      <c r="FK69" s="59">
        <f t="shared" ref="FK69:FK132" si="102">$FK$3</f>
        <v>304.44325029106631</v>
      </c>
      <c r="FL69" s="15">
        <f>IF(ISNA(VLOOKUP(A69,'Données projet'!$A$217:$I$237,3,0)),0,VLOOKUP(A69,'Données projet'!$A$217:$I$237,3,0))</f>
        <v>4</v>
      </c>
      <c r="FM69" s="15">
        <f>IF(ISNA(VLOOKUP(A69,'Données projet'!$A$217:$I$237,4,0)),0,VLOOKUP(A69,'Données projet'!$A$217:$I$237,4,0))</f>
        <v>49.91</v>
      </c>
      <c r="FN69" s="16">
        <f>IF(ISNA(VLOOKUP(A69,'Données projet'!$A$217:$I$237,5,0)),0%,VLOOKUP(A69,'Données projet'!$A$217:$I$237,5,0)*VLOOKUP('Données projet'!$B$16,Paramètres!$A$1:$I$89,7,0))</f>
        <v>0.129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15.263398470582075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15.263398470582075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12.905000000000006</v>
      </c>
      <c r="N70" s="13">
        <f>IF('Données projet'!$A$36&gt;35,N69+M70-V69,IF(A70&lt;'Données projet'!$A$36,$K$205^A70,IF(A70='Données projet'!$A$36,'Données projet'!$B$36,N69+M70-V69)))</f>
        <v>555.42499999999961</v>
      </c>
      <c r="O70" s="13">
        <f>N70*VLOOKUP('Données projet'!$B$9,Paramètres!$A$1:$I$89,3,0)*VLOOKUP('Données projet'!$B$9,Paramètres!$A$1:$I$89,5,0)</f>
        <v>332.1441499999998</v>
      </c>
      <c r="P70" s="13">
        <f t="shared" si="87"/>
        <v>77.874676474702113</v>
      </c>
      <c r="Q70" s="20">
        <f t="shared" si="54"/>
        <v>714.1161227767725</v>
      </c>
      <c r="R70" s="59">
        <f t="shared" si="55"/>
        <v>979.07019008498946</v>
      </c>
      <c r="S70" s="59">
        <f ca="1">AVERAGE(OFFSET($R$3,0,0,'Données projet'!$E$9+1,1))-AVERAGE(OFFSET($H$3,0,0,'Données projet'!$E$9+1,1))</f>
        <v>460.88622650237176</v>
      </c>
      <c r="T70" s="59">
        <f t="shared" si="88"/>
        <v>396.05161661639647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74.572265812858262</v>
      </c>
      <c r="AA70" s="21">
        <f>EXP(-LN(2)/25)*AA69+(1-EXP(-LN(2)/25))/(LN(2)/25)*Calculateur!V70*Calculateur!X70*VLOOKUP('Données projet'!$B$9,Paramètres!$A$1:$I$89,3,0)*0.475*44/12</f>
        <v>16.310587579246089</v>
      </c>
      <c r="AB70" s="21">
        <f>EXP(-LN(2)/2)*AB69+(1-EXP(-LN(2)/2))/(LN(2)/2)*V70*Y70*VLOOKUP('Données projet'!$B$9,Paramètres!$A$1:$I$89,3,0)*0.475*44/12</f>
        <v>3.8949931979303223</v>
      </c>
      <c r="AC70" s="22">
        <f t="shared" si="57"/>
        <v>94.77784659003467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16.050000000000004</v>
      </c>
      <c r="AI70" s="13">
        <f>IF('Données projet'!$A$62&gt;35,AI69+AH70-AQ69,IF(A70&lt;'Données projet'!$A$62,$AF$205^A70,IF(A70='Données projet'!$A$62,'Données projet'!$B$62,AI69+AH70-AQ69)))</f>
        <v>401.58999999999986</v>
      </c>
      <c r="AJ70" s="13">
        <f>AI70*VLOOKUP('Données projet'!$B$10,Paramètres!$A$1:$I$89,3,0)*VLOOKUP('Données projet'!$B$10,Paramètres!$A$1:$I$89,5,0)</f>
        <v>187.94411999999991</v>
      </c>
      <c r="AK70" s="13">
        <f t="shared" si="89"/>
        <v>47.085139576843218</v>
      </c>
      <c r="AL70" s="20">
        <f t="shared" si="58"/>
        <v>409.34262709633504</v>
      </c>
      <c r="AM70" s="59">
        <f t="shared" si="59"/>
        <v>674.296694404552</v>
      </c>
      <c r="AN70" s="59">
        <f ca="1">AVERAGE(OFFSET($AM$3,0,0,'Données projet'!$E$10+1,1))-AVERAGE(OFFSET($H$3,0,0,'Données projet'!$E$10+1,1))</f>
        <v>387.50901594883317</v>
      </c>
      <c r="AO70" s="59">
        <f t="shared" si="90"/>
        <v>361.3623790401972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57.703879230997067</v>
      </c>
      <c r="AV70" s="21">
        <f>EXP(-LN(2)/25)*AV69+(1-EXP(-LN(2)/25))/(LN(2)/25)*Calculateur!AQ70*Calculateur!AS70*VLOOKUP('Données projet'!$B$10,Paramètres!$A$1:$I$89,3,0)*0.475*44/12</f>
        <v>24.808633316061439</v>
      </c>
      <c r="AW70" s="21">
        <f>EXP(-LN(2)/2)*AW69+(1-EXP(-LN(2)/2))/(LN(2)/2)*AQ70*AT70*VLOOKUP('Données projet'!$B$10,Paramètres!$A$1:$I$89,3,0)*0.475*44/12</f>
        <v>1.5566666037057577</v>
      </c>
      <c r="AX70" s="21">
        <f t="shared" si="60"/>
        <v>84.069179150764271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8.8662500000000044</v>
      </c>
      <c r="BD70" s="12">
        <f>IF('Données projet'!$A$88&gt;35,BD69+BC70-BL69,IF(A70&lt;'Données projet'!$A$88,$BA$205^A70,IF(A70='Données projet'!$A$88,'Données projet'!$B$88,BD69+BC70-BL69)))</f>
        <v>223.91625000000013</v>
      </c>
      <c r="BE70" s="13">
        <f>BD70*VLOOKUP('Données projet'!$B$11,Paramètres!$A$1:$I$89,3,0)*VLOOKUP('Données projet'!$B$11,Paramètres!$A$1:$I$89,5,0)</f>
        <v>202.59942300000012</v>
      </c>
      <c r="BF70" s="13">
        <f t="shared" si="91"/>
        <v>50.315012169520465</v>
      </c>
      <c r="BG70" s="20">
        <f t="shared" si="61"/>
        <v>440.49264125358167</v>
      </c>
      <c r="BH70" s="59">
        <f t="shared" si="62"/>
        <v>705.44670856179857</v>
      </c>
      <c r="BI70" s="59">
        <f ca="1">AVERAGE(OFFSET($BH$3,0,0,'Données projet'!$E$11+1,1))-AVERAGE(OFFSET($H$3,0,0,'Données projet'!$E$11+1,1))</f>
        <v>627.65081154031589</v>
      </c>
      <c r="BJ70" s="59">
        <f t="shared" si="92"/>
        <v>288.78083487077618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13.998667211403395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13.998667211403395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8.8662500000000044</v>
      </c>
      <c r="BY70" s="12">
        <f>IF('Données projet'!$A$114&gt;35,BY69+BX70-CG69,IF(A70&lt;'Données projet'!$A$114,$BV$205^A70,IF(A70='Données projet'!$A$114,'Données projet'!$B$114,BY69+BX70-CG69)))</f>
        <v>223.91625000000013</v>
      </c>
      <c r="BZ70" s="13">
        <f>BY70*VLOOKUP('Données projet'!$B$12,Paramètres!$A$1:$I$89,3,0)*VLOOKUP('Données projet'!$B$12,Paramètres!$A$1:$I$89,5,0)</f>
        <v>227.05107750000016</v>
      </c>
      <c r="CA70" s="13">
        <f t="shared" si="93"/>
        <v>55.644577455036639</v>
      </c>
      <c r="CB70" s="20">
        <f t="shared" si="64"/>
        <v>492.36159904668904</v>
      </c>
      <c r="CC70" s="59">
        <f t="shared" si="65"/>
        <v>757.31566635490594</v>
      </c>
      <c r="CD70" s="59">
        <f ca="1">AVERAGE(OFFSET($CC$3,0,0,'Données projet'!$E$12+1,1))-AVERAGE(OFFSET($H$3,0,0,'Données projet'!$E$12+1,1))</f>
        <v>692.2706942067415</v>
      </c>
      <c r="CE70" s="59">
        <f t="shared" si="94"/>
        <v>316.17529091924803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15.688161530021043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15.688161530021043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7</v>
      </c>
      <c r="CT70" s="12">
        <f>IF('Données projet'!$A$140&gt;35,CT69+CS70-DB69,IF(A70&lt;'Données projet'!$A$140,$CQ$205^A70,IF(A70='Données projet'!$A$140,'Données projet'!$B$140,CT69+CS70-DB69)))</f>
        <v>218</v>
      </c>
      <c r="CU70" s="17">
        <f>CT70*VLOOKUP('Données projet'!$B$13,Paramètres!$A$1:$I$89,3,0)*VLOOKUP('Données projet'!$B$13,Paramètres!$A$1:$I$89,5,0)</f>
        <v>207.44879999999998</v>
      </c>
      <c r="CV70" s="13">
        <f t="shared" si="95"/>
        <v>51.377688337856355</v>
      </c>
      <c r="CW70" s="20">
        <f t="shared" si="67"/>
        <v>450.78946718843309</v>
      </c>
      <c r="CX70" s="59">
        <f t="shared" si="68"/>
        <v>715.74353449665</v>
      </c>
      <c r="CY70" s="59">
        <f ca="1">AVERAGE(OFFSET($CX$3,0,0,'Données projet'!$E$13+1,1))-AVERAGE(OFFSET($H$3,0,0,'Données projet'!$E$13+1,1))</f>
        <v>424.5933338095914</v>
      </c>
      <c r="CZ70" s="59">
        <f t="shared" si="96"/>
        <v>159.28977188196134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18.475516544064778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18.475516544064778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-18.333333333333343</v>
      </c>
      <c r="DU70" s="59">
        <f t="shared" si="98"/>
        <v>-18.333333333333343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-18.333333333333343</v>
      </c>
      <c r="EP70" s="59">
        <f t="shared" si="100"/>
        <v>-18.333333333333343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8.8662500000000044</v>
      </c>
      <c r="FE70" s="12">
        <f>IF('Données projet'!$A$218&gt;35,FE69+FD70-FM69,IF(A70&lt;'Données projet'!$A$218,$FB$205^A70,IF(A70='Données projet'!$A$218,'Données projet'!$B$218,FE69+FD70-FM69)))</f>
        <v>223.91625000000013</v>
      </c>
      <c r="FF70" s="17">
        <f>FE70*VLOOKUP('Données projet'!$B$16,Paramètres!$A$1:$I$89,3,0)*VLOOKUP('Données projet'!$B$16,Paramètres!$A$1:$I$89,5,0)</f>
        <v>216.57179700000012</v>
      </c>
      <c r="FG70" s="13">
        <f t="shared" si="101"/>
        <v>53.369103039994094</v>
      </c>
      <c r="FH70" s="20">
        <f t="shared" si="76"/>
        <v>470.14706756965666</v>
      </c>
      <c r="FI70" s="59">
        <f t="shared" si="77"/>
        <v>735.10113487787362</v>
      </c>
      <c r="FJ70" s="59">
        <f ca="1">AVERAGE(OFFSET($FI$3,0,0,'Données projet'!$E$16+1,1))-AVERAGE(OFFSET($H$3,0,0,'Données projet'!$E$16+1,1))</f>
        <v>664.59451650228573</v>
      </c>
      <c r="FK70" s="59">
        <f t="shared" si="102"/>
        <v>304.44325029106631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14.964092536327765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14.964092536327765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12.905000000000006</v>
      </c>
      <c r="N71" s="13">
        <f>IF('Données projet'!$A$36&gt;35,N70+M71-V70,IF(A71&lt;'Données projet'!$A$36,$K$205^A71,IF(A71='Données projet'!$A$36,'Données projet'!$B$36,N70+M71-V70)))</f>
        <v>568.32999999999959</v>
      </c>
      <c r="O71" s="13">
        <f>N71*VLOOKUP('Données projet'!$B$9,Paramètres!$A$1:$I$89,3,0)*VLOOKUP('Données projet'!$B$9,Paramètres!$A$1:$I$89,5,0)</f>
        <v>339.86133999999981</v>
      </c>
      <c r="P71" s="13">
        <f t="shared" si="87"/>
        <v>79.47129770781693</v>
      </c>
      <c r="Q71" s="20">
        <f t="shared" si="54"/>
        <v>730.33767734111404</v>
      </c>
      <c r="R71" s="59">
        <f t="shared" si="55"/>
        <v>995.78406146833288</v>
      </c>
      <c r="S71" s="59">
        <f ca="1">AVERAGE(OFFSET($R$3,0,0,'Données projet'!$E$9+1,1))-AVERAGE(OFFSET($H$3,0,0,'Données projet'!$E$9+1,1))</f>
        <v>460.88622650237176</v>
      </c>
      <c r="T71" s="59">
        <f t="shared" si="88"/>
        <v>396.05161661639647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73.109949164859032</v>
      </c>
      <c r="AA71" s="21">
        <f>EXP(-LN(2)/25)*AA70+(1-EXP(-LN(2)/25))/(LN(2)/25)*Calculateur!V71*Calculateur!X71*VLOOKUP('Données projet'!$B$9,Paramètres!$A$1:$I$89,3,0)*0.475*44/12</f>
        <v>15.864573704155083</v>
      </c>
      <c r="AB71" s="21">
        <f>EXP(-LN(2)/2)*AB70+(1-EXP(-LN(2)/2))/(LN(2)/2)*V71*Y71*VLOOKUP('Données projet'!$B$9,Paramètres!$A$1:$I$89,3,0)*0.475*44/12</f>
        <v>2.7541761029320075</v>
      </c>
      <c r="AC71" s="22">
        <f t="shared" si="57"/>
        <v>91.728698971946116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16.050000000000004</v>
      </c>
      <c r="AI71" s="13">
        <f>IF('Données projet'!$A$62&gt;35,AI70+AH71-AQ70,IF(A71&lt;'Données projet'!$A$62,$AF$205^A71,IF(A71='Données projet'!$A$62,'Données projet'!$B$62,AI70+AH71-AQ70)))</f>
        <v>417.63999999999987</v>
      </c>
      <c r="AJ71" s="13">
        <f>AI71*VLOOKUP('Données projet'!$B$10,Paramètres!$A$1:$I$89,3,0)*VLOOKUP('Données projet'!$B$10,Paramètres!$A$1:$I$89,5,0)</f>
        <v>195.45551999999995</v>
      </c>
      <c r="AK71" s="13">
        <f t="shared" si="89"/>
        <v>48.744096488454666</v>
      </c>
      <c r="AL71" s="20">
        <f t="shared" si="58"/>
        <v>425.31433205072511</v>
      </c>
      <c r="AM71" s="59">
        <f t="shared" si="59"/>
        <v>690.760716177944</v>
      </c>
      <c r="AN71" s="59">
        <f ca="1">AVERAGE(OFFSET($AM$3,0,0,'Données projet'!$E$10+1,1))-AVERAGE(OFFSET($H$3,0,0,'Données projet'!$E$10+1,1))</f>
        <v>387.50901594883317</v>
      </c>
      <c r="AO71" s="59">
        <f t="shared" si="90"/>
        <v>361.3623790401972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56.572341355168241</v>
      </c>
      <c r="AV71" s="21">
        <f>EXP(-LN(2)/25)*AV70+(1-EXP(-LN(2)/25))/(LN(2)/25)*Calculateur!AQ71*Calculateur!AS71*VLOOKUP('Données projet'!$B$10,Paramètres!$A$1:$I$89,3,0)*0.475*44/12</f>
        <v>24.130239933404415</v>
      </c>
      <c r="AW71" s="21">
        <f>EXP(-LN(2)/2)*AW70+(1-EXP(-LN(2)/2))/(LN(2)/2)*AQ71*AT71*VLOOKUP('Données projet'!$B$10,Paramètres!$A$1:$I$89,3,0)*0.475*44/12</f>
        <v>1.1007295115269733</v>
      </c>
      <c r="AX71" s="21">
        <f t="shared" si="60"/>
        <v>81.803310800099638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8.8662500000000044</v>
      </c>
      <c r="BD71" s="12">
        <f>IF('Données projet'!$A$88&gt;35,BD70+BC71-BL70,IF(A71&lt;'Données projet'!$A$88,$BA$205^A71,IF(A71='Données projet'!$A$88,'Données projet'!$B$88,BD70+BC71-BL70)))</f>
        <v>232.78250000000014</v>
      </c>
      <c r="BE71" s="13">
        <f>BD71*VLOOKUP('Données projet'!$B$11,Paramètres!$A$1:$I$89,3,0)*VLOOKUP('Données projet'!$B$11,Paramètres!$A$1:$I$89,5,0)</f>
        <v>210.62160600000013</v>
      </c>
      <c r="BF71" s="13">
        <f t="shared" si="91"/>
        <v>52.071398873356536</v>
      </c>
      <c r="BG71" s="20">
        <f t="shared" si="61"/>
        <v>457.5236501544295</v>
      </c>
      <c r="BH71" s="59">
        <f t="shared" si="62"/>
        <v>722.9700342816484</v>
      </c>
      <c r="BI71" s="59">
        <f ca="1">AVERAGE(OFFSET($BH$3,0,0,'Données projet'!$E$11+1,1))-AVERAGE(OFFSET($H$3,0,0,'Données projet'!$E$11+1,1))</f>
        <v>627.65081154031589</v>
      </c>
      <c r="BJ71" s="59">
        <f t="shared" si="92"/>
        <v>288.78083487077618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13.724161885731682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13.724161885731682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8.8662500000000044</v>
      </c>
      <c r="BY71" s="12">
        <f>IF('Données projet'!$A$114&gt;35,BY70+BX71-CG70,IF(A71&lt;'Données projet'!$A$114,$BV$205^A71,IF(A71='Données projet'!$A$114,'Données projet'!$B$114,BY70+BX71-CG70)))</f>
        <v>232.78250000000014</v>
      </c>
      <c r="BZ71" s="13">
        <f>BY71*VLOOKUP('Données projet'!$B$12,Paramètres!$A$1:$I$89,3,0)*VLOOKUP('Données projet'!$B$12,Paramètres!$A$1:$I$89,5,0)</f>
        <v>236.04145500000016</v>
      </c>
      <c r="CA71" s="13">
        <f t="shared" si="93"/>
        <v>57.587007592056594</v>
      </c>
      <c r="CB71" s="20">
        <f t="shared" si="64"/>
        <v>511.40290568116535</v>
      </c>
      <c r="CC71" s="59">
        <f t="shared" si="65"/>
        <v>776.84928980838413</v>
      </c>
      <c r="CD71" s="59">
        <f ca="1">AVERAGE(OFFSET($CC$3,0,0,'Données projet'!$E$12+1,1))-AVERAGE(OFFSET($H$3,0,0,'Données projet'!$E$12+1,1))</f>
        <v>692.2706942067415</v>
      </c>
      <c r="CE71" s="59">
        <f t="shared" si="94"/>
        <v>316.17529091924803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15.38052625125102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15.38052625125102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</v>
      </c>
      <c r="CT71" s="12">
        <f>IF('Données projet'!$A$140&gt;35,CT70+CS71-DB70,IF(A71&lt;'Données projet'!$A$140,$CQ$205^A71,IF(A71='Données projet'!$A$140,'Données projet'!$B$140,CT70+CS71-DB70)))</f>
        <v>225</v>
      </c>
      <c r="CU71" s="17">
        <f>CT71*VLOOKUP('Données projet'!$B$13,Paramètres!$A$1:$I$89,3,0)*VLOOKUP('Données projet'!$B$13,Paramètres!$A$1:$I$89,5,0)</f>
        <v>214.11</v>
      </c>
      <c r="CV71" s="13">
        <f t="shared" si="95"/>
        <v>52.832708448119902</v>
      </c>
      <c r="CW71" s="20">
        <f t="shared" si="67"/>
        <v>464.92521721380876</v>
      </c>
      <c r="CX71" s="59">
        <f t="shared" si="68"/>
        <v>730.3716013410276</v>
      </c>
      <c r="CY71" s="59">
        <f ca="1">AVERAGE(OFFSET($CX$3,0,0,'Données projet'!$E$13+1,1))-AVERAGE(OFFSET($H$3,0,0,'Données projet'!$E$13+1,1))</f>
        <v>424.5933338095914</v>
      </c>
      <c r="CZ71" s="59">
        <f t="shared" si="96"/>
        <v>159.28977188196134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18.113222933588045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18.113222933588045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-18.333333333333343</v>
      </c>
      <c r="DU71" s="59">
        <f t="shared" si="98"/>
        <v>-18.333333333333343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-18.333333333333343</v>
      </c>
      <c r="EP71" s="59">
        <f t="shared" si="100"/>
        <v>-18.333333333333343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8.8662500000000044</v>
      </c>
      <c r="FE71" s="12">
        <f>IF('Données projet'!$A$218&gt;35,FE70+FD71-FM70,IF(A71&lt;'Données projet'!$A$218,$FB$205^A71,IF(A71='Données projet'!$A$218,'Données projet'!$B$218,FE70+FD71-FM70)))</f>
        <v>232.78250000000014</v>
      </c>
      <c r="FF71" s="17">
        <f>FE71*VLOOKUP('Données projet'!$B$16,Paramètres!$A$1:$I$89,3,0)*VLOOKUP('Données projet'!$B$16,Paramètres!$A$1:$I$89,5,0)</f>
        <v>225.14723400000014</v>
      </c>
      <c r="FG71" s="13">
        <f t="shared" si="101"/>
        <v>55.232101356665147</v>
      </c>
      <c r="FH71" s="20">
        <f t="shared" si="76"/>
        <v>488.32734241285874</v>
      </c>
      <c r="FI71" s="59">
        <f t="shared" si="77"/>
        <v>753.77372654007763</v>
      </c>
      <c r="FJ71" s="59">
        <f ca="1">AVERAGE(OFFSET($FI$3,0,0,'Données projet'!$E$16+1,1))-AVERAGE(OFFSET($H$3,0,0,'Données projet'!$E$16+1,1))</f>
        <v>664.59451650228573</v>
      </c>
      <c r="FK71" s="59">
        <f t="shared" si="102"/>
        <v>304.44325029106631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14.67065580888559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14.67065580888559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12.905000000000006</v>
      </c>
      <c r="N72" s="13">
        <f>IF('Données projet'!$A$36&gt;35,N71+M72-V71,IF(A72&lt;'Données projet'!$A$36,$K$205^A72,IF(A72='Données projet'!$A$36,'Données projet'!$B$36,N71+M72-V71)))</f>
        <v>581.23499999999956</v>
      </c>
      <c r="O72" s="13">
        <f>N72*VLOOKUP('Données projet'!$B$9,Paramètres!$A$1:$I$89,3,0)*VLOOKUP('Données projet'!$B$9,Paramètres!$A$1:$I$89,5,0)</f>
        <v>347.57852999999977</v>
      </c>
      <c r="P72" s="13">
        <f t="shared" si="87"/>
        <v>81.063704131490269</v>
      </c>
      <c r="Q72" s="20">
        <f t="shared" si="54"/>
        <v>746.55189111234506</v>
      </c>
      <c r="R72" s="59">
        <f t="shared" si="55"/>
        <v>1012.4820514624116</v>
      </c>
      <c r="S72" s="59">
        <f ca="1">AVERAGE(OFFSET($R$3,0,0,'Données projet'!$E$9+1,1))-AVERAGE(OFFSET($H$3,0,0,'Données projet'!$E$9+1,1))</f>
        <v>460.88622650237176</v>
      </c>
      <c r="T72" s="59">
        <f t="shared" si="88"/>
        <v>396.05161661639647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71.676307654401981</v>
      </c>
      <c r="AA72" s="21">
        <f>EXP(-LN(2)/25)*AA71+(1-EXP(-LN(2)/25))/(LN(2)/25)*Calculateur!V72*Calculateur!X72*VLOOKUP('Données projet'!$B$9,Paramètres!$A$1:$I$89,3,0)*0.475*44/12</f>
        <v>15.430756101933289</v>
      </c>
      <c r="AB72" s="21">
        <f>EXP(-LN(2)/2)*AB71+(1-EXP(-LN(2)/2))/(LN(2)/2)*V72*Y72*VLOOKUP('Données projet'!$B$9,Paramètres!$A$1:$I$89,3,0)*0.475*44/12</f>
        <v>1.9474965989651614</v>
      </c>
      <c r="AC72" s="22">
        <f t="shared" si="57"/>
        <v>89.054560355300424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16.050000000000004</v>
      </c>
      <c r="AI72" s="13">
        <f>IF('Données projet'!$A$62&gt;35,AI71+AH72-AQ71,IF(A72&lt;'Données projet'!$A$62,$AF$205^A72,IF(A72='Données projet'!$A$62,'Données projet'!$B$62,AI71+AH72-AQ71)))</f>
        <v>433.68999999999988</v>
      </c>
      <c r="AJ72" s="13">
        <f>AI72*VLOOKUP('Données projet'!$B$10,Paramètres!$A$1:$I$89,3,0)*VLOOKUP('Données projet'!$B$10,Paramètres!$A$1:$I$89,5,0)</f>
        <v>202.96691999999993</v>
      </c>
      <c r="AK72" s="13">
        <f t="shared" si="89"/>
        <v>50.395647071710499</v>
      </c>
      <c r="AL72" s="20">
        <f t="shared" si="58"/>
        <v>441.27313764989566</v>
      </c>
      <c r="AM72" s="59">
        <f t="shared" si="59"/>
        <v>707.20329799996216</v>
      </c>
      <c r="AN72" s="59">
        <f ca="1">AVERAGE(OFFSET($AM$3,0,0,'Données projet'!$E$10+1,1))-AVERAGE(OFFSET($H$3,0,0,'Données projet'!$E$10+1,1))</f>
        <v>387.50901594883317</v>
      </c>
      <c r="AO72" s="59">
        <f t="shared" si="90"/>
        <v>361.3623790401972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55.46299224691446</v>
      </c>
      <c r="AV72" s="21">
        <f>EXP(-LN(2)/25)*AV71+(1-EXP(-LN(2)/25))/(LN(2)/25)*Calculateur!AQ72*Calculateur!AS72*VLOOKUP('Données projet'!$B$10,Paramètres!$A$1:$I$89,3,0)*0.475*44/12</f>
        <v>23.470397253471305</v>
      </c>
      <c r="AW72" s="21">
        <f>EXP(-LN(2)/2)*AW71+(1-EXP(-LN(2)/2))/(LN(2)/2)*AQ72*AT72*VLOOKUP('Données projet'!$B$10,Paramètres!$A$1:$I$89,3,0)*0.475*44/12</f>
        <v>0.77833330185287886</v>
      </c>
      <c r="AX72" s="21">
        <f t="shared" si="60"/>
        <v>79.711722802238654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8.8662500000000044</v>
      </c>
      <c r="BD72" s="12">
        <f>IF('Données projet'!$A$88&gt;35,BD71+BC72-BL71,IF(A72&lt;'Données projet'!$A$88,$BA$205^A72,IF(A72='Données projet'!$A$88,'Données projet'!$B$88,BD71+BC72-BL71)))</f>
        <v>241.64875000000015</v>
      </c>
      <c r="BE72" s="13">
        <f>BD72*VLOOKUP('Données projet'!$B$11,Paramètres!$A$1:$I$89,3,0)*VLOOKUP('Données projet'!$B$11,Paramètres!$A$1:$I$89,5,0)</f>
        <v>218.64378900000014</v>
      </c>
      <c r="BF72" s="13">
        <f t="shared" si="91"/>
        <v>53.820013961218514</v>
      </c>
      <c r="BG72" s="20">
        <f t="shared" si="61"/>
        <v>474.54112349078923</v>
      </c>
      <c r="BH72" s="59">
        <f t="shared" si="62"/>
        <v>740.47128384085579</v>
      </c>
      <c r="BI72" s="59">
        <f ca="1">AVERAGE(OFFSET($BH$3,0,0,'Données projet'!$E$11+1,1))-AVERAGE(OFFSET($H$3,0,0,'Données projet'!$E$11+1,1))</f>
        <v>627.65081154031589</v>
      </c>
      <c r="BJ72" s="59">
        <f t="shared" si="92"/>
        <v>288.78083487077618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13.455039442064676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13.455039442064676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8.8662500000000044</v>
      </c>
      <c r="BY72" s="12">
        <f>IF('Données projet'!$A$114&gt;35,BY71+BX72-CG71,IF(A72&lt;'Données projet'!$A$114,$BV$205^A72,IF(A72='Données projet'!$A$114,'Données projet'!$B$114,BY71+BX72-CG71)))</f>
        <v>241.64875000000015</v>
      </c>
      <c r="BZ72" s="13">
        <f>BY72*VLOOKUP('Données projet'!$B$12,Paramètres!$A$1:$I$89,3,0)*VLOOKUP('Données projet'!$B$12,Paramètres!$A$1:$I$89,5,0)</f>
        <v>245.03183250000018</v>
      </c>
      <c r="CA72" s="13">
        <f t="shared" si="93"/>
        <v>59.520842912770703</v>
      </c>
      <c r="CB72" s="20">
        <f t="shared" si="64"/>
        <v>530.42924301057599</v>
      </c>
      <c r="CC72" s="59">
        <f t="shared" si="65"/>
        <v>796.35940336064255</v>
      </c>
      <c r="CD72" s="59">
        <f ca="1">AVERAGE(OFFSET($CC$3,0,0,'Données projet'!$E$12+1,1))-AVERAGE(OFFSET($H$3,0,0,'Données projet'!$E$12+1,1))</f>
        <v>692.2706942067415</v>
      </c>
      <c r="CE72" s="59">
        <f t="shared" si="94"/>
        <v>316.17529091924803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15.078923512658685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15.078923512658685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</v>
      </c>
      <c r="CT72" s="12">
        <f>IF('Données projet'!$A$140&gt;35,CT71+CS72-DB71,IF(A72&lt;'Données projet'!$A$140,$CQ$205^A72,IF(A72='Données projet'!$A$140,'Données projet'!$B$140,CT71+CS72-DB71)))</f>
        <v>232</v>
      </c>
      <c r="CU72" s="17">
        <f>CT72*VLOOKUP('Données projet'!$B$13,Paramètres!$A$1:$I$89,3,0)*VLOOKUP('Données projet'!$B$13,Paramètres!$A$1:$I$89,5,0)</f>
        <v>220.77120000000002</v>
      </c>
      <c r="CV72" s="13">
        <f t="shared" si="95"/>
        <v>54.28246807807983</v>
      </c>
      <c r="CW72" s="20">
        <f t="shared" si="67"/>
        <v>479.05180523598898</v>
      </c>
      <c r="CX72" s="59">
        <f t="shared" si="68"/>
        <v>744.98196558605559</v>
      </c>
      <c r="CY72" s="59">
        <f ca="1">AVERAGE(OFFSET($CX$3,0,0,'Données projet'!$E$13+1,1))-AVERAGE(OFFSET($H$3,0,0,'Données projet'!$E$13+1,1))</f>
        <v>424.5933338095914</v>
      </c>
      <c r="CZ72" s="59">
        <f t="shared" si="96"/>
        <v>159.28977188196134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17.758033679835474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17.758033679835474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-18.333333333333343</v>
      </c>
      <c r="DU72" s="59">
        <f t="shared" si="98"/>
        <v>-18.333333333333343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-18.333333333333343</v>
      </c>
      <c r="EP72" s="59">
        <f t="shared" si="100"/>
        <v>-18.333333333333343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8.8662500000000044</v>
      </c>
      <c r="FE72" s="12">
        <f>IF('Données projet'!$A$218&gt;35,FE71+FD72-FM71,IF(A72&lt;'Données projet'!$A$218,$FB$205^A72,IF(A72='Données projet'!$A$218,'Données projet'!$B$218,FE71+FD72-FM71)))</f>
        <v>241.64875000000015</v>
      </c>
      <c r="FF72" s="17">
        <f>FE72*VLOOKUP('Données projet'!$B$16,Paramètres!$A$1:$I$89,3,0)*VLOOKUP('Données projet'!$B$16,Paramètres!$A$1:$I$89,5,0)</f>
        <v>233.72267100000013</v>
      </c>
      <c r="FG72" s="13">
        <f t="shared" si="101"/>
        <v>57.086856324963186</v>
      </c>
      <c r="FH72" s="20">
        <f t="shared" si="76"/>
        <v>506.49326009097769</v>
      </c>
      <c r="FI72" s="59">
        <f t="shared" si="77"/>
        <v>772.4234204410443</v>
      </c>
      <c r="FJ72" s="59">
        <f ca="1">AVERAGE(OFFSET($FI$3,0,0,'Données projet'!$E$16+1,1))-AVERAGE(OFFSET($H$3,0,0,'Données projet'!$E$16+1,1))</f>
        <v>664.59451650228573</v>
      </c>
      <c r="FK72" s="59">
        <f t="shared" si="102"/>
        <v>304.44325029106631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14.382973196689823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14.382973196689823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12.905000000000006</v>
      </c>
      <c r="N73" s="13">
        <f>IF('Données projet'!$A$36&gt;35,N72+M73-V72,IF(A73&lt;'Données projet'!$A$36,$K$205^A73,IF(A73='Données projet'!$A$36,'Données projet'!$B$36,N72+M73-V72)))</f>
        <v>594.13999999999953</v>
      </c>
      <c r="O73" s="13">
        <f>N73*VLOOKUP('Données projet'!$B$9,Paramètres!$A$1:$I$89,3,0)*VLOOKUP('Données projet'!$B$9,Paramètres!$A$1:$I$89,5,0)</f>
        <v>355.29571999999979</v>
      </c>
      <c r="P73" s="13">
        <f t="shared" si="87"/>
        <v>82.652000101150165</v>
      </c>
      <c r="Q73" s="20">
        <f t="shared" si="54"/>
        <v>762.75894584283617</v>
      </c>
      <c r="R73" s="59">
        <f t="shared" si="55"/>
        <v>1029.1644899798457</v>
      </c>
      <c r="S73" s="59">
        <f ca="1">AVERAGE(OFFSET($R$3,0,0,'Données projet'!$E$9+1,1))-AVERAGE(OFFSET($H$3,0,0,'Données projet'!$E$9+1,1))</f>
        <v>460.88622650237176</v>
      </c>
      <c r="T73" s="59">
        <f t="shared" si="88"/>
        <v>396.05161661639647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70.270778979530007</v>
      </c>
      <c r="AA73" s="21">
        <f>EXP(-LN(2)/25)*AA72+(1-EXP(-LN(2)/25))/(LN(2)/25)*Calculateur!V73*Calculateur!X73*VLOOKUP('Données projet'!$B$9,Paramètres!$A$1:$I$89,3,0)*0.475*44/12</f>
        <v>15.008801264857727</v>
      </c>
      <c r="AB73" s="21">
        <f>EXP(-LN(2)/2)*AB72+(1-EXP(-LN(2)/2))/(LN(2)/2)*V73*Y73*VLOOKUP('Données projet'!$B$9,Paramètres!$A$1:$I$89,3,0)*0.475*44/12</f>
        <v>1.377088051466004</v>
      </c>
      <c r="AC73" s="22">
        <f t="shared" si="57"/>
        <v>86.656668295853734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16.050000000000004</v>
      </c>
      <c r="AI73" s="13">
        <f>IF('Données projet'!$A$62&gt;35,AI72+AH73-AQ72,IF(A73&lt;'Données projet'!$A$62,$AF$205^A73,IF(A73='Données projet'!$A$62,'Données projet'!$B$62,AI72+AH73-AQ72)))</f>
        <v>449.7399999999999</v>
      </c>
      <c r="AJ73" s="13">
        <f>AI73*VLOOKUP('Données projet'!$B$10,Paramètres!$A$1:$I$89,3,0)*VLOOKUP('Données projet'!$B$10,Paramètres!$A$1:$I$89,5,0)</f>
        <v>210.47831999999997</v>
      </c>
      <c r="AK73" s="13">
        <f t="shared" si="89"/>
        <v>52.040096808248755</v>
      </c>
      <c r="AL73" s="20">
        <f t="shared" si="58"/>
        <v>457.21957594103316</v>
      </c>
      <c r="AM73" s="59">
        <f t="shared" si="59"/>
        <v>723.62512007804264</v>
      </c>
      <c r="AN73" s="59">
        <f ca="1">AVERAGE(OFFSET($AM$3,0,0,'Données projet'!$E$10+1,1))-AVERAGE(OFFSET($H$3,0,0,'Données projet'!$E$10+1,1))</f>
        <v>387.50901594883317</v>
      </c>
      <c r="AO73" s="59">
        <f t="shared" si="90"/>
        <v>361.3623790401972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54.375396798037393</v>
      </c>
      <c r="AV73" s="21">
        <f>EXP(-LN(2)/25)*AV72+(1-EXP(-LN(2)/25))/(LN(2)/25)*Calculateur!AQ73*Calculateur!AS73*VLOOKUP('Données projet'!$B$10,Paramètres!$A$1:$I$89,3,0)*0.475*44/12</f>
        <v>22.828598006320583</v>
      </c>
      <c r="AW73" s="21">
        <f>EXP(-LN(2)/2)*AW72+(1-EXP(-LN(2)/2))/(LN(2)/2)*AQ73*AT73*VLOOKUP('Données projet'!$B$10,Paramètres!$A$1:$I$89,3,0)*0.475*44/12</f>
        <v>0.55036475576348665</v>
      </c>
      <c r="AX73" s="21">
        <f t="shared" si="60"/>
        <v>77.754359560121458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8.8662500000000044</v>
      </c>
      <c r="BD73" s="12">
        <f>IF('Données projet'!$A$88&gt;35,BD72+BC73-BL72,IF(A73&lt;'Données projet'!$A$88,$BA$205^A73,IF(A73='Données projet'!$A$88,'Données projet'!$B$88,BD72+BC73-BL72)))</f>
        <v>250.51500000000016</v>
      </c>
      <c r="BE73" s="13">
        <f>BD73*VLOOKUP('Données projet'!$B$11,Paramètres!$A$1:$I$89,3,0)*VLOOKUP('Données projet'!$B$11,Paramètres!$A$1:$I$89,5,0)</f>
        <v>226.66597200000012</v>
      </c>
      <c r="BF73" s="13">
        <f t="shared" si="91"/>
        <v>55.561175235972904</v>
      </c>
      <c r="BG73" s="20">
        <f t="shared" si="61"/>
        <v>491.54561476931968</v>
      </c>
      <c r="BH73" s="59">
        <f t="shared" si="62"/>
        <v>757.95115890632917</v>
      </c>
      <c r="BI73" s="59">
        <f ca="1">AVERAGE(OFFSET($BH$3,0,0,'Données projet'!$E$11+1,1))-AVERAGE(OFFSET($H$3,0,0,'Données projet'!$E$11+1,1))</f>
        <v>627.65081154031589</v>
      </c>
      <c r="BJ73" s="59">
        <f t="shared" si="92"/>
        <v>288.78083487077618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13.191194325369496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13.191194325369496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8.8662500000000044</v>
      </c>
      <c r="BY73" s="12">
        <f>IF('Données projet'!$A$114&gt;35,BY72+BX73-CG72,IF(A73&lt;'Données projet'!$A$114,$BV$205^A73,IF(A73='Données projet'!$A$114,'Données projet'!$B$114,BY72+BX73-CG72)))</f>
        <v>250.51500000000016</v>
      </c>
      <c r="BZ73" s="13">
        <f>BY73*VLOOKUP('Données projet'!$B$12,Paramètres!$A$1:$I$89,3,0)*VLOOKUP('Données projet'!$B$12,Paramètres!$A$1:$I$89,5,0)</f>
        <v>254.02221000000017</v>
      </c>
      <c r="CA73" s="13">
        <f t="shared" si="93"/>
        <v>61.446434882983361</v>
      </c>
      <c r="CB73" s="20">
        <f t="shared" si="64"/>
        <v>549.44122317119627</v>
      </c>
      <c r="CC73" s="59">
        <f t="shared" si="65"/>
        <v>815.8467673082057</v>
      </c>
      <c r="CD73" s="59">
        <f ca="1">AVERAGE(OFFSET($CC$3,0,0,'Données projet'!$E$12+1,1))-AVERAGE(OFFSET($H$3,0,0,'Données projet'!$E$12+1,1))</f>
        <v>692.2706942067415</v>
      </c>
      <c r="CE73" s="59">
        <f t="shared" si="94"/>
        <v>316.17529091924803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14.78323501981064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14.78323501981064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239</v>
      </c>
      <c r="CR73" s="12">
        <f>VLOOKUP(A73,'Données projet'!$A$139:$I$159,9,0)</f>
        <v>7</v>
      </c>
      <c r="CS73" s="12">
        <f t="array" ref="CS73">INDEX(CR:CR,MIN(IF(ISNUMBER(CR73:CR269),ROW(CR73:CR269),"")))</f>
        <v>7</v>
      </c>
      <c r="CT73" s="12">
        <f>IF('Données projet'!$A$140&gt;35,CT72+CS73-DB72,IF(A73&lt;'Données projet'!$A$140,$CQ$205^A73,IF(A73='Données projet'!$A$140,'Données projet'!$B$140,CT72+CS73-DB72)))</f>
        <v>239</v>
      </c>
      <c r="CU73" s="17">
        <f>CT73*VLOOKUP('Données projet'!$B$13,Paramètres!$A$1:$I$89,3,0)*VLOOKUP('Données projet'!$B$13,Paramètres!$A$1:$I$89,5,0)</f>
        <v>227.4324</v>
      </c>
      <c r="CV73" s="13">
        <f t="shared" si="95"/>
        <v>55.72714416794178</v>
      </c>
      <c r="CW73" s="20">
        <f t="shared" si="67"/>
        <v>493.16953942583194</v>
      </c>
      <c r="CX73" s="59">
        <f t="shared" si="68"/>
        <v>759.57508356284143</v>
      </c>
      <c r="CY73" s="59">
        <f ca="1">AVERAGE(OFFSET($CX$3,0,0,'Données projet'!$E$13+1,1))-AVERAGE(OFFSET($H$3,0,0,'Données projet'!$E$13+1,1))</f>
        <v>424.5933338095914</v>
      </c>
      <c r="CZ73" s="59">
        <f t="shared" si="96"/>
        <v>159.28977188196134</v>
      </c>
      <c r="DA73" s="15">
        <f>IF(ISNA(VLOOKUP(A73,'Données projet'!$A$139:$I$159,3,0)),0,VLOOKUP(A73,'Données projet'!$A$139:$I$159,3,0))</f>
        <v>8</v>
      </c>
      <c r="DB73" s="15">
        <f>IF(ISNA(VLOOKUP(A73,'Données projet'!$A$139:$I$159,4,0)),0,VLOOKUP(A73,'Données projet'!$A$139:$I$159,4,0))</f>
        <v>26</v>
      </c>
      <c r="DC73" s="16">
        <f>IF(ISNA(VLOOKUP(A73,'Données projet'!$A$139:$I$159,5,0)),0%,VLOOKUP(A73,'Données projet'!$A$139:$I$159,5,0)*VLOOKUP('Données projet'!$B$13,Paramètres!$A$1:$I$89,7,0))</f>
        <v>0.215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23.290297248289214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23.290297248289214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-18.333333333333343</v>
      </c>
      <c r="DU73" s="59">
        <f t="shared" si="98"/>
        <v>-18.333333333333343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-18.333333333333343</v>
      </c>
      <c r="EP73" s="59">
        <f t="shared" si="100"/>
        <v>-18.333333333333343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8.8662500000000044</v>
      </c>
      <c r="FE73" s="12">
        <f>IF('Données projet'!$A$218&gt;35,FE72+FD73-FM72,IF(A73&lt;'Données projet'!$A$218,$FB$205^A73,IF(A73='Données projet'!$A$218,'Données projet'!$B$218,FE72+FD73-FM72)))</f>
        <v>250.51500000000016</v>
      </c>
      <c r="FF73" s="17">
        <f>FE73*VLOOKUP('Données projet'!$B$16,Paramètres!$A$1:$I$89,3,0)*VLOOKUP('Données projet'!$B$16,Paramètres!$A$1:$I$89,5,0)</f>
        <v>242.29810800000013</v>
      </c>
      <c r="FG73" s="13">
        <f t="shared" si="101"/>
        <v>58.933705038196834</v>
      </c>
      <c r="FH73" s="20">
        <f t="shared" si="76"/>
        <v>524.64540770819303</v>
      </c>
      <c r="FI73" s="59">
        <f t="shared" si="77"/>
        <v>791.05095184520246</v>
      </c>
      <c r="FJ73" s="59">
        <f ca="1">AVERAGE(OFFSET($FI$3,0,0,'Données projet'!$E$16+1,1))-AVERAGE(OFFSET($H$3,0,0,'Données projet'!$E$16+1,1))</f>
        <v>664.59451650228573</v>
      </c>
      <c r="FK73" s="59">
        <f t="shared" si="102"/>
        <v>304.44325029106631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14.10093186505015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14.10093186505015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12.905000000000006</v>
      </c>
      <c r="N74" s="13">
        <f>IF('Données projet'!$A$36&gt;35,N73+M74-V73,IF(A74&lt;'Données projet'!$A$36,$K$205^A74,IF(A74='Données projet'!$A$36,'Données projet'!$B$36,N73+M74-V73)))</f>
        <v>607.0449999999995</v>
      </c>
      <c r="O74" s="13">
        <f>N74*VLOOKUP('Données projet'!$B$9,Paramètres!$A$1:$I$89,3,0)*VLOOKUP('Données projet'!$B$9,Paramètres!$A$1:$I$89,5,0)</f>
        <v>363.01290999999975</v>
      </c>
      <c r="P74" s="13">
        <f t="shared" si="87"/>
        <v>84.236285180015841</v>
      </c>
      <c r="Q74" s="20">
        <f t="shared" si="54"/>
        <v>778.95901493852716</v>
      </c>
      <c r="R74" s="59">
        <f t="shared" si="55"/>
        <v>1045.8316960165751</v>
      </c>
      <c r="S74" s="59">
        <f ca="1">AVERAGE(OFFSET($R$3,0,0,'Données projet'!$E$9+1,1))-AVERAGE(OFFSET($H$3,0,0,'Données projet'!$E$9+1,1))</f>
        <v>460.88622650237176</v>
      </c>
      <c r="T74" s="59">
        <f t="shared" si="88"/>
        <v>396.05161661639647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68.892811864684433</v>
      </c>
      <c r="AA74" s="21">
        <f>EXP(-LN(2)/25)*AA73+(1-EXP(-LN(2)/25))/(LN(2)/25)*Calculateur!V74*Calculateur!X74*VLOOKUP('Données projet'!$B$9,Paramètres!$A$1:$I$89,3,0)*0.475*44/12</f>
        <v>14.598384804991637</v>
      </c>
      <c r="AB74" s="21">
        <f>EXP(-LN(2)/2)*AB73+(1-EXP(-LN(2)/2))/(LN(2)/2)*V74*Y74*VLOOKUP('Données projet'!$B$9,Paramètres!$A$1:$I$89,3,0)*0.475*44/12</f>
        <v>0.97374829948258079</v>
      </c>
      <c r="AC74" s="22">
        <f t="shared" si="57"/>
        <v>84.464944969158651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465.79</v>
      </c>
      <c r="AG74" s="12">
        <f>VLOOKUP(A74,'Données projet'!$A$61:$I$81,9,0)</f>
        <v>16.050000000000004</v>
      </c>
      <c r="AH74" s="12">
        <f t="array" ref="AH74">INDEX(AG:AG,MIN(IF(ISNUMBER(AG74:AG270),ROW(AG74:AG270),"")))</f>
        <v>16.050000000000004</v>
      </c>
      <c r="AI74" s="13">
        <f>IF('Données projet'!$A$62&gt;35,AI73+AH74-AQ73,IF(A74&lt;'Données projet'!$A$62,$AF$205^A74,IF(A74='Données projet'!$A$62,'Données projet'!$B$62,AI73+AH74-AQ73)))</f>
        <v>465.78999999999991</v>
      </c>
      <c r="AJ74" s="13">
        <f>AI74*VLOOKUP('Données projet'!$B$10,Paramètres!$A$1:$I$89,3,0)*VLOOKUP('Données projet'!$B$10,Paramètres!$A$1:$I$89,5,0)</f>
        <v>217.98971999999995</v>
      </c>
      <c r="AK74" s="13">
        <f t="shared" si="89"/>
        <v>53.677728140063088</v>
      </c>
      <c r="AL74" s="20">
        <f t="shared" si="58"/>
        <v>473.15413884394314</v>
      </c>
      <c r="AM74" s="59">
        <f t="shared" si="59"/>
        <v>740.02681992199109</v>
      </c>
      <c r="AN74" s="59">
        <f ca="1">AVERAGE(OFFSET($AM$3,0,0,'Données projet'!$E$10+1,1))-AVERAGE(OFFSET($H$3,0,0,'Données projet'!$E$10+1,1))</f>
        <v>387.50901594883317</v>
      </c>
      <c r="AO74" s="59">
        <f t="shared" si="90"/>
        <v>361.3623790401972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90.8</v>
      </c>
      <c r="AR74" s="16">
        <f>IF(ISNA(VLOOKUP(A74,'Données projet'!$A$61:$I$81,5,0)),0%,VLOOKUP(A74,'Données projet'!$A$61:$I$81,5,0)*VLOOKUP('Données projet'!$B$10,Paramètres!$A$1:$I$89,7,0))</f>
        <v>0.44000000000000006</v>
      </c>
      <c r="AS74" s="16">
        <f>IF(ISNA(VLOOKUP(A74,'Données projet'!$A$61:$I$81,6,0)),0%,VLOOKUP(A74,'Données projet'!$A$61:$I$81,6,0)*VLOOKUP('Données projet'!$B$10,Paramètres!$A$1:$I$89,7,0))</f>
        <v>6.0500000000000005E-2</v>
      </c>
      <c r="AT74" s="16">
        <f>IF(ISNA(VLOOKUP(A74,'Données projet'!$A$61:$I$81,7,0)),0%,VLOOKUP(A74,'Données projet'!$A$61:$I$81,7,0))</f>
        <v>0.09</v>
      </c>
      <c r="AU74" s="21">
        <f>EXP(-LN(2)/35)*AU73+(1-EXP(-LN(2)/35))/(LN(2)/35)*AQ74*AR74*VLOOKUP('Données projet'!$B$10,Paramètres!$A$1:$I$89,3,0)*0.475*44/12</f>
        <v>78.112615094446284</v>
      </c>
      <c r="AV74" s="21">
        <f>EXP(-LN(2)/25)*AV73+(1-EXP(-LN(2)/25))/(LN(2)/25)*Calculateur!AQ74*Calculateur!AS74*VLOOKUP('Données projet'!$B$10,Paramètres!$A$1:$I$89,3,0)*0.475*44/12</f>
        <v>25.601399852389996</v>
      </c>
      <c r="AW74" s="21">
        <f>EXP(-LN(2)/2)*AW73+(1-EXP(-LN(2)/2))/(LN(2)/2)*AQ74*AT74*VLOOKUP('Données projet'!$B$10,Paramètres!$A$1:$I$89,3,0)*0.475*44/12</f>
        <v>4.7193845438872177</v>
      </c>
      <c r="AX74" s="21">
        <f t="shared" si="60"/>
        <v>108.43339949072349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8.8662500000000044</v>
      </c>
      <c r="BD74" s="12">
        <f>IF('Données projet'!$A$88&gt;35,BD73+BC74-BL73,IF(A74&lt;'Données projet'!$A$88,$BA$205^A74,IF(A74='Données projet'!$A$88,'Données projet'!$B$88,BD73+BC74-BL73)))</f>
        <v>259.38125000000014</v>
      </c>
      <c r="BE74" s="13">
        <f>BD74*VLOOKUP('Données projet'!$B$11,Paramètres!$A$1:$I$89,3,0)*VLOOKUP('Données projet'!$B$11,Paramètres!$A$1:$I$89,5,0)</f>
        <v>234.68815500000011</v>
      </c>
      <c r="BF74" s="13">
        <f t="shared" si="91"/>
        <v>57.295176729679312</v>
      </c>
      <c r="BG74" s="20">
        <f t="shared" si="61"/>
        <v>508.53763609585832</v>
      </c>
      <c r="BH74" s="59">
        <f t="shared" si="62"/>
        <v>775.41031717390626</v>
      </c>
      <c r="BI74" s="59">
        <f ca="1">AVERAGE(OFFSET($BH$3,0,0,'Données projet'!$E$11+1,1))-AVERAGE(OFFSET($H$3,0,0,'Données projet'!$E$11+1,1))</f>
        <v>627.65081154031589</v>
      </c>
      <c r="BJ74" s="59">
        <f t="shared" si="92"/>
        <v>288.78083487077618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12.932523050483079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12.932523050483079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8.8662500000000044</v>
      </c>
      <c r="BY74" s="12">
        <f>IF('Données projet'!$A$114&gt;35,BY73+BX74-CG73,IF(A74&lt;'Données projet'!$A$114,$BV$205^A74,IF(A74='Données projet'!$A$114,'Données projet'!$B$114,BY73+BX74-CG73)))</f>
        <v>259.38125000000014</v>
      </c>
      <c r="BZ74" s="13">
        <f>BY74*VLOOKUP('Données projet'!$B$12,Paramètres!$A$1:$I$89,3,0)*VLOOKUP('Données projet'!$B$12,Paramètres!$A$1:$I$89,5,0)</f>
        <v>263.01258750000017</v>
      </c>
      <c r="CA74" s="13">
        <f t="shared" si="93"/>
        <v>63.364108679793951</v>
      </c>
      <c r="CB74" s="20">
        <f t="shared" si="64"/>
        <v>568.43941251314141</v>
      </c>
      <c r="CC74" s="59">
        <f t="shared" si="65"/>
        <v>835.3120935911893</v>
      </c>
      <c r="CD74" s="59">
        <f ca="1">AVERAGE(OFFSET($CC$3,0,0,'Données projet'!$E$12+1,1))-AVERAGE(OFFSET($H$3,0,0,'Données projet'!$E$12+1,1))</f>
        <v>692.2706942067415</v>
      </c>
      <c r="CE74" s="59">
        <f t="shared" si="94"/>
        <v>316.17529091924803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14.493344797955173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14.493344797955173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6.8</v>
      </c>
      <c r="CT74" s="12">
        <f>IF('Données projet'!$A$140&gt;35,CT73+CS74-DB73,IF(A74&lt;'Données projet'!$A$140,$CQ$205^A74,IF(A74='Données projet'!$A$140,'Données projet'!$B$140,CT73+CS74-DB73)))</f>
        <v>219.8</v>
      </c>
      <c r="CU74" s="17">
        <f>CT74*VLOOKUP('Données projet'!$B$13,Paramètres!$A$1:$I$89,3,0)*VLOOKUP('Données projet'!$B$13,Paramètres!$A$1:$I$89,5,0)</f>
        <v>209.16168000000002</v>
      </c>
      <c r="CV74" s="13">
        <f t="shared" si="95"/>
        <v>51.752349060843706</v>
      </c>
      <c r="CW74" s="20">
        <f t="shared" si="67"/>
        <v>454.42526728096954</v>
      </c>
      <c r="CX74" s="59">
        <f t="shared" si="68"/>
        <v>721.29794835901748</v>
      </c>
      <c r="CY74" s="59">
        <f ca="1">AVERAGE(OFFSET($CX$3,0,0,'Données projet'!$E$13+1,1))-AVERAGE(OFFSET($H$3,0,0,'Données projet'!$E$13+1,1))</f>
        <v>424.5933338095914</v>
      </c>
      <c r="CZ74" s="59">
        <f t="shared" si="96"/>
        <v>159.28977188196134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22.833588724928891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22.833588724928891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-18.333333333333343</v>
      </c>
      <c r="DU74" s="59">
        <f t="shared" si="98"/>
        <v>-18.333333333333343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-18.333333333333343</v>
      </c>
      <c r="EP74" s="59">
        <f t="shared" si="100"/>
        <v>-18.333333333333343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8.8662500000000044</v>
      </c>
      <c r="FE74" s="12">
        <f>IF('Données projet'!$A$218&gt;35,FE73+FD74-FM73,IF(A74&lt;'Données projet'!$A$218,$FB$205^A74,IF(A74='Données projet'!$A$218,'Données projet'!$B$218,FE73+FD74-FM73)))</f>
        <v>259.38125000000014</v>
      </c>
      <c r="FF74" s="17">
        <f>FE74*VLOOKUP('Données projet'!$B$16,Paramètres!$A$1:$I$89,3,0)*VLOOKUP('Données projet'!$B$16,Paramètres!$A$1:$I$89,5,0)</f>
        <v>250.87354500000012</v>
      </c>
      <c r="FG74" s="13">
        <f t="shared" si="101"/>
        <v>60.772959375994262</v>
      </c>
      <c r="FH74" s="20">
        <f t="shared" si="76"/>
        <v>542.78432845485679</v>
      </c>
      <c r="FI74" s="59">
        <f t="shared" si="77"/>
        <v>809.65700953290479</v>
      </c>
      <c r="FJ74" s="59">
        <f ca="1">AVERAGE(OFFSET($FI$3,0,0,'Données projet'!$E$16+1,1))-AVERAGE(OFFSET($H$3,0,0,'Données projet'!$E$16+1,1))</f>
        <v>664.59451650228573</v>
      </c>
      <c r="FK74" s="59">
        <f t="shared" si="102"/>
        <v>304.44325029106631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13.824421191895704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13.824421191895704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12.905000000000006</v>
      </c>
      <c r="N75" s="13">
        <f>IF('Données projet'!$A$36&gt;35,N74+M75-V74,IF(A75&lt;'Données projet'!$A$36,$K$205^A75,IF(A75='Données projet'!$A$36,'Données projet'!$B$36,N74+M75-V74)))</f>
        <v>619.94999999999948</v>
      </c>
      <c r="O75" s="13">
        <f>N75*VLOOKUP('Données projet'!$B$9,Paramètres!$A$1:$I$89,3,0)*VLOOKUP('Données projet'!$B$9,Paramètres!$A$1:$I$89,5,0)</f>
        <v>370.73009999999977</v>
      </c>
      <c r="P75" s="13">
        <f t="shared" si="87"/>
        <v>85.816654456287978</v>
      </c>
      <c r="Q75" s="20">
        <f t="shared" si="54"/>
        <v>795.15226401136772</v>
      </c>
      <c r="R75" s="59">
        <f t="shared" si="55"/>
        <v>1062.4839782488889</v>
      </c>
      <c r="S75" s="59">
        <f ca="1">AVERAGE(OFFSET($R$3,0,0,'Données projet'!$E$9+1,1))-AVERAGE(OFFSET($H$3,0,0,'Données projet'!$E$9+1,1))</f>
        <v>460.88622650237176</v>
      </c>
      <c r="T75" s="59">
        <f t="shared" si="88"/>
        <v>396.05161661639647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67.541865844484036</v>
      </c>
      <c r="AA75" s="21">
        <f>EXP(-LN(2)/25)*AA74+(1-EXP(-LN(2)/25))/(LN(2)/25)*Calculateur!V75*Calculateur!X75*VLOOKUP('Données projet'!$B$9,Paramètres!$A$1:$I$89,3,0)*0.475*44/12</f>
        <v>14.19919120480345</v>
      </c>
      <c r="AB75" s="21">
        <f>EXP(-LN(2)/2)*AB74+(1-EXP(-LN(2)/2))/(LN(2)/2)*V75*Y75*VLOOKUP('Données projet'!$B$9,Paramètres!$A$1:$I$89,3,0)*0.475*44/12</f>
        <v>0.688544025733002</v>
      </c>
      <c r="AC75" s="22">
        <f t="shared" si="57"/>
        <v>82.4296010750205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15.115000000000002</v>
      </c>
      <c r="AI75" s="13">
        <f>IF('Données projet'!$A$62&gt;35,AI74+AH75-AQ74,IF(A75&lt;'Données projet'!$A$62,$AF$205^A75,IF(A75='Données projet'!$A$62,'Données projet'!$B$62,AI74+AH75-AQ74)))</f>
        <v>390.1049999999999</v>
      </c>
      <c r="AJ75" s="13">
        <f>AI75*VLOOKUP('Données projet'!$B$10,Paramètres!$A$1:$I$89,3,0)*VLOOKUP('Données projet'!$B$10,Paramètres!$A$1:$I$89,5,0)</f>
        <v>182.56913999999995</v>
      </c>
      <c r="AK75" s="13">
        <f t="shared" si="89"/>
        <v>45.893300175788823</v>
      </c>
      <c r="AL75" s="20">
        <f t="shared" si="58"/>
        <v>397.90541663949875</v>
      </c>
      <c r="AM75" s="59">
        <f t="shared" si="59"/>
        <v>665.23713087701981</v>
      </c>
      <c r="AN75" s="59">
        <f ca="1">AVERAGE(OFFSET($AM$3,0,0,'Données projet'!$E$10+1,1))-AVERAGE(OFFSET($H$3,0,0,'Données projet'!$E$10+1,1))</f>
        <v>387.50901594883317</v>
      </c>
      <c r="AO75" s="59">
        <f t="shared" si="90"/>
        <v>361.3623790401972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76.580874356434947</v>
      </c>
      <c r="AV75" s="21">
        <f>EXP(-LN(2)/25)*AV74+(1-EXP(-LN(2)/25))/(LN(2)/25)*Calculateur!AQ75*Calculateur!AS75*VLOOKUP('Données projet'!$B$10,Paramètres!$A$1:$I$89,3,0)*0.475*44/12</f>
        <v>24.901328227107285</v>
      </c>
      <c r="AW75" s="21">
        <f>EXP(-LN(2)/2)*AW74+(1-EXP(-LN(2)/2))/(LN(2)/2)*AQ75*AT75*VLOOKUP('Données projet'!$B$10,Paramètres!$A$1:$I$89,3,0)*0.475*44/12</f>
        <v>3.3371088140096337</v>
      </c>
      <c r="AX75" s="21">
        <f t="shared" si="60"/>
        <v>104.81931139755187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8.8662500000000044</v>
      </c>
      <c r="BD75" s="12">
        <f>IF('Données projet'!$A$88&gt;35,BD74+BC75-BL74,IF(A75&lt;'Données projet'!$A$88,$BA$205^A75,IF(A75='Données projet'!$A$88,'Données projet'!$B$88,BD74+BC75-BL74)))</f>
        <v>268.24750000000012</v>
      </c>
      <c r="BE75" s="13">
        <f>BD75*VLOOKUP('Données projet'!$B$11,Paramètres!$A$1:$I$89,3,0)*VLOOKUP('Données projet'!$B$11,Paramètres!$A$1:$I$89,5,0)</f>
        <v>242.71033800000009</v>
      </c>
      <c r="BF75" s="13">
        <f t="shared" si="91"/>
        <v>59.022291232778812</v>
      </c>
      <c r="BG75" s="20">
        <f t="shared" si="61"/>
        <v>525.51766258042323</v>
      </c>
      <c r="BH75" s="59">
        <f t="shared" si="62"/>
        <v>792.8493768179444</v>
      </c>
      <c r="BI75" s="59">
        <f ca="1">AVERAGE(OFFSET($BH$3,0,0,'Données projet'!$E$11+1,1))-AVERAGE(OFFSET($H$3,0,0,'Données projet'!$E$11+1,1))</f>
        <v>627.65081154031589</v>
      </c>
      <c r="BJ75" s="59">
        <f t="shared" si="92"/>
        <v>288.78083487077618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12.678924161523286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12.678924161523286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8.8662500000000044</v>
      </c>
      <c r="BY75" s="12">
        <f>IF('Données projet'!$A$114&gt;35,BY74+BX75-CG74,IF(A75&lt;'Données projet'!$A$114,$BV$205^A75,IF(A75='Données projet'!$A$114,'Données projet'!$B$114,BY74+BX75-CG74)))</f>
        <v>268.24750000000012</v>
      </c>
      <c r="BZ75" s="13">
        <f>BY75*VLOOKUP('Données projet'!$B$12,Paramètres!$A$1:$I$89,3,0)*VLOOKUP('Données projet'!$B$12,Paramètres!$A$1:$I$89,5,0)</f>
        <v>272.00296500000013</v>
      </c>
      <c r="CA75" s="13">
        <f t="shared" si="93"/>
        <v>65.274165988687102</v>
      </c>
      <c r="CB75" s="20">
        <f t="shared" si="64"/>
        <v>587.42433647196356</v>
      </c>
      <c r="CC75" s="59">
        <f t="shared" si="65"/>
        <v>854.75605070948473</v>
      </c>
      <c r="CD75" s="59">
        <f ca="1">AVERAGE(OFFSET($CC$3,0,0,'Données projet'!$E$12+1,1))-AVERAGE(OFFSET($H$3,0,0,'Données projet'!$E$12+1,1))</f>
        <v>692.2706942067415</v>
      </c>
      <c r="CE75" s="59">
        <f t="shared" si="94"/>
        <v>316.17529091924803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14.209139146534714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14.209139146534714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6.8</v>
      </c>
      <c r="CT75" s="12">
        <f>IF('Données projet'!$A$140&gt;35,CT74+CS75-DB74,IF(A75&lt;'Données projet'!$A$140,$CQ$205^A75,IF(A75='Données projet'!$A$140,'Données projet'!$B$140,CT74+CS75-DB74)))</f>
        <v>226.60000000000002</v>
      </c>
      <c r="CU75" s="17">
        <f>CT75*VLOOKUP('Données projet'!$B$13,Paramètres!$A$1:$I$89,3,0)*VLOOKUP('Données projet'!$B$13,Paramètres!$A$1:$I$89,5,0)</f>
        <v>215.63256000000001</v>
      </c>
      <c r="CV75" s="13">
        <f t="shared" si="95"/>
        <v>53.164539286100229</v>
      </c>
      <c r="CW75" s="20">
        <f t="shared" si="67"/>
        <v>468.15494792329127</v>
      </c>
      <c r="CX75" s="59">
        <f t="shared" si="68"/>
        <v>735.48666216081233</v>
      </c>
      <c r="CY75" s="59">
        <f ca="1">AVERAGE(OFFSET($CX$3,0,0,'Données projet'!$E$13+1,1))-AVERAGE(OFFSET($H$3,0,0,'Données projet'!$E$13+1,1))</f>
        <v>424.5933338095914</v>
      </c>
      <c r="CZ75" s="59">
        <f t="shared" si="96"/>
        <v>159.28977188196134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22.385835977146968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22.385835977146968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-18.333333333333343</v>
      </c>
      <c r="DU75" s="59">
        <f t="shared" si="98"/>
        <v>-18.333333333333343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-18.333333333333343</v>
      </c>
      <c r="EP75" s="59">
        <f t="shared" si="100"/>
        <v>-18.333333333333343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8.8662500000000044</v>
      </c>
      <c r="FE75" s="12">
        <f>IF('Données projet'!$A$218&gt;35,FE74+FD75-FM74,IF(A75&lt;'Données projet'!$A$218,$FB$205^A75,IF(A75='Données projet'!$A$218,'Données projet'!$B$218,FE74+FD75-FM74)))</f>
        <v>268.24750000000012</v>
      </c>
      <c r="FF75" s="17">
        <f>FE75*VLOOKUP('Données projet'!$B$16,Paramètres!$A$1:$I$89,3,0)*VLOOKUP('Données projet'!$B$16,Paramètres!$A$1:$I$89,5,0)</f>
        <v>259.44898200000011</v>
      </c>
      <c r="FG75" s="13">
        <f t="shared" si="101"/>
        <v>62.604908687011665</v>
      </c>
      <c r="FH75" s="20">
        <f t="shared" si="76"/>
        <v>560.91052627987881</v>
      </c>
      <c r="FI75" s="59">
        <f t="shared" si="77"/>
        <v>828.24224051739998</v>
      </c>
      <c r="FJ75" s="59">
        <f ca="1">AVERAGE(OFFSET($FI$3,0,0,'Données projet'!$E$16+1,1))-AVERAGE(OFFSET($H$3,0,0,'Données projet'!$E$16+1,1))</f>
        <v>664.59451650228573</v>
      </c>
      <c r="FK75" s="59">
        <f t="shared" si="102"/>
        <v>304.44325029106631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13.553332724386959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13.553332724386959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12.905000000000006</v>
      </c>
      <c r="N76" s="13">
        <f>IF('Données projet'!$A$36&gt;35,N75+M76-V75,IF(A76&lt;'Données projet'!$A$36,$K$205^A76,IF(A76='Données projet'!$A$36,'Données projet'!$B$36,N75+M76-V75)))</f>
        <v>632.85499999999945</v>
      </c>
      <c r="O76" s="13">
        <f>N76*VLOOKUP('Données projet'!$B$9,Paramètres!$A$1:$I$89,3,0)*VLOOKUP('Données projet'!$B$9,Paramètres!$A$1:$I$89,5,0)</f>
        <v>378.44728999999967</v>
      </c>
      <c r="P76" s="13">
        <f t="shared" si="87"/>
        <v>87.393198833182808</v>
      </c>
      <c r="Q76" s="20">
        <f t="shared" si="54"/>
        <v>811.33885138445942</v>
      </c>
      <c r="R76" s="59">
        <f t="shared" si="55"/>
        <v>1079.1216355823813</v>
      </c>
      <c r="S76" s="59">
        <f ca="1">AVERAGE(OFFSET($R$3,0,0,'Données projet'!$E$9+1,1))-AVERAGE(OFFSET($H$3,0,0,'Données projet'!$E$9+1,1))</f>
        <v>460.88622650237176</v>
      </c>
      <c r="T76" s="59">
        <f t="shared" si="88"/>
        <v>396.05161661639647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66.217411051744051</v>
      </c>
      <c r="AA76" s="21">
        <f>EXP(-LN(2)/25)*AA75+(1-EXP(-LN(2)/25))/(LN(2)/25)*Calculateur!V76*Calculateur!X76*VLOOKUP('Données projet'!$B$9,Paramètres!$A$1:$I$89,3,0)*0.475*44/12</f>
        <v>13.810913574605086</v>
      </c>
      <c r="AB76" s="21">
        <f>EXP(-LN(2)/2)*AB75+(1-EXP(-LN(2)/2))/(LN(2)/2)*V76*Y76*VLOOKUP('Données projet'!$B$9,Paramètres!$A$1:$I$89,3,0)*0.475*44/12</f>
        <v>0.4868741497412904</v>
      </c>
      <c r="AC76" s="22">
        <f t="shared" si="57"/>
        <v>80.515198776090429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15.115000000000002</v>
      </c>
      <c r="AI76" s="13">
        <f>IF('Données projet'!$A$62&gt;35,AI75+AH76-AQ75,IF(A76&lt;'Données projet'!$A$62,$AF$205^A76,IF(A76='Données projet'!$A$62,'Données projet'!$B$62,AI75+AH76-AQ75)))</f>
        <v>405.21999999999991</v>
      </c>
      <c r="AJ76" s="13">
        <f>AI76*VLOOKUP('Données projet'!$B$10,Paramètres!$A$1:$I$89,3,0)*VLOOKUP('Données projet'!$B$10,Paramètres!$A$1:$I$89,5,0)</f>
        <v>189.64295999999996</v>
      </c>
      <c r="AK76" s="13">
        <f t="shared" si="89"/>
        <v>47.461007737470666</v>
      </c>
      <c r="AL76" s="20">
        <f t="shared" si="58"/>
        <v>412.95607714276122</v>
      </c>
      <c r="AM76" s="59">
        <f t="shared" si="59"/>
        <v>680.738861340683</v>
      </c>
      <c r="AN76" s="59">
        <f ca="1">AVERAGE(OFFSET($AM$3,0,0,'Données projet'!$E$10+1,1))-AVERAGE(OFFSET($H$3,0,0,'Données projet'!$E$10+1,1))</f>
        <v>387.50901594883317</v>
      </c>
      <c r="AO76" s="59">
        <f t="shared" si="90"/>
        <v>361.3623790401972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75.079170120026419</v>
      </c>
      <c r="AV76" s="21">
        <f>EXP(-LN(2)/25)*AV75+(1-EXP(-LN(2)/25))/(LN(2)/25)*Calculateur!AQ76*Calculateur!AS76*VLOOKUP('Données projet'!$B$10,Paramètres!$A$1:$I$89,3,0)*0.475*44/12</f>
        <v>24.2204000972331</v>
      </c>
      <c r="AW76" s="21">
        <f>EXP(-LN(2)/2)*AW75+(1-EXP(-LN(2)/2))/(LN(2)/2)*AQ76*AT76*VLOOKUP('Données projet'!$B$10,Paramètres!$A$1:$I$89,3,0)*0.475*44/12</f>
        <v>2.3596922719436093</v>
      </c>
      <c r="AX76" s="21">
        <f t="shared" si="60"/>
        <v>101.65926248920313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8.8662500000000044</v>
      </c>
      <c r="BD76" s="12">
        <f>IF('Données projet'!$A$88&gt;35,BD75+BC76-BL75,IF(A76&lt;'Données projet'!$A$88,$BA$205^A76,IF(A76='Données projet'!$A$88,'Données projet'!$B$88,BD75+BC76-BL75)))</f>
        <v>277.1137500000001</v>
      </c>
      <c r="BE76" s="13">
        <f>BD76*VLOOKUP('Données projet'!$B$11,Paramètres!$A$1:$I$89,3,0)*VLOOKUP('Données projet'!$B$11,Paramètres!$A$1:$I$89,5,0)</f>
        <v>250.73252100000005</v>
      </c>
      <c r="BF76" s="13">
        <f t="shared" si="91"/>
        <v>60.74277247950485</v>
      </c>
      <c r="BG76" s="20">
        <f t="shared" si="61"/>
        <v>542.48613614347107</v>
      </c>
      <c r="BH76" s="59">
        <f t="shared" si="62"/>
        <v>810.26892034139291</v>
      </c>
      <c r="BI76" s="59">
        <f ca="1">AVERAGE(OFFSET($BH$3,0,0,'Données projet'!$E$11+1,1))-AVERAGE(OFFSET($H$3,0,0,'Données projet'!$E$11+1,1))</f>
        <v>627.65081154031589</v>
      </c>
      <c r="BJ76" s="59">
        <f t="shared" si="92"/>
        <v>288.78083487077618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12.430298192095945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12.430298192095945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8.8662500000000044</v>
      </c>
      <c r="BY76" s="12">
        <f>IF('Données projet'!$A$114&gt;35,BY75+BX76-CG75,IF(A76&lt;'Données projet'!$A$114,$BV$205^A76,IF(A76='Données projet'!$A$114,'Données projet'!$B$114,BY75+BX76-CG75)))</f>
        <v>277.1137500000001</v>
      </c>
      <c r="BZ76" s="13">
        <f>BY76*VLOOKUP('Données projet'!$B$12,Paramètres!$A$1:$I$89,3,0)*VLOOKUP('Données projet'!$B$12,Paramètres!$A$1:$I$89,5,0)</f>
        <v>280.9933425000001</v>
      </c>
      <c r="CA76" s="13">
        <f t="shared" si="93"/>
        <v>67.176887420430603</v>
      </c>
      <c r="CB76" s="20">
        <f t="shared" si="64"/>
        <v>606.39648377808339</v>
      </c>
      <c r="CC76" s="59">
        <f t="shared" si="65"/>
        <v>874.17926797600512</v>
      </c>
      <c r="CD76" s="59">
        <f ca="1">AVERAGE(OFFSET($CC$3,0,0,'Données projet'!$E$12+1,1))-AVERAGE(OFFSET($H$3,0,0,'Données projet'!$E$12+1,1))</f>
        <v>692.2706942067415</v>
      </c>
      <c r="CE76" s="59">
        <f t="shared" si="94"/>
        <v>316.17529091924803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13.93050659459028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13.93050659459028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6.8</v>
      </c>
      <c r="CT76" s="12">
        <f>IF('Données projet'!$A$140&gt;35,CT75+CS76-DB75,IF(A76&lt;'Données projet'!$A$140,$CQ$205^A76,IF(A76='Données projet'!$A$140,'Données projet'!$B$140,CT75+CS76-DB75)))</f>
        <v>233.40000000000003</v>
      </c>
      <c r="CU76" s="17">
        <f>CT76*VLOOKUP('Données projet'!$B$13,Paramètres!$A$1:$I$89,3,0)*VLOOKUP('Données projet'!$B$13,Paramètres!$A$1:$I$89,5,0)</f>
        <v>222.10344000000003</v>
      </c>
      <c r="CV76" s="13">
        <f t="shared" si="95"/>
        <v>54.571804516465022</v>
      </c>
      <c r="CW76" s="20">
        <f t="shared" si="67"/>
        <v>481.87605086617668</v>
      </c>
      <c r="CX76" s="59">
        <f t="shared" si="68"/>
        <v>749.65883506409841</v>
      </c>
      <c r="CY76" s="59">
        <f ca="1">AVERAGE(OFFSET($CX$3,0,0,'Données projet'!$E$13+1,1))-AVERAGE(OFFSET($H$3,0,0,'Données projet'!$E$13+1,1))</f>
        <v>424.5933338095914</v>
      </c>
      <c r="CZ76" s="59">
        <f t="shared" si="96"/>
        <v>159.28977188196134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21.94686338764684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21.94686338764684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-18.333333333333343</v>
      </c>
      <c r="DU76" s="59">
        <f t="shared" si="98"/>
        <v>-18.333333333333343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-18.333333333333343</v>
      </c>
      <c r="EP76" s="59">
        <f t="shared" si="100"/>
        <v>-18.333333333333343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8.8662500000000044</v>
      </c>
      <c r="FE76" s="12">
        <f>IF('Données projet'!$A$218&gt;35,FE75+FD76-FM75,IF(A76&lt;'Données projet'!$A$218,$FB$205^A76,IF(A76='Données projet'!$A$218,'Données projet'!$B$218,FE75+FD76-FM75)))</f>
        <v>277.1137500000001</v>
      </c>
      <c r="FF76" s="17">
        <f>FE76*VLOOKUP('Données projet'!$B$16,Paramètres!$A$1:$I$89,3,0)*VLOOKUP('Données projet'!$B$16,Paramètres!$A$1:$I$89,5,0)</f>
        <v>268.02441900000014</v>
      </c>
      <c r="FG76" s="13">
        <f t="shared" si="101"/>
        <v>64.429822106997378</v>
      </c>
      <c r="FH76" s="20">
        <f t="shared" si="76"/>
        <v>579.02446992802072</v>
      </c>
      <c r="FI76" s="59">
        <f t="shared" si="77"/>
        <v>846.80725412594256</v>
      </c>
      <c r="FJ76" s="59">
        <f ca="1">AVERAGE(OFFSET($FI$3,0,0,'Données projet'!$E$16+1,1))-AVERAGE(OFFSET($H$3,0,0,'Données projet'!$E$16+1,1))</f>
        <v>664.59451650228573</v>
      </c>
      <c r="FK76" s="59">
        <f t="shared" si="102"/>
        <v>304.44325029106631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13.287560136378422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13.287560136378422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12.905000000000006</v>
      </c>
      <c r="N77" s="13">
        <f>IF('Données projet'!$A$36&gt;35,N76+M77-V76,IF(A77&lt;'Données projet'!$A$36,$K$205^A77,IF(A77='Données projet'!$A$36,'Données projet'!$B$36,N76+M77-V76)))</f>
        <v>645.75999999999942</v>
      </c>
      <c r="O77" s="13">
        <f>N77*VLOOKUP('Données projet'!$B$9,Paramètres!$A$1:$I$89,3,0)*VLOOKUP('Données projet'!$B$9,Paramètres!$A$1:$I$89,5,0)</f>
        <v>386.16447999999974</v>
      </c>
      <c r="P77" s="13">
        <f t="shared" si="87"/>
        <v>88.966005294641164</v>
      </c>
      <c r="Q77" s="20">
        <f t="shared" si="54"/>
        <v>827.51892855483277</v>
      </c>
      <c r="R77" s="59">
        <f t="shared" si="55"/>
        <v>1095.7449576577837</v>
      </c>
      <c r="S77" s="59">
        <f ca="1">AVERAGE(OFFSET($R$3,0,0,'Données projet'!$E$9+1,1))-AVERAGE(OFFSET($H$3,0,0,'Données projet'!$E$9+1,1))</f>
        <v>460.88622650237176</v>
      </c>
      <c r="T77" s="59">
        <f t="shared" si="88"/>
        <v>396.05161661639647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64.918928009652049</v>
      </c>
      <c r="AA77" s="21">
        <f>EXP(-LN(2)/25)*AA76+(1-EXP(-LN(2)/25))/(LN(2)/25)*Calculateur!V77*Calculateur!X77*VLOOKUP('Données projet'!$B$9,Paramètres!$A$1:$I$89,3,0)*0.475*44/12</f>
        <v>13.433253416623131</v>
      </c>
      <c r="AB77" s="21">
        <f>EXP(-LN(2)/2)*AB76+(1-EXP(-LN(2)/2))/(LN(2)/2)*V77*Y77*VLOOKUP('Données projet'!$B$9,Paramètres!$A$1:$I$89,3,0)*0.475*44/12</f>
        <v>0.344272012866501</v>
      </c>
      <c r="AC77" s="22">
        <f t="shared" si="57"/>
        <v>78.696453439141678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15.115000000000002</v>
      </c>
      <c r="AI77" s="13">
        <f>IF('Données projet'!$A$62&gt;35,AI76+AH77-AQ76,IF(A77&lt;'Données projet'!$A$62,$AF$205^A77,IF(A77='Données projet'!$A$62,'Données projet'!$B$62,AI76+AH77-AQ76)))</f>
        <v>420.33499999999992</v>
      </c>
      <c r="AJ77" s="13">
        <f>AI77*VLOOKUP('Données projet'!$B$10,Paramètres!$A$1:$I$89,3,0)*VLOOKUP('Données projet'!$B$10,Paramètres!$A$1:$I$89,5,0)</f>
        <v>196.71677999999994</v>
      </c>
      <c r="AK77" s="13">
        <f t="shared" si="89"/>
        <v>49.021921710754086</v>
      </c>
      <c r="AL77" s="20">
        <f t="shared" si="58"/>
        <v>427.99490547956322</v>
      </c>
      <c r="AM77" s="59">
        <f t="shared" si="59"/>
        <v>696.22093458251402</v>
      </c>
      <c r="AN77" s="59">
        <f ca="1">AVERAGE(OFFSET($AM$3,0,0,'Données projet'!$E$10+1,1))-AVERAGE(OFFSET($H$3,0,0,'Données projet'!$E$10+1,1))</f>
        <v>387.50901594883317</v>
      </c>
      <c r="AO77" s="59">
        <f t="shared" si="90"/>
        <v>361.3623790401972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73.606913387744711</v>
      </c>
      <c r="AV77" s="21">
        <f>EXP(-LN(2)/25)*AV76+(1-EXP(-LN(2)/25))/(LN(2)/25)*Calculateur!AQ77*Calculateur!AS77*VLOOKUP('Données projet'!$B$10,Paramètres!$A$1:$I$89,3,0)*0.475*44/12</f>
        <v>23.558091982878775</v>
      </c>
      <c r="AW77" s="21">
        <f>EXP(-LN(2)/2)*AW76+(1-EXP(-LN(2)/2))/(LN(2)/2)*AQ77*AT77*VLOOKUP('Données projet'!$B$10,Paramètres!$A$1:$I$89,3,0)*0.475*44/12</f>
        <v>1.6685544070048171</v>
      </c>
      <c r="AX77" s="21">
        <f t="shared" si="60"/>
        <v>98.833559777628309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285.98</v>
      </c>
      <c r="BB77" s="12">
        <f>VLOOKUP(A77,'Données projet'!$A$87:$I$107,9,0)</f>
        <v>8.8662500000000044</v>
      </c>
      <c r="BC77" s="12">
        <f t="array" ref="BC77">INDEX(BB:BB,MIN(IF(ISNUMBER(BB77:BB273),ROW(BB77:BB273),"")))</f>
        <v>8.8662500000000044</v>
      </c>
      <c r="BD77" s="12">
        <f>IF('Données projet'!$A$88&gt;35,BD76+BC77-BL76,IF(A77&lt;'Données projet'!$A$88,$BA$205^A77,IF(A77='Données projet'!$A$88,'Données projet'!$B$88,BD76+BC77-BL76)))</f>
        <v>285.98000000000008</v>
      </c>
      <c r="BE77" s="13">
        <f>BD77*VLOOKUP('Données projet'!$B$11,Paramètres!$A$1:$I$89,3,0)*VLOOKUP('Données projet'!$B$11,Paramètres!$A$1:$I$89,5,0)</f>
        <v>258.75470400000006</v>
      </c>
      <c r="BF77" s="13">
        <f t="shared" si="91"/>
        <v>62.456857045748947</v>
      </c>
      <c r="BG77" s="20">
        <f t="shared" si="61"/>
        <v>559.4434688213463</v>
      </c>
      <c r="BH77" s="59">
        <f t="shared" si="62"/>
        <v>827.66949792429716</v>
      </c>
      <c r="BI77" s="59">
        <f ca="1">AVERAGE(OFFSET($BH$3,0,0,'Données projet'!$E$11+1,1))-AVERAGE(OFFSET($H$3,0,0,'Données projet'!$E$11+1,1))</f>
        <v>627.65081154031589</v>
      </c>
      <c r="BJ77" s="59">
        <f t="shared" si="92"/>
        <v>288.78083487077618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0.17200000000000001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20.341219504282051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20.341219504282051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285.98</v>
      </c>
      <c r="BW77" s="12">
        <f>VLOOKUP(A77,'Données projet'!$A$113:$I$133,9,0)</f>
        <v>8.8662500000000044</v>
      </c>
      <c r="BX77" s="12">
        <f t="array" ref="BX77">INDEX(BW:BW,MIN(IF(ISNUMBER(BW77:BW273),ROW(BW77:BW273),"")))</f>
        <v>8.8662500000000044</v>
      </c>
      <c r="BY77" s="12">
        <f>IF('Données projet'!$A$114&gt;35,BY76+BX77-CG76,IF(A77&lt;'Données projet'!$A$114,$BV$205^A77,IF(A77='Données projet'!$A$114,'Données projet'!$B$114,BY76+BX77-CG76)))</f>
        <v>285.98000000000008</v>
      </c>
      <c r="BZ77" s="13">
        <f>BY77*VLOOKUP('Données projet'!$B$12,Paramètres!$A$1:$I$89,3,0)*VLOOKUP('Données projet'!$B$12,Paramètres!$A$1:$I$89,5,0)</f>
        <v>289.98372000000012</v>
      </c>
      <c r="CA77" s="13">
        <f t="shared" si="93"/>
        <v>69.072534609971271</v>
      </c>
      <c r="CB77" s="20">
        <f t="shared" si="64"/>
        <v>625.35631011236683</v>
      </c>
      <c r="CC77" s="59">
        <f t="shared" si="65"/>
        <v>893.58233921531769</v>
      </c>
      <c r="CD77" s="59">
        <f ca="1">AVERAGE(OFFSET($CC$3,0,0,'Données projet'!$E$12+1,1))-AVERAGE(OFFSET($H$3,0,0,'Données projet'!$E$12+1,1))</f>
        <v>692.2706942067415</v>
      </c>
      <c r="CE77" s="59">
        <f t="shared" si="94"/>
        <v>316.17529091924803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0.17200000000000001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22.796194272040225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22.796194272040225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6.8</v>
      </c>
      <c r="CT77" s="12">
        <f>IF('Données projet'!$A$140&gt;35,CT76+CS77-DB76,IF(A77&lt;'Données projet'!$A$140,$CQ$205^A77,IF(A77='Données projet'!$A$140,'Données projet'!$B$140,CT76+CS77-DB76)))</f>
        <v>240.20000000000005</v>
      </c>
      <c r="CU77" s="17">
        <f>CT77*VLOOKUP('Données projet'!$B$13,Paramètres!$A$1:$I$89,3,0)*VLOOKUP('Données projet'!$B$13,Paramètres!$A$1:$I$89,5,0)</f>
        <v>228.57432000000003</v>
      </c>
      <c r="CV77" s="13">
        <f t="shared" si="95"/>
        <v>55.974304715857535</v>
      </c>
      <c r="CW77" s="20">
        <f t="shared" si="67"/>
        <v>495.58885471345189</v>
      </c>
      <c r="CX77" s="59">
        <f t="shared" si="68"/>
        <v>763.8148838164027</v>
      </c>
      <c r="CY77" s="59">
        <f ca="1">AVERAGE(OFFSET($CX$3,0,0,'Données projet'!$E$13+1,1))-AVERAGE(OFFSET($H$3,0,0,'Données projet'!$E$13+1,1))</f>
        <v>424.5933338095914</v>
      </c>
      <c r="CZ77" s="59">
        <f t="shared" si="96"/>
        <v>159.28977188196134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21.516498782879967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21.516498782879967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-18.333333333333343</v>
      </c>
      <c r="DU77" s="59">
        <f t="shared" si="98"/>
        <v>-18.333333333333343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-18.333333333333343</v>
      </c>
      <c r="EP77" s="59">
        <f t="shared" si="100"/>
        <v>-18.333333333333343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>
        <f>VLOOKUP(A77,'Données projet'!$A$217:$I$237,2,0)</f>
        <v>285.98</v>
      </c>
      <c r="FC77" s="12">
        <f>VLOOKUP(A77,'Données projet'!$A$217:$I$237,9,0)</f>
        <v>8.8662500000000044</v>
      </c>
      <c r="FD77" s="12">
        <f t="array" ref="FD77">INDEX(FC:FC,MIN(IF(ISNUMBER(FC77:FC273),ROW(FC77:FC273),"")))</f>
        <v>8.8662500000000044</v>
      </c>
      <c r="FE77" s="12">
        <f>IF('Données projet'!$A$218&gt;35,FE76+FD77-FM76,IF(A77&lt;'Données projet'!$A$218,$FB$205^A77,IF(A77='Données projet'!$A$218,'Données projet'!$B$218,FE76+FD77-FM76)))</f>
        <v>285.98000000000008</v>
      </c>
      <c r="FF77" s="17">
        <f>FE77*VLOOKUP('Données projet'!$B$16,Paramètres!$A$1:$I$89,3,0)*VLOOKUP('Données projet'!$B$16,Paramètres!$A$1:$I$89,5,0)</f>
        <v>276.59985600000005</v>
      </c>
      <c r="FG77" s="13">
        <f t="shared" si="101"/>
        <v>66.247950571856578</v>
      </c>
      <c r="FH77" s="20">
        <f t="shared" si="76"/>
        <v>597.12659644598352</v>
      </c>
      <c r="FI77" s="59">
        <f t="shared" si="77"/>
        <v>865.35262554893438</v>
      </c>
      <c r="FJ77" s="59">
        <f ca="1">AVERAGE(OFFSET($FI$3,0,0,'Données projet'!$E$16+1,1))-AVERAGE(OFFSET($H$3,0,0,'Données projet'!$E$16+1,1))</f>
        <v>664.59451650228573</v>
      </c>
      <c r="FK77" s="59">
        <f t="shared" si="102"/>
        <v>304.44325029106631</v>
      </c>
      <c r="FL77" s="15">
        <f>IF(ISNA(VLOOKUP(A77,'Données projet'!$A$217:$I$237,3,0)),0,VLOOKUP(A77,'Données projet'!$A$217:$I$237,3,0))</f>
        <v>5</v>
      </c>
      <c r="FM77" s="15">
        <f>IF(ISNA(VLOOKUP(A77,'Données projet'!$A$217:$I$237,4,0)),0,VLOOKUP(A77,'Données projet'!$A$217:$I$237,4,0))</f>
        <v>47.4</v>
      </c>
      <c r="FN77" s="16">
        <f>IF(ISNA(VLOOKUP(A77,'Données projet'!$A$217:$I$237,5,0)),0%,VLOOKUP(A77,'Données projet'!$A$217:$I$237,5,0)*VLOOKUP('Données projet'!$B$16,Paramètres!$A$1:$I$89,7,0))</f>
        <v>0.17200000000000001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21.744062228715293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21.744062228715293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12.905000000000006</v>
      </c>
      <c r="N78" s="13">
        <f>IF('Données projet'!$A$36&gt;35,N77+M78-V77,IF(A78&lt;'Données projet'!$A$36,$K$205^A78,IF(A78='Données projet'!$A$36,'Données projet'!$B$36,N77+M78-V77)))</f>
        <v>658.6649999999994</v>
      </c>
      <c r="O78" s="13">
        <f>N78*VLOOKUP('Données projet'!$B$9,Paramètres!$A$1:$I$89,3,0)*VLOOKUP('Données projet'!$B$9,Paramètres!$A$1:$I$89,5,0)</f>
        <v>393.88166999999964</v>
      </c>
      <c r="P78" s="13">
        <f t="shared" si="87"/>
        <v>90.535157149196806</v>
      </c>
      <c r="Q78" s="20">
        <f t="shared" si="54"/>
        <v>843.69264061818376</v>
      </c>
      <c r="R78" s="59">
        <f t="shared" si="55"/>
        <v>1112.3542253180085</v>
      </c>
      <c r="S78" s="59">
        <f ca="1">AVERAGE(OFFSET($R$3,0,0,'Données projet'!$E$9+1,1))-AVERAGE(OFFSET($H$3,0,0,'Données projet'!$E$9+1,1))</f>
        <v>460.88622650237176</v>
      </c>
      <c r="T78" s="59">
        <f t="shared" si="88"/>
        <v>396.05161661639647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63.645907428019015</v>
      </c>
      <c r="AA78" s="21">
        <f>EXP(-LN(2)/25)*AA77+(1-EXP(-LN(2)/25))/(LN(2)/25)*Calculateur!V78*Calculateur!X78*VLOOKUP('Données projet'!$B$9,Paramètres!$A$1:$I$89,3,0)*0.475*44/12</f>
        <v>13.065920395521477</v>
      </c>
      <c r="AB78" s="21">
        <f>EXP(-LN(2)/2)*AB77+(1-EXP(-LN(2)/2))/(LN(2)/2)*V78*Y78*VLOOKUP('Données projet'!$B$9,Paramètres!$A$1:$I$89,3,0)*0.475*44/12</f>
        <v>0.2434370748706452</v>
      </c>
      <c r="AC78" s="22">
        <f t="shared" si="57"/>
        <v>76.95526489841113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15.115000000000002</v>
      </c>
      <c r="AI78" s="13">
        <f>IF('Données projet'!$A$62&gt;35,AI77+AH78-AQ77,IF(A78&lt;'Données projet'!$A$62,$AF$205^A78,IF(A78='Données projet'!$A$62,'Données projet'!$B$62,AI77+AH78-AQ77)))</f>
        <v>435.44999999999993</v>
      </c>
      <c r="AJ78" s="13">
        <f>AI78*VLOOKUP('Données projet'!$B$10,Paramètres!$A$1:$I$89,3,0)*VLOOKUP('Données projet'!$B$10,Paramètres!$A$1:$I$89,5,0)</f>
        <v>203.79059999999998</v>
      </c>
      <c r="AK78" s="13">
        <f t="shared" si="89"/>
        <v>50.57631437420887</v>
      </c>
      <c r="AL78" s="20">
        <f t="shared" si="58"/>
        <v>443.02237586841375</v>
      </c>
      <c r="AM78" s="59">
        <f t="shared" si="59"/>
        <v>711.68396056823849</v>
      </c>
      <c r="AN78" s="59">
        <f ca="1">AVERAGE(OFFSET($AM$3,0,0,'Données projet'!$E$10+1,1))-AVERAGE(OFFSET($H$3,0,0,'Données projet'!$E$10+1,1))</f>
        <v>387.50901594883317</v>
      </c>
      <c r="AO78" s="59">
        <f t="shared" si="90"/>
        <v>361.3623790401972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72.163526711995118</v>
      </c>
      <c r="AV78" s="21">
        <f>EXP(-LN(2)/25)*AV77+(1-EXP(-LN(2)/25))/(LN(2)/25)*Calculateur!AQ78*Calculateur!AS78*VLOOKUP('Données projet'!$B$10,Paramètres!$A$1:$I$89,3,0)*0.475*44/12</f>
        <v>22.913894718740739</v>
      </c>
      <c r="AW78" s="21">
        <f>EXP(-LN(2)/2)*AW77+(1-EXP(-LN(2)/2))/(LN(2)/2)*AQ78*AT78*VLOOKUP('Données projet'!$B$10,Paramètres!$A$1:$I$89,3,0)*0.475*44/12</f>
        <v>1.1798461359718049</v>
      </c>
      <c r="AX78" s="21">
        <f t="shared" si="60"/>
        <v>96.257267566707654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8.6770000000000014</v>
      </c>
      <c r="BD78" s="12">
        <f>IF('Données projet'!$A$88&gt;35,BD77+BC78-BL77,IF(A78&lt;'Données projet'!$A$88,$BA$205^A78,IF(A78='Données projet'!$A$88,'Données projet'!$B$88,BD77+BC78-BL77)))</f>
        <v>247.25700000000009</v>
      </c>
      <c r="BE78" s="13">
        <f>BD78*VLOOKUP('Données projet'!$B$11,Paramètres!$A$1:$I$89,3,0)*VLOOKUP('Données projet'!$B$11,Paramètres!$A$1:$I$89,5,0)</f>
        <v>223.71813360000007</v>
      </c>
      <c r="BF78" s="13">
        <f t="shared" si="91"/>
        <v>54.92221376571495</v>
      </c>
      <c r="BG78" s="20">
        <f t="shared" si="61"/>
        <v>485.29860499528695</v>
      </c>
      <c r="BH78" s="59">
        <f t="shared" si="62"/>
        <v>753.96018969511169</v>
      </c>
      <c r="BI78" s="59">
        <f ca="1">AVERAGE(OFFSET($BH$3,0,0,'Données projet'!$E$11+1,1))-AVERAGE(OFFSET($H$3,0,0,'Données projet'!$E$11+1,1))</f>
        <v>627.65081154031589</v>
      </c>
      <c r="BJ78" s="59">
        <f t="shared" si="92"/>
        <v>288.78083487077618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19.942340596721895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19.942340596721895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8.6770000000000014</v>
      </c>
      <c r="BY78" s="12">
        <f>IF('Données projet'!$A$114&gt;35,BY77+BX78-CG77,IF(A78&lt;'Données projet'!$A$114,$BV$205^A78,IF(A78='Données projet'!$A$114,'Données projet'!$B$114,BY77+BX78-CG77)))</f>
        <v>247.25700000000009</v>
      </c>
      <c r="BZ78" s="13">
        <f>BY78*VLOOKUP('Données projet'!$B$12,Paramètres!$A$1:$I$89,3,0)*VLOOKUP('Données projet'!$B$12,Paramètres!$A$1:$I$89,5,0)</f>
        <v>250.7185980000001</v>
      </c>
      <c r="CA78" s="13">
        <f t="shared" si="93"/>
        <v>60.739792084155006</v>
      </c>
      <c r="CB78" s="20">
        <f t="shared" si="64"/>
        <v>542.45669606323679</v>
      </c>
      <c r="CC78" s="59">
        <f t="shared" si="65"/>
        <v>811.11828076306165</v>
      </c>
      <c r="CD78" s="59">
        <f ca="1">AVERAGE(OFFSET($CC$3,0,0,'Données projet'!$E$12+1,1))-AVERAGE(OFFSET($H$3,0,0,'Données projet'!$E$12+1,1))</f>
        <v>692.2706942067415</v>
      </c>
      <c r="CE78" s="59">
        <f t="shared" si="94"/>
        <v>316.17529091924803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22.349174806671087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22.349174806671087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247</v>
      </c>
      <c r="CR78" s="12">
        <f>VLOOKUP(A78,'Données projet'!$A$139:$I$159,9,0)</f>
        <v>6.8</v>
      </c>
      <c r="CS78" s="12">
        <f t="array" ref="CS78">INDEX(CR:CR,MIN(IF(ISNUMBER(CR78:CR274),ROW(CR78:CR274),"")))</f>
        <v>6.8</v>
      </c>
      <c r="CT78" s="12">
        <f>IF('Données projet'!$A$140&gt;35,CT77+CS78-DB77,IF(A78&lt;'Données projet'!$A$140,$CQ$205^A78,IF(A78='Données projet'!$A$140,'Données projet'!$B$140,CT77+CS78-DB77)))</f>
        <v>247.00000000000006</v>
      </c>
      <c r="CU78" s="17">
        <f>CT78*VLOOKUP('Données projet'!$B$13,Paramètres!$A$1:$I$89,3,0)*VLOOKUP('Données projet'!$B$13,Paramètres!$A$1:$I$89,5,0)</f>
        <v>235.04520000000008</v>
      </c>
      <c r="CV78" s="13">
        <f t="shared" si="95"/>
        <v>57.372190275906831</v>
      </c>
      <c r="CW78" s="20">
        <f t="shared" si="67"/>
        <v>509.2936213972045</v>
      </c>
      <c r="CX78" s="59">
        <f t="shared" si="68"/>
        <v>777.9552060970293</v>
      </c>
      <c r="CY78" s="59">
        <f ca="1">AVERAGE(OFFSET($CX$3,0,0,'Données projet'!$E$13+1,1))-AVERAGE(OFFSET($H$3,0,0,'Données projet'!$E$13+1,1))</f>
        <v>424.5933338095914</v>
      </c>
      <c r="CZ78" s="59">
        <f t="shared" si="96"/>
        <v>159.28977188196134</v>
      </c>
      <c r="DA78" s="15">
        <f>IF(ISNA(VLOOKUP(A78,'Données projet'!$A$139:$I$159,3,0)),0,VLOOKUP(A78,'Données projet'!$A$139:$I$159,3,0))</f>
        <v>9</v>
      </c>
      <c r="DB78" s="15">
        <f>IF(ISNA(VLOOKUP(A78,'Données projet'!$A$139:$I$159,4,0)),0,VLOOKUP(A78,'Données projet'!$A$139:$I$159,4,0))</f>
        <v>27</v>
      </c>
      <c r="DC78" s="16">
        <f>IF(ISNA(VLOOKUP(A78,'Données projet'!$A$139:$I$159,5,0)),0%,VLOOKUP(A78,'Données projet'!$A$139:$I$159,5,0)*VLOOKUP('Données projet'!$B$13,Paramètres!$A$1:$I$89,7,0))</f>
        <v>0.25800000000000001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28.422565826813411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28.422565826813411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-18.333333333333343</v>
      </c>
      <c r="DU78" s="59">
        <f t="shared" si="98"/>
        <v>-18.333333333333343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-18.333333333333343</v>
      </c>
      <c r="EP78" s="59">
        <f t="shared" si="100"/>
        <v>-18.333333333333343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8.6770000000000014</v>
      </c>
      <c r="FE78" s="12">
        <f>IF('Données projet'!$A$218&gt;35,FE77+FD78-FM77,IF(A78&lt;'Données projet'!$A$218,$FB$205^A78,IF(A78='Données projet'!$A$218,'Données projet'!$B$218,FE77+FD78-FM77)))</f>
        <v>247.25700000000009</v>
      </c>
      <c r="FF78" s="17">
        <f>FE78*VLOOKUP('Données projet'!$B$16,Paramètres!$A$1:$I$89,3,0)*VLOOKUP('Données projet'!$B$16,Paramètres!$A$1:$I$89,5,0)</f>
        <v>239.1469704000001</v>
      </c>
      <c r="FG78" s="13">
        <f t="shared" si="101"/>
        <v>58.255958992346976</v>
      </c>
      <c r="FH78" s="20">
        <f t="shared" si="76"/>
        <v>517.97676869167117</v>
      </c>
      <c r="FI78" s="59">
        <f t="shared" si="77"/>
        <v>786.63835339149591</v>
      </c>
      <c r="FJ78" s="59">
        <f ca="1">AVERAGE(OFFSET($FI$3,0,0,'Données projet'!$E$16+1,1))-AVERAGE(OFFSET($H$3,0,0,'Données projet'!$E$16+1,1))</f>
        <v>664.59451650228573</v>
      </c>
      <c r="FK78" s="59">
        <f t="shared" si="102"/>
        <v>304.44325029106631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21.317674430978578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21.317674430978578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>
        <f>VLOOKUP(A79,'Données projet'!$A$35:$I$55,2,0)</f>
        <v>671.57</v>
      </c>
      <c r="L79" s="12">
        <f>VLOOKUP(A79,'Données projet'!$A$35:$I$55,9,0)</f>
        <v>12.905000000000006</v>
      </c>
      <c r="M79" s="12">
        <f t="array" ref="M79">INDEX(L:L,MIN(IF(ISNUMBER(L79:L275),ROW(L79:L275),"")))</f>
        <v>12.905000000000006</v>
      </c>
      <c r="N79" s="13">
        <f>IF('Données projet'!$A$36&gt;35,N78+M79-V78,IF(A79&lt;'Données projet'!$A$36,$K$205^A79,IF(A79='Données projet'!$A$36,'Données projet'!$B$36,N78+M79-V78)))</f>
        <v>671.56999999999937</v>
      </c>
      <c r="O79" s="13">
        <f>N79*VLOOKUP('Données projet'!$B$9,Paramètres!$A$1:$I$89,3,0)*VLOOKUP('Données projet'!$B$9,Paramètres!$A$1:$I$89,5,0)</f>
        <v>401.59885999999966</v>
      </c>
      <c r="P79" s="13">
        <f t="shared" si="87"/>
        <v>92.10073425419408</v>
      </c>
      <c r="Q79" s="20">
        <f t="shared" si="54"/>
        <v>859.86012665938733</v>
      </c>
      <c r="R79" s="59">
        <f t="shared" si="55"/>
        <v>1128.9497110402367</v>
      </c>
      <c r="S79" s="59">
        <f ca="1">AVERAGE(OFFSET($R$3,0,0,'Données projet'!$E$9+1,1))-AVERAGE(OFFSET($H$3,0,0,'Données projet'!$E$9+1,1))</f>
        <v>460.88622650237176</v>
      </c>
      <c r="T79" s="59">
        <f t="shared" si="88"/>
        <v>396.05161661639647</v>
      </c>
      <c r="U79" s="15">
        <f>IF(ISNA(VLOOKUP(A79,'Données projet'!$A$35:$I$55,3,0)),0,VLOOKUP(A79,'Données projet'!$A$35:$I$55,3,0))</f>
        <v>8</v>
      </c>
      <c r="V79" s="15">
        <f>IF(ISNA(VLOOKUP(A79,'Données projet'!$A$35:$I$55,4,0)),0,VLOOKUP(A79,'Données projet'!$A$35:$I$55,4,0))</f>
        <v>671.57</v>
      </c>
      <c r="W79" s="16">
        <f>IF(ISNA(VLOOKUP(A79,'Données projet'!$A$35:$I$55,5,0)),0%,VLOOKUP(A79,'Données projet'!$A$35:$I$55,5,0)*VLOOKUP('Données projet'!$B$9,Paramètres!$A$1:$I$89,7,0))</f>
        <v>0.36000000000000004</v>
      </c>
      <c r="X79" s="16">
        <f>IF(ISNA(VLOOKUP(A79,'Données projet'!$A$35:$I$55,6,0)),0%,VLOOKUP(A79,'Données projet'!$A$35:$I$55,6,0)*VLOOKUP('Données projet'!$B$9,Paramètres!$A$1:$I$89,7,0))</f>
        <v>4.9500000000000002E-2</v>
      </c>
      <c r="Y79" s="16">
        <f>IF(ISNA(VLOOKUP(A79,'Données projet'!$A$35:$I$55,7,0)),0%,VLOOKUP(A79,'Données projet'!$A$35:$I$55,7,0))</f>
        <v>0.09</v>
      </c>
      <c r="Z79" s="21">
        <f>EXP(-LN(2)/35)*Z78+(1-EXP(-LN(2)/35))/(LN(2)/35)*V79*W79*VLOOKUP('Données projet'!$B$9,Paramètres!$A$1:$I$89,3,0)*0.475*44/12</f>
        <v>254.18668829110038</v>
      </c>
      <c r="AA79" s="21">
        <f>EXP(-LN(2)/25)*AA78+(1-EXP(-LN(2)/25))/(LN(2)/25)*Calculateur!V79*Calculateur!X79*VLOOKUP('Données projet'!$B$9,Paramètres!$A$1:$I$89,3,0)*0.475*44/12</f>
        <v>38.975764841368516</v>
      </c>
      <c r="AB79" s="21">
        <f>EXP(-LN(2)/2)*AB78+(1-EXP(-LN(2)/2))/(LN(2)/2)*V79*Y79*VLOOKUP('Données projet'!$B$9,Paramètres!$A$1:$I$89,3,0)*0.475*44/12</f>
        <v>41.095424001196101</v>
      </c>
      <c r="AC79" s="22">
        <f t="shared" si="57"/>
        <v>334.25787713366498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15.115000000000002</v>
      </c>
      <c r="AI79" s="13">
        <f>IF('Données projet'!$A$62&gt;35,AI78+AH79-AQ78,IF(A79&lt;'Données projet'!$A$62,$AF$205^A79,IF(A79='Données projet'!$A$62,'Données projet'!$B$62,AI78+AH79-AQ78)))</f>
        <v>450.56499999999994</v>
      </c>
      <c r="AJ79" s="13">
        <f>AI79*VLOOKUP('Données projet'!$B$10,Paramètres!$A$1:$I$89,3,0)*VLOOKUP('Données projet'!$B$10,Paramètres!$A$1:$I$89,5,0)</f>
        <v>210.86441999999997</v>
      </c>
      <c r="AK79" s="13">
        <f t="shared" si="89"/>
        <v>52.12443803219238</v>
      </c>
      <c r="AL79" s="20">
        <f t="shared" si="58"/>
        <v>458.03892773940169</v>
      </c>
      <c r="AM79" s="59">
        <f t="shared" si="59"/>
        <v>727.12851212025112</v>
      </c>
      <c r="AN79" s="59">
        <f ca="1">AVERAGE(OFFSET($AM$3,0,0,'Données projet'!$E$10+1,1))-AVERAGE(OFFSET($H$3,0,0,'Données projet'!$E$10+1,1))</f>
        <v>387.50901594883317</v>
      </c>
      <c r="AO79" s="59">
        <f t="shared" si="90"/>
        <v>361.3623790401972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70.74844396857803</v>
      </c>
      <c r="AV79" s="21">
        <f>EXP(-LN(2)/25)*AV78+(1-EXP(-LN(2)/25))/(LN(2)/25)*Calculateur!AQ79*Calculateur!AS79*VLOOKUP('Données projet'!$B$10,Paramètres!$A$1:$I$89,3,0)*0.475*44/12</f>
        <v>22.287313062667419</v>
      </c>
      <c r="AW79" s="21">
        <f>EXP(-LN(2)/2)*AW78+(1-EXP(-LN(2)/2))/(LN(2)/2)*AQ79*AT79*VLOOKUP('Données projet'!$B$10,Paramètres!$A$1:$I$89,3,0)*0.475*44/12</f>
        <v>0.83427720350240864</v>
      </c>
      <c r="AX79" s="21">
        <f t="shared" si="60"/>
        <v>93.870034234747862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8.6770000000000014</v>
      </c>
      <c r="BD79" s="12">
        <f>IF('Données projet'!$A$88&gt;35,BD78+BC79-BL78,IF(A79&lt;'Données projet'!$A$88,$BA$205^A79,IF(A79='Données projet'!$A$88,'Données projet'!$B$88,BD78+BC79-BL78)))</f>
        <v>255.93400000000008</v>
      </c>
      <c r="BE79" s="13">
        <f>BD79*VLOOKUP('Données projet'!$B$11,Paramètres!$A$1:$I$89,3,0)*VLOOKUP('Données projet'!$B$11,Paramètres!$A$1:$I$89,5,0)</f>
        <v>231.56908320000005</v>
      </c>
      <c r="BF79" s="13">
        <f t="shared" si="91"/>
        <v>56.621819638037671</v>
      </c>
      <c r="BG79" s="20">
        <f t="shared" si="61"/>
        <v>501.93248910958238</v>
      </c>
      <c r="BH79" s="59">
        <f t="shared" si="62"/>
        <v>771.02207349043181</v>
      </c>
      <c r="BI79" s="59">
        <f ca="1">AVERAGE(OFFSET($BH$3,0,0,'Données projet'!$E$11+1,1))-AVERAGE(OFFSET($H$3,0,0,'Données projet'!$E$11+1,1))</f>
        <v>627.65081154031589</v>
      </c>
      <c r="BJ79" s="59">
        <f t="shared" si="92"/>
        <v>288.78083487077618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19.551283461246886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19.551283461246886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8.6770000000000014</v>
      </c>
      <c r="BY79" s="12">
        <f>IF('Données projet'!$A$114&gt;35,BY78+BX79-CG78,IF(A79&lt;'Données projet'!$A$114,$BV$205^A79,IF(A79='Données projet'!$A$114,'Données projet'!$B$114,BY78+BX79-CG78)))</f>
        <v>255.93400000000008</v>
      </c>
      <c r="BZ79" s="13">
        <f>BY79*VLOOKUP('Données projet'!$B$12,Paramètres!$A$1:$I$89,3,0)*VLOOKUP('Données projet'!$B$12,Paramètres!$A$1:$I$89,5,0)</f>
        <v>259.51707600000009</v>
      </c>
      <c r="CA79" s="13">
        <f t="shared" si="93"/>
        <v>62.619426939193161</v>
      </c>
      <c r="CB79" s="20">
        <f t="shared" si="64"/>
        <v>561.05440928576149</v>
      </c>
      <c r="CC79" s="59">
        <f t="shared" si="65"/>
        <v>830.14399366661087</v>
      </c>
      <c r="CD79" s="59">
        <f ca="1">AVERAGE(OFFSET($CC$3,0,0,'Données projet'!$E$12+1,1))-AVERAGE(OFFSET($H$3,0,0,'Données projet'!$E$12+1,1))</f>
        <v>692.2706942067415</v>
      </c>
      <c r="CE79" s="59">
        <f t="shared" si="94"/>
        <v>316.17529091924803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21.910921120362886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21.910921120362886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6.6</v>
      </c>
      <c r="CT79" s="12">
        <f>IF('Données projet'!$A$140&gt;35,CT78+CS79-DB78,IF(A79&lt;'Données projet'!$A$140,$CQ$205^A79,IF(A79='Données projet'!$A$140,'Données projet'!$B$140,CT78+CS79-DB78)))</f>
        <v>226.60000000000005</v>
      </c>
      <c r="CU79" s="17">
        <f>CT79*VLOOKUP('Données projet'!$B$13,Paramètres!$A$1:$I$89,3,0)*VLOOKUP('Données projet'!$B$13,Paramètres!$A$1:$I$89,5,0)</f>
        <v>215.63256000000004</v>
      </c>
      <c r="CV79" s="13">
        <f t="shared" si="95"/>
        <v>53.164539286100229</v>
      </c>
      <c r="CW79" s="20">
        <f t="shared" si="67"/>
        <v>468.15494792329127</v>
      </c>
      <c r="CX79" s="59">
        <f t="shared" si="68"/>
        <v>737.24453230414065</v>
      </c>
      <c r="CY79" s="59">
        <f ca="1">AVERAGE(OFFSET($CX$3,0,0,'Données projet'!$E$13+1,1))-AVERAGE(OFFSET($H$3,0,0,'Données projet'!$E$13+1,1))</f>
        <v>424.5933338095914</v>
      </c>
      <c r="CZ79" s="59">
        <f t="shared" si="96"/>
        <v>159.28977188196134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27.86521664700296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27.86521664700296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-18.333333333333343</v>
      </c>
      <c r="DU79" s="59">
        <f t="shared" si="98"/>
        <v>-18.333333333333343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-18.333333333333343</v>
      </c>
      <c r="EP79" s="59">
        <f t="shared" si="100"/>
        <v>-18.333333333333343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8.6770000000000014</v>
      </c>
      <c r="FE79" s="12">
        <f>IF('Données projet'!$A$218&gt;35,FE78+FD79-FM78,IF(A79&lt;'Données projet'!$A$218,$FB$205^A79,IF(A79='Données projet'!$A$218,'Données projet'!$B$218,FE78+FD79-FM78)))</f>
        <v>255.93400000000008</v>
      </c>
      <c r="FF79" s="17">
        <f>FE79*VLOOKUP('Données projet'!$B$16,Paramètres!$A$1:$I$89,3,0)*VLOOKUP('Données projet'!$B$16,Paramètres!$A$1:$I$89,5,0)</f>
        <v>247.5393648000001</v>
      </c>
      <c r="FG79" s="13">
        <f t="shared" si="101"/>
        <v>60.058729915302607</v>
      </c>
      <c r="FH79" s="20">
        <f t="shared" si="76"/>
        <v>535.73334829581881</v>
      </c>
      <c r="FI79" s="59">
        <f t="shared" si="77"/>
        <v>804.82293267666819</v>
      </c>
      <c r="FJ79" s="59">
        <f ca="1">AVERAGE(OFFSET($FI$3,0,0,'Données projet'!$E$16+1,1))-AVERAGE(OFFSET($H$3,0,0,'Données projet'!$E$16+1,1))</f>
        <v>664.59451650228573</v>
      </c>
      <c r="FK79" s="59">
        <f t="shared" si="102"/>
        <v>304.44325029106631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20.899647837884601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20.899647837884601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-6.8212102632969618E-13</v>
      </c>
      <c r="O80" s="13">
        <f>N80*VLOOKUP('Données projet'!$B$9,Paramètres!$A$1:$I$89,3,0)*VLOOKUP('Données projet'!$B$9,Paramètres!$A$1:$I$89,5,0)</f>
        <v>-4.0790837374515837E-13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460.88622650237176</v>
      </c>
      <c r="T80" s="59">
        <f t="shared" si="88"/>
        <v>396.05161661639647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249.20224237228297</v>
      </c>
      <c r="AA80" s="21">
        <f>EXP(-LN(2)/25)*AA79+(1-EXP(-LN(2)/25))/(LN(2)/25)*Calculateur!V80*Calculateur!X80*VLOOKUP('Données projet'!$B$9,Paramètres!$A$1:$I$89,3,0)*0.475*44/12</f>
        <v>37.909970502134904</v>
      </c>
      <c r="AB80" s="21">
        <f>EXP(-LN(2)/2)*AB79+(1-EXP(-LN(2)/2))/(LN(2)/2)*V80*Y80*VLOOKUP('Données projet'!$B$9,Paramètres!$A$1:$I$89,3,0)*0.475*44/12</f>
        <v>29.058852986982167</v>
      </c>
      <c r="AC80" s="22">
        <f t="shared" si="57"/>
        <v>316.17106586140005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15.115000000000002</v>
      </c>
      <c r="AI80" s="13">
        <f>IF('Données projet'!$A$62&gt;35,AI79+AH80-AQ79,IF(A80&lt;'Données projet'!$A$62,$AF$205^A80,IF(A80='Données projet'!$A$62,'Données projet'!$B$62,AI79+AH80-AQ79)))</f>
        <v>465.67999999999995</v>
      </c>
      <c r="AJ80" s="13">
        <f>AI80*VLOOKUP('Données projet'!$B$10,Paramètres!$A$1:$I$89,3,0)*VLOOKUP('Données projet'!$B$10,Paramètres!$A$1:$I$89,5,0)</f>
        <v>217.93823999999998</v>
      </c>
      <c r="AK80" s="13">
        <f t="shared" si="89"/>
        <v>53.666527100584652</v>
      </c>
      <c r="AL80" s="20">
        <f t="shared" si="58"/>
        <v>473.0449693668516</v>
      </c>
      <c r="AM80" s="59">
        <f t="shared" si="59"/>
        <v>742.55512859112389</v>
      </c>
      <c r="AN80" s="59">
        <f ca="1">AVERAGE(OFFSET($AM$3,0,0,'Données projet'!$E$10+1,1))-AVERAGE(OFFSET($H$3,0,0,'Données projet'!$E$10+1,1))</f>
        <v>387.50901594883317</v>
      </c>
      <c r="AO80" s="59">
        <f t="shared" si="90"/>
        <v>361.3623790401972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69.361110134644107</v>
      </c>
      <c r="AV80" s="21">
        <f>EXP(-LN(2)/25)*AV79+(1-EXP(-LN(2)/25))/(LN(2)/25)*Calculateur!AQ80*Calculateur!AS80*VLOOKUP('Données projet'!$B$10,Paramètres!$A$1:$I$89,3,0)*0.475*44/12</f>
        <v>21.677865314929925</v>
      </c>
      <c r="AW80" s="21">
        <f>EXP(-LN(2)/2)*AW79+(1-EXP(-LN(2)/2))/(LN(2)/2)*AQ80*AT80*VLOOKUP('Données projet'!$B$10,Paramètres!$A$1:$I$89,3,0)*0.475*44/12</f>
        <v>0.58992306798590244</v>
      </c>
      <c r="AX80" s="21">
        <f t="shared" si="60"/>
        <v>91.628898517559932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8.6770000000000014</v>
      </c>
      <c r="BD80" s="12">
        <f>IF('Données projet'!$A$88&gt;35,BD79+BC80-BL79,IF(A80&lt;'Données projet'!$A$88,$BA$205^A80,IF(A80='Données projet'!$A$88,'Données projet'!$B$88,BD79+BC80-BL79)))</f>
        <v>264.6110000000001</v>
      </c>
      <c r="BE80" s="13">
        <f>BD80*VLOOKUP('Données projet'!$B$11,Paramètres!$A$1:$I$89,3,0)*VLOOKUP('Données projet'!$B$11,Paramètres!$A$1:$I$89,5,0)</f>
        <v>239.42003280000009</v>
      </c>
      <c r="BF80" s="13">
        <f t="shared" si="91"/>
        <v>58.314730148380967</v>
      </c>
      <c r="BG80" s="20">
        <f t="shared" si="61"/>
        <v>518.55471213509702</v>
      </c>
      <c r="BH80" s="59">
        <f t="shared" si="62"/>
        <v>788.06487135936936</v>
      </c>
      <c r="BI80" s="59">
        <f ca="1">AVERAGE(OFFSET($BH$3,0,0,'Données projet'!$E$11+1,1))-AVERAGE(OFFSET($H$3,0,0,'Données projet'!$E$11+1,1))</f>
        <v>627.65081154031589</v>
      </c>
      <c r="BJ80" s="59">
        <f t="shared" si="92"/>
        <v>288.78083487077618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19.167894717677239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19.167894717677239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8.6770000000000014</v>
      </c>
      <c r="BY80" s="12">
        <f>IF('Données projet'!$A$114&gt;35,BY79+BX80-CG79,IF(A80&lt;'Données projet'!$A$114,$BV$205^A80,IF(A80='Données projet'!$A$114,'Données projet'!$B$114,BY79+BX80-CG79)))</f>
        <v>264.6110000000001</v>
      </c>
      <c r="BZ80" s="13">
        <f>BY80*VLOOKUP('Données projet'!$B$12,Paramètres!$A$1:$I$89,3,0)*VLOOKUP('Données projet'!$B$12,Paramètres!$A$1:$I$89,5,0)</f>
        <v>268.31555400000013</v>
      </c>
      <c r="CA80" s="13">
        <f t="shared" si="93"/>
        <v>64.491657233004062</v>
      </c>
      <c r="CB80" s="20">
        <f t="shared" si="64"/>
        <v>579.63922623081567</v>
      </c>
      <c r="CC80" s="59">
        <f t="shared" si="65"/>
        <v>849.1493854550879</v>
      </c>
      <c r="CD80" s="59">
        <f ca="1">AVERAGE(OFFSET($CC$3,0,0,'Données projet'!$E$12+1,1))-AVERAGE(OFFSET($H$3,0,0,'Données projet'!$E$12+1,1))</f>
        <v>692.2706942067415</v>
      </c>
      <c r="CE80" s="59">
        <f t="shared" si="94"/>
        <v>316.17529091924803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21.481261321534834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21.481261321534834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6.6</v>
      </c>
      <c r="CT80" s="12">
        <f>IF('Données projet'!$A$140&gt;35,CT79+CS80-DB79,IF(A80&lt;'Données projet'!$A$140,$CQ$205^A80,IF(A80='Données projet'!$A$140,'Données projet'!$B$140,CT79+CS80-DB79)))</f>
        <v>233.20000000000005</v>
      </c>
      <c r="CU80" s="17">
        <f>CT80*VLOOKUP('Données projet'!$B$13,Paramètres!$A$1:$I$89,3,0)*VLOOKUP('Données projet'!$B$13,Paramètres!$A$1:$I$89,5,0)</f>
        <v>221.91312000000008</v>
      </c>
      <c r="CV80" s="13">
        <f t="shared" si="95"/>
        <v>54.530483135126254</v>
      </c>
      <c r="CW80" s="20">
        <f t="shared" si="67"/>
        <v>481.47260879367838</v>
      </c>
      <c r="CX80" s="59">
        <f t="shared" si="68"/>
        <v>750.98276801795066</v>
      </c>
      <c r="CY80" s="59">
        <f ca="1">AVERAGE(OFFSET($CX$3,0,0,'Données projet'!$E$13+1,1))-AVERAGE(OFFSET($H$3,0,0,'Données projet'!$E$13+1,1))</f>
        <v>424.5933338095914</v>
      </c>
      <c r="CZ80" s="59">
        <f t="shared" si="96"/>
        <v>159.28977188196134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27.31879674465916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27.31879674465916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-18.333333333333343</v>
      </c>
      <c r="DU80" s="59">
        <f t="shared" si="98"/>
        <v>-18.333333333333343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-18.333333333333343</v>
      </c>
      <c r="EP80" s="59">
        <f t="shared" si="100"/>
        <v>-18.333333333333343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8.6770000000000014</v>
      </c>
      <c r="FE80" s="12">
        <f>IF('Données projet'!$A$218&gt;35,FE79+FD80-FM79,IF(A80&lt;'Données projet'!$A$218,$FB$205^A80,IF(A80='Données projet'!$A$218,'Données projet'!$B$218,FE79+FD80-FM79)))</f>
        <v>264.6110000000001</v>
      </c>
      <c r="FF80" s="17">
        <f>FE80*VLOOKUP('Données projet'!$B$16,Paramètres!$A$1:$I$89,3,0)*VLOOKUP('Données projet'!$B$16,Paramètres!$A$1:$I$89,5,0)</f>
        <v>255.9317592000001</v>
      </c>
      <c r="FG80" s="13">
        <f t="shared" si="101"/>
        <v>61.854399071847673</v>
      </c>
      <c r="FH80" s="20">
        <f t="shared" si="76"/>
        <v>553.47755899013487</v>
      </c>
      <c r="FI80" s="59">
        <f t="shared" si="77"/>
        <v>822.9877182144071</v>
      </c>
      <c r="FJ80" s="59">
        <f ca="1">AVERAGE(OFFSET($FI$3,0,0,'Données projet'!$E$16+1,1))-AVERAGE(OFFSET($H$3,0,0,'Données projet'!$E$16+1,1))</f>
        <v>664.59451650228573</v>
      </c>
      <c r="FK80" s="59">
        <f t="shared" si="102"/>
        <v>304.44325029106631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20.48981849131015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20.48981849131015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-6.8212102632969618E-13</v>
      </c>
      <c r="O81" s="13">
        <f>N81*VLOOKUP('Données projet'!$B$9,Paramètres!$A$1:$I$89,3,0)*VLOOKUP('Données projet'!$B$9,Paramètres!$A$1:$I$89,5,0)</f>
        <v>-4.0790837374515837E-13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460.88622650237176</v>
      </c>
      <c r="T81" s="59">
        <f t="shared" si="88"/>
        <v>396.05161661639647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244.31553839772175</v>
      </c>
      <c r="AA81" s="21">
        <f>EXP(-LN(2)/25)*AA80+(1-EXP(-LN(2)/25))/(LN(2)/25)*Calculateur!V81*Calculateur!X81*VLOOKUP('Données projet'!$B$9,Paramètres!$A$1:$I$89,3,0)*0.475*44/12</f>
        <v>36.873320365155323</v>
      </c>
      <c r="AB81" s="21">
        <f>EXP(-LN(2)/2)*AB80+(1-EXP(-LN(2)/2))/(LN(2)/2)*V81*Y81*VLOOKUP('Données projet'!$B$9,Paramètres!$A$1:$I$89,3,0)*0.475*44/12</f>
        <v>20.547712000598054</v>
      </c>
      <c r="AC81" s="22">
        <f t="shared" si="57"/>
        <v>301.73657076347513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15.115000000000002</v>
      </c>
      <c r="AI81" s="13">
        <f>IF('Données projet'!$A$62&gt;35,AI80+AH81-AQ80,IF(A81&lt;'Données projet'!$A$62,$AF$205^A81,IF(A81='Données projet'!$A$62,'Données projet'!$B$62,AI80+AH81-AQ80)))</f>
        <v>480.79499999999996</v>
      </c>
      <c r="AJ81" s="13">
        <f>AI81*VLOOKUP('Données projet'!$B$10,Paramètres!$A$1:$I$89,3,0)*VLOOKUP('Données projet'!$B$10,Paramètres!$A$1:$I$89,5,0)</f>
        <v>225.01205999999999</v>
      </c>
      <c r="AK81" s="13">
        <f t="shared" si="89"/>
        <v>55.202799914121982</v>
      </c>
      <c r="AL81" s="20">
        <f t="shared" si="58"/>
        <v>488.04088101709573</v>
      </c>
      <c r="AM81" s="59">
        <f t="shared" si="59"/>
        <v>757.9643190515219</v>
      </c>
      <c r="AN81" s="59">
        <f ca="1">AVERAGE(OFFSET($AM$3,0,0,'Données projet'!$E$10+1,1))-AVERAGE(OFFSET($H$3,0,0,'Données projet'!$E$10+1,1))</f>
        <v>387.50901594883317</v>
      </c>
      <c r="AO81" s="59">
        <f t="shared" si="90"/>
        <v>361.3623790401972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68.000981071003537</v>
      </c>
      <c r="AV81" s="21">
        <f>EXP(-LN(2)/25)*AV80+(1-EXP(-LN(2)/25))/(LN(2)/25)*Calculateur!AQ81*Calculateur!AS81*VLOOKUP('Données projet'!$B$10,Paramètres!$A$1:$I$89,3,0)*0.475*44/12</f>
        <v>21.085082947903775</v>
      </c>
      <c r="AW81" s="21">
        <f>EXP(-LN(2)/2)*AW80+(1-EXP(-LN(2)/2))/(LN(2)/2)*AQ81*AT81*VLOOKUP('Données projet'!$B$10,Paramètres!$A$1:$I$89,3,0)*0.475*44/12</f>
        <v>0.41713860175120432</v>
      </c>
      <c r="AX81" s="21">
        <f t="shared" si="60"/>
        <v>89.503202620658513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8.6770000000000014</v>
      </c>
      <c r="BD81" s="12">
        <f>IF('Données projet'!$A$88&gt;35,BD80+BC81-BL80,IF(A81&lt;'Données projet'!$A$88,$BA$205^A81,IF(A81='Données projet'!$A$88,'Données projet'!$B$88,BD80+BC81-BL80)))</f>
        <v>273.28800000000012</v>
      </c>
      <c r="BE81" s="13">
        <f>BD81*VLOOKUP('Données projet'!$B$11,Paramètres!$A$1:$I$89,3,0)*VLOOKUP('Données projet'!$B$11,Paramètres!$A$1:$I$89,5,0)</f>
        <v>247.27098240000012</v>
      </c>
      <c r="BF81" s="13">
        <f t="shared" si="91"/>
        <v>60.001190025553029</v>
      </c>
      <c r="BG81" s="20">
        <f t="shared" si="61"/>
        <v>535.16570030783839</v>
      </c>
      <c r="BH81" s="59">
        <f t="shared" si="62"/>
        <v>805.08913834226462</v>
      </c>
      <c r="BI81" s="59">
        <f ca="1">AVERAGE(OFFSET($BH$3,0,0,'Données projet'!$E$11+1,1))-AVERAGE(OFFSET($H$3,0,0,'Données projet'!$E$11+1,1))</f>
        <v>627.65081154031589</v>
      </c>
      <c r="BJ81" s="59">
        <f t="shared" si="92"/>
        <v>288.78083487077618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18.79202399352495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18.79202399352495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8.6770000000000014</v>
      </c>
      <c r="BY81" s="12">
        <f>IF('Données projet'!$A$114&gt;35,BY80+BX81-CG80,IF(A81&lt;'Données projet'!$A$114,$BV$205^A81,IF(A81='Données projet'!$A$114,'Données projet'!$B$114,BY80+BX81-CG80)))</f>
        <v>273.28800000000012</v>
      </c>
      <c r="BZ81" s="13">
        <f>BY81*VLOOKUP('Données projet'!$B$12,Paramètres!$A$1:$I$89,3,0)*VLOOKUP('Données projet'!$B$12,Paramètres!$A$1:$I$89,5,0)</f>
        <v>277.11403200000018</v>
      </c>
      <c r="CA81" s="13">
        <f t="shared" si="93"/>
        <v>66.356753617040368</v>
      </c>
      <c r="CB81" s="20">
        <f t="shared" si="64"/>
        <v>598.21161828301217</v>
      </c>
      <c r="CC81" s="59">
        <f t="shared" si="65"/>
        <v>868.1350563174384</v>
      </c>
      <c r="CD81" s="59">
        <f ca="1">AVERAGE(OFFSET($CC$3,0,0,'Données projet'!$E$12+1,1))-AVERAGE(OFFSET($H$3,0,0,'Données projet'!$E$12+1,1))</f>
        <v>692.2706942067415</v>
      </c>
      <c r="CE81" s="59">
        <f t="shared" si="94"/>
        <v>316.17529091924803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21.060026889295202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21.060026889295202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6.6</v>
      </c>
      <c r="CT81" s="12">
        <f>IF('Données projet'!$A$140&gt;35,CT80+CS81-DB80,IF(A81&lt;'Données projet'!$A$140,$CQ$205^A81,IF(A81='Données projet'!$A$140,'Données projet'!$B$140,CT80+CS81-DB80)))</f>
        <v>239.80000000000004</v>
      </c>
      <c r="CU81" s="17">
        <f>CT81*VLOOKUP('Données projet'!$B$13,Paramètres!$A$1:$I$89,3,0)*VLOOKUP('Données projet'!$B$13,Paramètres!$A$1:$I$89,5,0)</f>
        <v>228.19368000000003</v>
      </c>
      <c r="CV81" s="13">
        <f t="shared" si="95"/>
        <v>55.891933871330593</v>
      </c>
      <c r="CW81" s="20">
        <f t="shared" si="67"/>
        <v>494.7824441592341</v>
      </c>
      <c r="CX81" s="59">
        <f t="shared" si="68"/>
        <v>764.70588219366027</v>
      </c>
      <c r="CY81" s="59">
        <f ca="1">AVERAGE(OFFSET($CX$3,0,0,'Données projet'!$E$13+1,1))-AVERAGE(OFFSET($H$3,0,0,'Données projet'!$E$13+1,1))</f>
        <v>424.5933338095914</v>
      </c>
      <c r="CZ81" s="59">
        <f t="shared" si="96"/>
        <v>159.28977188196134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26.783091803317092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26.783091803317092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-18.333333333333343</v>
      </c>
      <c r="DU81" s="59">
        <f t="shared" si="98"/>
        <v>-18.333333333333343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-18.333333333333343</v>
      </c>
      <c r="EP81" s="59">
        <f t="shared" si="100"/>
        <v>-18.333333333333343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8.6770000000000014</v>
      </c>
      <c r="FE81" s="12">
        <f>IF('Données projet'!$A$218&gt;35,FE80+FD81-FM80,IF(A81&lt;'Données projet'!$A$218,$FB$205^A81,IF(A81='Données projet'!$A$218,'Données projet'!$B$218,FE80+FD81-FM80)))</f>
        <v>273.28800000000012</v>
      </c>
      <c r="FF81" s="17">
        <f>FE81*VLOOKUP('Données projet'!$B$16,Paramètres!$A$1:$I$89,3,0)*VLOOKUP('Données projet'!$B$16,Paramètres!$A$1:$I$89,5,0)</f>
        <v>264.32415360000016</v>
      </c>
      <c r="FG81" s="13">
        <f t="shared" si="101"/>
        <v>63.643226045681423</v>
      </c>
      <c r="FH81" s="20">
        <f t="shared" si="76"/>
        <v>571.20985288289546</v>
      </c>
      <c r="FI81" s="59">
        <f t="shared" si="77"/>
        <v>841.13329091732169</v>
      </c>
      <c r="FJ81" s="59">
        <f ca="1">AVERAGE(OFFSET($FI$3,0,0,'Données projet'!$E$16+1,1))-AVERAGE(OFFSET($H$3,0,0,'Données projet'!$E$16+1,1))</f>
        <v>664.59451650228573</v>
      </c>
      <c r="FK81" s="59">
        <f t="shared" si="102"/>
        <v>304.44325029106631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20.088025648250806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20.088025648250806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-6.8212102632969618E-13</v>
      </c>
      <c r="O82" s="13">
        <f>N82*VLOOKUP('Données projet'!$B$9,Paramètres!$A$1:$I$89,3,0)*VLOOKUP('Données projet'!$B$9,Paramètres!$A$1:$I$89,5,0)</f>
        <v>-4.0790837374515837E-13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460.88622650237176</v>
      </c>
      <c r="T82" s="59">
        <f t="shared" si="88"/>
        <v>396.05161661639647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239.52465970750657</v>
      </c>
      <c r="AA82" s="21">
        <f>EXP(-LN(2)/25)*AA81+(1-EXP(-LN(2)/25))/(LN(2)/25)*Calculateur!V82*Calculateur!X82*VLOOKUP('Données projet'!$B$9,Paramètres!$A$1:$I$89,3,0)*0.475*44/12</f>
        <v>35.865017480686504</v>
      </c>
      <c r="AB82" s="21">
        <f>EXP(-LN(2)/2)*AB81+(1-EXP(-LN(2)/2))/(LN(2)/2)*V82*Y82*VLOOKUP('Données projet'!$B$9,Paramètres!$A$1:$I$89,3,0)*0.475*44/12</f>
        <v>14.529426493491085</v>
      </c>
      <c r="AC82" s="22">
        <f t="shared" si="57"/>
        <v>289.91910368168419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495.91</v>
      </c>
      <c r="AG82" s="12">
        <f>VLOOKUP(A82,'Données projet'!$A$61:$I$81,9,0)</f>
        <v>15.115000000000002</v>
      </c>
      <c r="AH82" s="12">
        <f t="array" ref="AH82">INDEX(AG:AG,MIN(IF(ISNUMBER(AG82:AG278),ROW(AG82:AG278),"")))</f>
        <v>15.115000000000002</v>
      </c>
      <c r="AI82" s="13">
        <f>IF('Données projet'!$A$62&gt;35,AI81+AH82-AQ81,IF(A82&lt;'Données projet'!$A$62,$AF$205^A82,IF(A82='Données projet'!$A$62,'Données projet'!$B$62,AI81+AH82-AQ81)))</f>
        <v>495.90999999999997</v>
      </c>
      <c r="AJ82" s="13">
        <f>AI82*VLOOKUP('Données projet'!$B$10,Paramètres!$A$1:$I$89,3,0)*VLOOKUP('Données projet'!$B$10,Paramètres!$A$1:$I$89,5,0)</f>
        <v>232.08587999999997</v>
      </c>
      <c r="AK82" s="13">
        <f t="shared" si="89"/>
        <v>56.733460300074178</v>
      </c>
      <c r="AL82" s="20">
        <f t="shared" si="58"/>
        <v>503.02701768929575</v>
      </c>
      <c r="AM82" s="59">
        <f t="shared" si="59"/>
        <v>773.3565650704727</v>
      </c>
      <c r="AN82" s="59">
        <f ca="1">AVERAGE(OFFSET($AM$3,0,0,'Données projet'!$E$10+1,1))-AVERAGE(OFFSET($H$3,0,0,'Données projet'!$E$10+1,1))</f>
        <v>387.50901594883317</v>
      </c>
      <c r="AO82" s="59">
        <f t="shared" si="90"/>
        <v>361.3623790401972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87.99</v>
      </c>
      <c r="AR82" s="16">
        <f>IF(ISNA(VLOOKUP(A82,'Données projet'!$A$61:$I$81,5,0)),0%,VLOOKUP(A82,'Données projet'!$A$61:$I$81,5,0)*VLOOKUP('Données projet'!$B$10,Paramètres!$A$1:$I$89,7,0))</f>
        <v>0.44000000000000006</v>
      </c>
      <c r="AS82" s="16">
        <f>IF(ISNA(VLOOKUP(A82,'Données projet'!$A$61:$I$81,6,0)),0%,VLOOKUP(A82,'Données projet'!$A$61:$I$81,6,0)*VLOOKUP('Données projet'!$B$10,Paramètres!$A$1:$I$89,7,0))</f>
        <v>6.0500000000000005E-2</v>
      </c>
      <c r="AT82" s="16">
        <f>IF(ISNA(VLOOKUP(A82,'Données projet'!$A$61:$I$81,7,0)),0%,VLOOKUP(A82,'Données projet'!$A$61:$I$81,7,0))</f>
        <v>0.09</v>
      </c>
      <c r="AU82" s="21">
        <f>EXP(-LN(2)/35)*AU81+(1-EXP(-LN(2)/35))/(LN(2)/35)*AQ82*AR82*VLOOKUP('Données projet'!$B$10,Paramètres!$A$1:$I$89,3,0)*0.475*44/12</f>
        <v>90.703413081619189</v>
      </c>
      <c r="AV82" s="21">
        <f>EXP(-LN(2)/25)*AV81+(1-EXP(-LN(2)/25))/(LN(2)/25)*Calculateur!AQ82*Calculateur!AS82*VLOOKUP('Données projet'!$B$10,Paramètres!$A$1:$I$89,3,0)*0.475*44/12</f>
        <v>23.800432301893995</v>
      </c>
      <c r="AW82" s="21">
        <f>EXP(-LN(2)/2)*AW81+(1-EXP(-LN(2)/2))/(LN(2)/2)*AQ82*AT82*VLOOKUP('Données projet'!$B$10,Paramètres!$A$1:$I$89,3,0)*0.475*44/12</f>
        <v>4.4911715824689296</v>
      </c>
      <c r="AX82" s="21">
        <f t="shared" si="60"/>
        <v>118.9950169659821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8.6770000000000014</v>
      </c>
      <c r="BD82" s="12">
        <f>IF('Données projet'!$A$88&gt;35,BD81+BC82-BL81,IF(A82&lt;'Données projet'!$A$88,$BA$205^A82,IF(A82='Données projet'!$A$88,'Données projet'!$B$88,BD81+BC82-BL81)))</f>
        <v>281.96500000000015</v>
      </c>
      <c r="BE82" s="13">
        <f>BD82*VLOOKUP('Données projet'!$B$11,Paramètres!$A$1:$I$89,3,0)*VLOOKUP('Données projet'!$B$11,Paramètres!$A$1:$I$89,5,0)</f>
        <v>255.1219320000001</v>
      </c>
      <c r="BF82" s="13">
        <f t="shared" si="91"/>
        <v>61.681427575411924</v>
      </c>
      <c r="BG82" s="20">
        <f t="shared" si="61"/>
        <v>551.76585126050918</v>
      </c>
      <c r="BH82" s="59">
        <f t="shared" si="62"/>
        <v>822.09539864168619</v>
      </c>
      <c r="BI82" s="59">
        <f ca="1">AVERAGE(OFFSET($BH$3,0,0,'Données projet'!$E$11+1,1))-AVERAGE(OFFSET($H$3,0,0,'Données projet'!$E$11+1,1))</f>
        <v>627.65081154031589</v>
      </c>
      <c r="BJ82" s="59">
        <f t="shared" si="92"/>
        <v>288.78083487077618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18.423523865014783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18.423523865014783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8.6770000000000014</v>
      </c>
      <c r="BY82" s="12">
        <f>IF('Données projet'!$A$114&gt;35,BY81+BX82-CG81,IF(A82&lt;'Données projet'!$A$114,$BV$205^A82,IF(A82='Données projet'!$A$114,'Données projet'!$B$114,BY81+BX82-CG81)))</f>
        <v>281.96500000000015</v>
      </c>
      <c r="BZ82" s="13">
        <f>BY82*VLOOKUP('Données projet'!$B$12,Paramètres!$A$1:$I$89,3,0)*VLOOKUP('Données projet'!$B$12,Paramètres!$A$1:$I$89,5,0)</f>
        <v>285.91251000000017</v>
      </c>
      <c r="CA82" s="13">
        <f t="shared" si="93"/>
        <v>68.214968580220258</v>
      </c>
      <c r="CB82" s="20">
        <f t="shared" si="64"/>
        <v>616.77202519388391</v>
      </c>
      <c r="CC82" s="59">
        <f t="shared" si="65"/>
        <v>887.1015725750608</v>
      </c>
      <c r="CD82" s="59">
        <f ca="1">AVERAGE(OFFSET($CC$3,0,0,'Données projet'!$E$12+1,1))-AVERAGE(OFFSET($H$3,0,0,'Données projet'!$E$12+1,1))</f>
        <v>692.2706942067415</v>
      </c>
      <c r="CE82" s="59">
        <f t="shared" si="94"/>
        <v>316.17529091924803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20.647052607344154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20.647052607344154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6.6</v>
      </c>
      <c r="CT82" s="12">
        <f>IF('Données projet'!$A$140&gt;35,CT81+CS82-DB81,IF(A82&lt;'Données projet'!$A$140,$CQ$205^A82,IF(A82='Données projet'!$A$140,'Données projet'!$B$140,CT81+CS82-DB81)))</f>
        <v>246.40000000000003</v>
      </c>
      <c r="CU82" s="17">
        <f>CT82*VLOOKUP('Données projet'!$B$13,Paramètres!$A$1:$I$89,3,0)*VLOOKUP('Données projet'!$B$13,Paramètres!$A$1:$I$89,5,0)</f>
        <v>234.47424000000007</v>
      </c>
      <c r="CV82" s="13">
        <f t="shared" si="95"/>
        <v>57.249029367164617</v>
      </c>
      <c r="CW82" s="20">
        <f t="shared" si="67"/>
        <v>508.08469414781183</v>
      </c>
      <c r="CX82" s="59">
        <f t="shared" si="68"/>
        <v>778.41424152898878</v>
      </c>
      <c r="CY82" s="59">
        <f ca="1">AVERAGE(OFFSET($CX$3,0,0,'Données projet'!$E$13+1,1))-AVERAGE(OFFSET($H$3,0,0,'Données projet'!$E$13+1,1))</f>
        <v>424.5933338095914</v>
      </c>
      <c r="CZ82" s="59">
        <f t="shared" si="96"/>
        <v>159.28977188196134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26.257891709126991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26.257891709126991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-18.333333333333343</v>
      </c>
      <c r="DU82" s="59">
        <f t="shared" si="98"/>
        <v>-18.333333333333343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-18.333333333333343</v>
      </c>
      <c r="EP82" s="59">
        <f t="shared" si="100"/>
        <v>-18.333333333333343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8.6770000000000014</v>
      </c>
      <c r="FE82" s="12">
        <f>IF('Données projet'!$A$218&gt;35,FE81+FD82-FM81,IF(A82&lt;'Données projet'!$A$218,$FB$205^A82,IF(A82='Données projet'!$A$218,'Données projet'!$B$218,FE81+FD82-FM81)))</f>
        <v>281.96500000000015</v>
      </c>
      <c r="FF82" s="17">
        <f>FE82*VLOOKUP('Données projet'!$B$16,Paramètres!$A$1:$I$89,3,0)*VLOOKUP('Données projet'!$B$16,Paramètres!$A$1:$I$89,5,0)</f>
        <v>272.71654800000016</v>
      </c>
      <c r="FG82" s="13">
        <f t="shared" si="101"/>
        <v>65.425453000689586</v>
      </c>
      <c r="FH82" s="20">
        <f t="shared" si="76"/>
        <v>588.93065174286789</v>
      </c>
      <c r="FI82" s="59">
        <f t="shared" si="77"/>
        <v>859.2601991240449</v>
      </c>
      <c r="FJ82" s="59">
        <f ca="1">AVERAGE(OFFSET($FI$3,0,0,'Données projet'!$E$16+1,1))-AVERAGE(OFFSET($H$3,0,0,'Données projet'!$E$16+1,1))</f>
        <v>664.59451650228573</v>
      </c>
      <c r="FK82" s="59">
        <f t="shared" si="102"/>
        <v>304.44325029106631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19.694111717774419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19.694111717774419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-6.8212102632969618E-13</v>
      </c>
      <c r="O83" s="13">
        <f>N83*VLOOKUP('Données projet'!$B$9,Paramètres!$A$1:$I$89,3,0)*VLOOKUP('Données projet'!$B$9,Paramètres!$A$1:$I$89,5,0)</f>
        <v>-4.0790837374515837E-13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460.88622650237176</v>
      </c>
      <c r="T83" s="59">
        <f t="shared" si="88"/>
        <v>396.05161661639647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234.82772722625904</v>
      </c>
      <c r="AA83" s="21">
        <f>EXP(-LN(2)/25)*AA82+(1-EXP(-LN(2)/25))/(LN(2)/25)*Calculateur!V83*Calculateur!X83*VLOOKUP('Données projet'!$B$9,Paramètres!$A$1:$I$89,3,0)*0.475*44/12</f>
        <v>34.884286691617831</v>
      </c>
      <c r="AB83" s="21">
        <f>EXP(-LN(2)/2)*AB82+(1-EXP(-LN(2)/2))/(LN(2)/2)*V83*Y83*VLOOKUP('Données projet'!$B$9,Paramètres!$A$1:$I$89,3,0)*0.475*44/12</f>
        <v>10.273856000299029</v>
      </c>
      <c r="AC83" s="22">
        <f t="shared" si="57"/>
        <v>279.98586991817592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14.212499999999999</v>
      </c>
      <c r="AI83" s="13">
        <f>IF('Données projet'!$A$62&gt;35,AI82+AH83-AQ82,IF(A83&lt;'Données projet'!$A$62,$AF$205^A83,IF(A83='Données projet'!$A$62,'Données projet'!$B$62,AI82+AH83-AQ82)))</f>
        <v>422.13249999999994</v>
      </c>
      <c r="AJ83" s="13">
        <f>AI83*VLOOKUP('Données projet'!$B$10,Paramètres!$A$1:$I$89,3,0)*VLOOKUP('Données projet'!$B$10,Paramètres!$A$1:$I$89,5,0)</f>
        <v>197.55800999999997</v>
      </c>
      <c r="AK83" s="13">
        <f t="shared" si="89"/>
        <v>49.207109119088621</v>
      </c>
      <c r="AL83" s="20">
        <f t="shared" si="58"/>
        <v>429.78258246574592</v>
      </c>
      <c r="AM83" s="59">
        <f t="shared" si="59"/>
        <v>700.51119410443198</v>
      </c>
      <c r="AN83" s="59">
        <f ca="1">AVERAGE(OFFSET($AM$3,0,0,'Données projet'!$E$10+1,1))-AVERAGE(OFFSET($H$3,0,0,'Données projet'!$E$10+1,1))</f>
        <v>387.50901594883317</v>
      </c>
      <c r="AO83" s="59">
        <f t="shared" si="90"/>
        <v>361.3623790401972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88.92477447470786</v>
      </c>
      <c r="AV83" s="21">
        <f>EXP(-LN(2)/25)*AV82+(1-EXP(-LN(2)/25))/(LN(2)/25)*Calculateur!AQ83*Calculateur!AS83*VLOOKUP('Données projet'!$B$10,Paramètres!$A$1:$I$89,3,0)*0.475*44/12</f>
        <v>23.149608228988367</v>
      </c>
      <c r="AW83" s="21">
        <f>EXP(-LN(2)/2)*AW82+(1-EXP(-LN(2)/2))/(LN(2)/2)*AQ83*AT83*VLOOKUP('Données projet'!$B$10,Paramètres!$A$1:$I$89,3,0)*0.475*44/12</f>
        <v>3.1757378814360981</v>
      </c>
      <c r="AX83" s="21">
        <f t="shared" si="60"/>
        <v>115.25012058513232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8.6770000000000014</v>
      </c>
      <c r="BD83" s="12">
        <f>IF('Données projet'!$A$88&gt;35,BD82+BC83-BL82,IF(A83&lt;'Données projet'!$A$88,$BA$205^A83,IF(A83='Données projet'!$A$88,'Données projet'!$B$88,BD82+BC83-BL82)))</f>
        <v>290.64200000000017</v>
      </c>
      <c r="BE83" s="13">
        <f>BD83*VLOOKUP('Données projet'!$B$11,Paramètres!$A$1:$I$89,3,0)*VLOOKUP('Données projet'!$B$11,Paramètres!$A$1:$I$89,5,0)</f>
        <v>262.97288160000016</v>
      </c>
      <c r="BF83" s="13">
        <f t="shared" si="91"/>
        <v>63.355656254051972</v>
      </c>
      <c r="BG83" s="20">
        <f t="shared" si="61"/>
        <v>568.35553676247412</v>
      </c>
      <c r="BH83" s="59">
        <f t="shared" si="62"/>
        <v>839.08414840116029</v>
      </c>
      <c r="BI83" s="59">
        <f ca="1">AVERAGE(OFFSET($BH$3,0,0,'Données projet'!$E$11+1,1))-AVERAGE(OFFSET($H$3,0,0,'Données projet'!$E$11+1,1))</f>
        <v>627.65081154031589</v>
      </c>
      <c r="BJ83" s="59">
        <f t="shared" si="92"/>
        <v>288.78083487077618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18.062249799261814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18.062249799261814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8.6770000000000014</v>
      </c>
      <c r="BY83" s="12">
        <f>IF('Données projet'!$A$114&gt;35,BY82+BX83-CG82,IF(A83&lt;'Données projet'!$A$114,$BV$205^A83,IF(A83='Données projet'!$A$114,'Données projet'!$B$114,BY82+BX83-CG82)))</f>
        <v>290.64200000000017</v>
      </c>
      <c r="BZ83" s="13">
        <f>BY83*VLOOKUP('Données projet'!$B$12,Paramètres!$A$1:$I$89,3,0)*VLOOKUP('Données projet'!$B$12,Paramètres!$A$1:$I$89,5,0)</f>
        <v>294.71098800000021</v>
      </c>
      <c r="CA83" s="13">
        <f t="shared" si="93"/>
        <v>70.066538188752801</v>
      </c>
      <c r="CB83" s="20">
        <f t="shared" si="64"/>
        <v>635.3208581120781</v>
      </c>
      <c r="CC83" s="59">
        <f t="shared" si="65"/>
        <v>906.04946975076427</v>
      </c>
      <c r="CD83" s="59">
        <f ca="1">AVERAGE(OFFSET($CC$3,0,0,'Données projet'!$E$12+1,1))-AVERAGE(OFFSET($H$3,0,0,'Données projet'!$E$12+1,1))</f>
        <v>692.2706942067415</v>
      </c>
      <c r="CE83" s="59">
        <f t="shared" si="94"/>
        <v>316.17529091924803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20.242176499172725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20.242176499172725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253</v>
      </c>
      <c r="CR83" s="12">
        <f>VLOOKUP(A83,'Données projet'!$A$139:$I$159,9,0)</f>
        <v>6.6</v>
      </c>
      <c r="CS83" s="12">
        <f t="array" ref="CS83">INDEX(CR:CR,MIN(IF(ISNUMBER(CR83:CR279),ROW(CR83:CR279),"")))</f>
        <v>6.6</v>
      </c>
      <c r="CT83" s="12">
        <f>IF('Données projet'!$A$140&gt;35,CT82+CS83-DB82,IF(A83&lt;'Données projet'!$A$140,$CQ$205^A83,IF(A83='Données projet'!$A$140,'Données projet'!$B$140,CT82+CS83-DB82)))</f>
        <v>253.00000000000003</v>
      </c>
      <c r="CU83" s="17">
        <f>CT83*VLOOKUP('Données projet'!$B$13,Paramètres!$A$1:$I$89,3,0)*VLOOKUP('Données projet'!$B$13,Paramètres!$A$1:$I$89,5,0)</f>
        <v>240.75480000000002</v>
      </c>
      <c r="CV83" s="13">
        <f t="shared" si="95"/>
        <v>58.601899688541096</v>
      </c>
      <c r="CW83" s="20">
        <f t="shared" si="67"/>
        <v>521.37958529087575</v>
      </c>
      <c r="CX83" s="59">
        <f t="shared" si="68"/>
        <v>792.10819692956193</v>
      </c>
      <c r="CY83" s="59">
        <f ca="1">AVERAGE(OFFSET($CX$3,0,0,'Données projet'!$E$13+1,1))-AVERAGE(OFFSET($H$3,0,0,'Données projet'!$E$13+1,1))</f>
        <v>424.5933338095914</v>
      </c>
      <c r="CZ83" s="59">
        <f t="shared" si="96"/>
        <v>159.28977188196134</v>
      </c>
      <c r="DA83" s="15">
        <f>IF(ISNA(VLOOKUP(A83,'Données projet'!$A$139:$I$159,3,0)),0,VLOOKUP(A83,'Données projet'!$A$139:$I$159,3,0))</f>
        <v>10</v>
      </c>
      <c r="DB83" s="15">
        <f>IF(ISNA(VLOOKUP(A83,'Données projet'!$A$139:$I$159,4,0)),0,VLOOKUP(A83,'Données projet'!$A$139:$I$159,4,0))</f>
        <v>27</v>
      </c>
      <c r="DC83" s="16">
        <f>IF(ISNA(VLOOKUP(A83,'Données projet'!$A$139:$I$159,5,0)),0%,VLOOKUP(A83,'Données projet'!$A$139:$I$159,5,0)*VLOOKUP('Données projet'!$B$13,Paramètres!$A$1:$I$89,7,0))</f>
        <v>0.25800000000000001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33.070982929740858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33.070982929740858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-18.333333333333343</v>
      </c>
      <c r="DU83" s="59">
        <f t="shared" si="98"/>
        <v>-18.333333333333343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-18.333333333333343</v>
      </c>
      <c r="EP83" s="59">
        <f t="shared" si="100"/>
        <v>-18.333333333333343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8.6770000000000014</v>
      </c>
      <c r="FE83" s="12">
        <f>IF('Données projet'!$A$218&gt;35,FE82+FD83-FM82,IF(A83&lt;'Données projet'!$A$218,$FB$205^A83,IF(A83='Données projet'!$A$218,'Données projet'!$B$218,FE82+FD83-FM82)))</f>
        <v>290.64200000000017</v>
      </c>
      <c r="FF83" s="17">
        <f>FE83*VLOOKUP('Données projet'!$B$16,Paramètres!$A$1:$I$89,3,0)*VLOOKUP('Données projet'!$B$16,Paramètres!$A$1:$I$89,5,0)</f>
        <v>281.10894240000016</v>
      </c>
      <c r="FG83" s="13">
        <f t="shared" si="101"/>
        <v>67.20130634962284</v>
      </c>
      <c r="FH83" s="20">
        <f t="shared" si="76"/>
        <v>606.64034990559333</v>
      </c>
      <c r="FI83" s="59">
        <f t="shared" si="77"/>
        <v>877.3689615442795</v>
      </c>
      <c r="FJ83" s="59">
        <f ca="1">AVERAGE(OFFSET($FI$3,0,0,'Données projet'!$E$16+1,1))-AVERAGE(OFFSET($H$3,0,0,'Données projet'!$E$16+1,1))</f>
        <v>664.59451650228573</v>
      </c>
      <c r="FK83" s="59">
        <f t="shared" si="102"/>
        <v>304.44325029106631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19.307922199210903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19.307922199210903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-6.8212102632969618E-13</v>
      </c>
      <c r="O84" s="13">
        <f>N84*VLOOKUP('Données projet'!$B$9,Paramètres!$A$1:$I$89,3,0)*VLOOKUP('Données projet'!$B$9,Paramètres!$A$1:$I$89,5,0)</f>
        <v>-4.0790837374515837E-13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460.88622650237176</v>
      </c>
      <c r="T84" s="59">
        <f t="shared" si="88"/>
        <v>396.05161661639647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230.22289872612285</v>
      </c>
      <c r="AA84" s="21">
        <f>EXP(-LN(2)/25)*AA83+(1-EXP(-LN(2)/25))/(LN(2)/25)*Calculateur!V84*Calculateur!X84*VLOOKUP('Données projet'!$B$9,Paramètres!$A$1:$I$89,3,0)*0.475*44/12</f>
        <v>33.930374037550635</v>
      </c>
      <c r="AB84" s="21">
        <f>EXP(-LN(2)/2)*AB83+(1-EXP(-LN(2)/2))/(LN(2)/2)*V84*Y84*VLOOKUP('Données projet'!$B$9,Paramètres!$A$1:$I$89,3,0)*0.475*44/12</f>
        <v>7.2647132467455444</v>
      </c>
      <c r="AC84" s="22">
        <f t="shared" si="57"/>
        <v>271.41798601041904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14.212499999999999</v>
      </c>
      <c r="AI84" s="13">
        <f>IF('Données projet'!$A$62&gt;35,AI83+AH84-AQ83,IF(A84&lt;'Données projet'!$A$62,$AF$205^A84,IF(A84='Données projet'!$A$62,'Données projet'!$B$62,AI83+AH84-AQ83)))</f>
        <v>436.34499999999991</v>
      </c>
      <c r="AJ84" s="13">
        <f>AI84*VLOOKUP('Données projet'!$B$10,Paramètres!$A$1:$I$89,3,0)*VLOOKUP('Données projet'!$B$10,Paramètres!$A$1:$I$89,5,0)</f>
        <v>204.20945999999995</v>
      </c>
      <c r="AK84" s="13">
        <f t="shared" si="89"/>
        <v>50.668155185492893</v>
      </c>
      <c r="AL84" s="20">
        <f t="shared" si="58"/>
        <v>443.91184644806668</v>
      </c>
      <c r="AM84" s="59">
        <f t="shared" si="59"/>
        <v>715.03259947156812</v>
      </c>
      <c r="AN84" s="59">
        <f ca="1">AVERAGE(OFFSET($AM$3,0,0,'Données projet'!$E$10+1,1))-AVERAGE(OFFSET($H$3,0,0,'Données projet'!$E$10+1,1))</f>
        <v>387.50901594883317</v>
      </c>
      <c r="AO84" s="59">
        <f t="shared" si="90"/>
        <v>361.3623790401972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87.181013886015634</v>
      </c>
      <c r="AV84" s="21">
        <f>EXP(-LN(2)/25)*AV83+(1-EXP(-LN(2)/25))/(LN(2)/25)*Calculateur!AQ84*Calculateur!AS84*VLOOKUP('Données projet'!$B$10,Paramètres!$A$1:$I$89,3,0)*0.475*44/12</f>
        <v>22.516580974581693</v>
      </c>
      <c r="AW84" s="21">
        <f>EXP(-LN(2)/2)*AW83+(1-EXP(-LN(2)/2))/(LN(2)/2)*AQ84*AT84*VLOOKUP('Données projet'!$B$10,Paramètres!$A$1:$I$89,3,0)*0.475*44/12</f>
        <v>2.2455857912344652</v>
      </c>
      <c r="AX84" s="21">
        <f t="shared" si="60"/>
        <v>111.94318065183178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8.6770000000000014</v>
      </c>
      <c r="BD84" s="12">
        <f>IF('Données projet'!$A$88&gt;35,BD83+BC84-BL83,IF(A84&lt;'Données projet'!$A$88,$BA$205^A84,IF(A84='Données projet'!$A$88,'Données projet'!$B$88,BD83+BC84-BL83)))</f>
        <v>299.31900000000019</v>
      </c>
      <c r="BE84" s="13">
        <f>BD84*VLOOKUP('Données projet'!$B$11,Paramètres!$A$1:$I$89,3,0)*VLOOKUP('Données projet'!$B$11,Paramètres!$A$1:$I$89,5,0)</f>
        <v>270.8238312000002</v>
      </c>
      <c r="BF84" s="13">
        <f t="shared" si="91"/>
        <v>65.024076047844915</v>
      </c>
      <c r="BG84" s="20">
        <f t="shared" si="61"/>
        <v>584.93510512333023</v>
      </c>
      <c r="BH84" s="59">
        <f t="shared" si="62"/>
        <v>856.05585814683172</v>
      </c>
      <c r="BI84" s="59">
        <f ca="1">AVERAGE(OFFSET($BH$3,0,0,'Données projet'!$E$11+1,1))-AVERAGE(OFFSET($H$3,0,0,'Données projet'!$E$11+1,1))</f>
        <v>627.65081154031589</v>
      </c>
      <c r="BJ84" s="59">
        <f t="shared" si="92"/>
        <v>288.78083487077618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17.708060097582841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17.708060097582841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8.6770000000000014</v>
      </c>
      <c r="BY84" s="12">
        <f>IF('Données projet'!$A$114&gt;35,BY83+BX84-CG83,IF(A84&lt;'Données projet'!$A$114,$BV$205^A84,IF(A84='Données projet'!$A$114,'Données projet'!$B$114,BY83+BX84-CG83)))</f>
        <v>299.31900000000019</v>
      </c>
      <c r="BZ84" s="13">
        <f>BY84*VLOOKUP('Données projet'!$B$12,Paramètres!$A$1:$I$89,3,0)*VLOOKUP('Données projet'!$B$12,Paramètres!$A$1:$I$89,5,0)</f>
        <v>303.5094660000002</v>
      </c>
      <c r="CA84" s="13">
        <f t="shared" si="93"/>
        <v>71.911683612358004</v>
      </c>
      <c r="CB84" s="20">
        <f t="shared" si="64"/>
        <v>653.85850224152387</v>
      </c>
      <c r="CC84" s="59">
        <f t="shared" si="65"/>
        <v>924.97925526502536</v>
      </c>
      <c r="CD84" s="59">
        <f ca="1">AVERAGE(OFFSET($CC$3,0,0,'Données projet'!$E$12+1,1))-AVERAGE(OFFSET($H$3,0,0,'Données projet'!$E$12+1,1))</f>
        <v>692.2706942067415</v>
      </c>
      <c r="CE84" s="59">
        <f t="shared" si="94"/>
        <v>316.17529091924803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19.845239764532497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19.845239764532497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6.6</v>
      </c>
      <c r="CT84" s="12">
        <f>IF('Données projet'!$A$140&gt;35,CT83+CS84-DB83,IF(A84&lt;'Données projet'!$A$140,$CQ$205^A84,IF(A84='Données projet'!$A$140,'Données projet'!$B$140,CT83+CS84-DB83)))</f>
        <v>232.60000000000002</v>
      </c>
      <c r="CU84" s="17">
        <f>CT84*VLOOKUP('Données projet'!$B$13,Paramètres!$A$1:$I$89,3,0)*VLOOKUP('Données projet'!$B$13,Paramètres!$A$1:$I$89,5,0)</f>
        <v>221.34216000000004</v>
      </c>
      <c r="CV84" s="13">
        <f t="shared" si="95"/>
        <v>54.406494223748105</v>
      </c>
      <c r="CW84" s="20">
        <f t="shared" si="67"/>
        <v>480.26223943969467</v>
      </c>
      <c r="CX84" s="59">
        <f t="shared" si="68"/>
        <v>751.38299246319616</v>
      </c>
      <c r="CY84" s="59">
        <f ca="1">AVERAGE(OFFSET($CX$3,0,0,'Données projet'!$E$13+1,1))-AVERAGE(OFFSET($H$3,0,0,'Données projet'!$E$13+1,1))</f>
        <v>424.5933338095914</v>
      </c>
      <c r="CZ84" s="59">
        <f t="shared" si="96"/>
        <v>159.28977188196134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32.422481125796473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32.422481125796473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-18.333333333333343</v>
      </c>
      <c r="DU84" s="59">
        <f t="shared" si="98"/>
        <v>-18.333333333333343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-18.333333333333343</v>
      </c>
      <c r="EP84" s="59">
        <f t="shared" si="100"/>
        <v>-18.333333333333343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8.6770000000000014</v>
      </c>
      <c r="FE84" s="12">
        <f>IF('Données projet'!$A$218&gt;35,FE83+FD84-FM83,IF(A84&lt;'Données projet'!$A$218,$FB$205^A84,IF(A84='Données projet'!$A$218,'Données projet'!$B$218,FE83+FD84-FM83)))</f>
        <v>299.31900000000019</v>
      </c>
      <c r="FF84" s="17">
        <f>FE84*VLOOKUP('Données projet'!$B$16,Paramètres!$A$1:$I$89,3,0)*VLOOKUP('Données projet'!$B$16,Paramètres!$A$1:$I$89,5,0)</f>
        <v>289.50133680000016</v>
      </c>
      <c r="FG84" s="13">
        <f t="shared" si="101"/>
        <v>68.970998217904651</v>
      </c>
      <c r="FH84" s="20">
        <f t="shared" si="76"/>
        <v>624.33931682285095</v>
      </c>
      <c r="FI84" s="59">
        <f t="shared" si="77"/>
        <v>895.46006984635233</v>
      </c>
      <c r="FJ84" s="59">
        <f ca="1">AVERAGE(OFFSET($FI$3,0,0,'Données projet'!$E$16+1,1))-AVERAGE(OFFSET($H$3,0,0,'Données projet'!$E$16+1,1))</f>
        <v>664.59451650228573</v>
      </c>
      <c r="FK84" s="59">
        <f t="shared" si="102"/>
        <v>304.44325029106631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18.929305621554068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18.929305621554068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-6.8212102632969618E-13</v>
      </c>
      <c r="O85" s="13">
        <f>N85*VLOOKUP('Données projet'!$B$9,Paramètres!$A$1:$I$89,3,0)*VLOOKUP('Données projet'!$B$9,Paramètres!$A$1:$I$89,5,0)</f>
        <v>-4.0790837374515837E-13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460.88622650237176</v>
      </c>
      <c r="T85" s="59">
        <f t="shared" si="88"/>
        <v>396.05161661639647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225.70836810420627</v>
      </c>
      <c r="AA85" s="21">
        <f>EXP(-LN(2)/25)*AA84+(1-EXP(-LN(2)/25))/(LN(2)/25)*Calculateur!V85*Calculateur!X85*VLOOKUP('Données projet'!$B$9,Paramètres!$A$1:$I$89,3,0)*0.475*44/12</f>
        <v>33.002546175172988</v>
      </c>
      <c r="AB85" s="21">
        <f>EXP(-LN(2)/2)*AB84+(1-EXP(-LN(2)/2))/(LN(2)/2)*V85*Y85*VLOOKUP('Données projet'!$B$9,Paramètres!$A$1:$I$89,3,0)*0.475*44/12</f>
        <v>5.1369280001495152</v>
      </c>
      <c r="AC85" s="22">
        <f t="shared" si="57"/>
        <v>263.84784227952878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14.212499999999999</v>
      </c>
      <c r="AI85" s="13">
        <f>IF('Données projet'!$A$62&gt;35,AI84+AH85-AQ84,IF(A85&lt;'Données projet'!$A$62,$AF$205^A85,IF(A85='Données projet'!$A$62,'Données projet'!$B$62,AI84+AH85-AQ84)))</f>
        <v>450.55749999999989</v>
      </c>
      <c r="AJ85" s="13">
        <f>AI85*VLOOKUP('Données projet'!$B$10,Paramètres!$A$1:$I$89,3,0)*VLOOKUP('Données projet'!$B$10,Paramètres!$A$1:$I$89,5,0)</f>
        <v>210.86090999999996</v>
      </c>
      <c r="AK85" s="13">
        <f t="shared" si="89"/>
        <v>52.123671374805603</v>
      </c>
      <c r="AL85" s="20">
        <f t="shared" si="58"/>
        <v>458.03147922778635</v>
      </c>
      <c r="AM85" s="59">
        <f t="shared" si="59"/>
        <v>729.53757085977338</v>
      </c>
      <c r="AN85" s="59">
        <f ca="1">AVERAGE(OFFSET($AM$3,0,0,'Données projet'!$E$10+1,1))-AVERAGE(OFFSET($H$3,0,0,'Données projet'!$E$10+1,1))</f>
        <v>387.50901594883317</v>
      </c>
      <c r="AO85" s="59">
        <f t="shared" si="90"/>
        <v>361.3623790401972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85.471447378878722</v>
      </c>
      <c r="AV85" s="21">
        <f>EXP(-LN(2)/25)*AV84+(1-EXP(-LN(2)/25))/(LN(2)/25)*Calculateur!AQ85*Calculateur!AS85*VLOOKUP('Données projet'!$B$10,Paramètres!$A$1:$I$89,3,0)*0.475*44/12</f>
        <v>21.900863883736225</v>
      </c>
      <c r="AW85" s="21">
        <f>EXP(-LN(2)/2)*AW84+(1-EXP(-LN(2)/2))/(LN(2)/2)*AQ85*AT85*VLOOKUP('Données projet'!$B$10,Paramètres!$A$1:$I$89,3,0)*0.475*44/12</f>
        <v>1.5878689407180493</v>
      </c>
      <c r="AX85" s="21">
        <f t="shared" si="60"/>
        <v>108.960180203333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8.6770000000000014</v>
      </c>
      <c r="BD85" s="12">
        <f>IF('Données projet'!$A$88&gt;35,BD84+BC85-BL84,IF(A85&lt;'Données projet'!$A$88,$BA$205^A85,IF(A85='Données projet'!$A$88,'Données projet'!$B$88,BD84+BC85-BL84)))</f>
        <v>307.99600000000021</v>
      </c>
      <c r="BE85" s="13">
        <f>BD85*VLOOKUP('Données projet'!$B$11,Paramètres!$A$1:$I$89,3,0)*VLOOKUP('Données projet'!$B$11,Paramètres!$A$1:$I$89,5,0)</f>
        <v>278.67478080000018</v>
      </c>
      <c r="BF85" s="13">
        <f t="shared" si="91"/>
        <v>66.686874688958113</v>
      </c>
      <c r="BG85" s="20">
        <f t="shared" si="61"/>
        <v>601.50488330993562</v>
      </c>
      <c r="BH85" s="59">
        <f t="shared" si="62"/>
        <v>873.01097494192265</v>
      </c>
      <c r="BI85" s="59">
        <f ca="1">AVERAGE(OFFSET($BH$3,0,0,'Données projet'!$E$11+1,1))-AVERAGE(OFFSET($H$3,0,0,'Données projet'!$E$11+1,1))</f>
        <v>627.65081154031589</v>
      </c>
      <c r="BJ85" s="59">
        <f t="shared" si="92"/>
        <v>288.78083487077618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17.360815839919407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17.360815839919407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8.6770000000000014</v>
      </c>
      <c r="BY85" s="12">
        <f>IF('Données projet'!$A$114&gt;35,BY84+BX85-CG84,IF(A85&lt;'Données projet'!$A$114,$BV$205^A85,IF(A85='Données projet'!$A$114,'Données projet'!$B$114,BY84+BX85-CG84)))</f>
        <v>307.99600000000021</v>
      </c>
      <c r="BZ85" s="13">
        <f>BY85*VLOOKUP('Données projet'!$B$12,Paramètres!$A$1:$I$89,3,0)*VLOOKUP('Données projet'!$B$12,Paramètres!$A$1:$I$89,5,0)</f>
        <v>312.30794400000019</v>
      </c>
      <c r="CA85" s="13">
        <f t="shared" si="93"/>
        <v>73.750612468537497</v>
      </c>
      <c r="CB85" s="20">
        <f t="shared" si="64"/>
        <v>672.38531918270314</v>
      </c>
      <c r="CC85" s="59">
        <f t="shared" si="65"/>
        <v>943.89141081469018</v>
      </c>
      <c r="CD85" s="59">
        <f ca="1">AVERAGE(OFFSET($CC$3,0,0,'Données projet'!$E$12+1,1))-AVERAGE(OFFSET($H$3,0,0,'Données projet'!$E$12+1,1))</f>
        <v>692.2706942067415</v>
      </c>
      <c r="CE85" s="59">
        <f t="shared" si="94"/>
        <v>316.17529091924803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19.456086717151059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19.456086717151059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6.6</v>
      </c>
      <c r="CT85" s="12">
        <f>IF('Données projet'!$A$140&gt;35,CT84+CS85-DB84,IF(A85&lt;'Données projet'!$A$140,$CQ$205^A85,IF(A85='Données projet'!$A$140,'Données projet'!$B$140,CT84+CS85-DB84)))</f>
        <v>239.20000000000002</v>
      </c>
      <c r="CU85" s="17">
        <f>CT85*VLOOKUP('Données projet'!$B$13,Paramètres!$A$1:$I$89,3,0)*VLOOKUP('Données projet'!$B$13,Paramètres!$A$1:$I$89,5,0)</f>
        <v>227.62272000000002</v>
      </c>
      <c r="CV85" s="13">
        <f t="shared" si="95"/>
        <v>55.768347604909522</v>
      </c>
      <c r="CW85" s="20">
        <f t="shared" si="67"/>
        <v>493.57277607855082</v>
      </c>
      <c r="CX85" s="59">
        <f t="shared" si="68"/>
        <v>765.07886771053791</v>
      </c>
      <c r="CY85" s="59">
        <f ca="1">AVERAGE(OFFSET($CX$3,0,0,'Données projet'!$E$13+1,1))-AVERAGE(OFFSET($H$3,0,0,'Données projet'!$E$13+1,1))</f>
        <v>424.5933338095914</v>
      </c>
      <c r="CZ85" s="59">
        <f t="shared" si="96"/>
        <v>159.28977188196134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31.786696046680397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31.786696046680397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-18.333333333333343</v>
      </c>
      <c r="DU85" s="59">
        <f t="shared" si="98"/>
        <v>-18.333333333333343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-18.333333333333343</v>
      </c>
      <c r="EP85" s="59">
        <f t="shared" si="100"/>
        <v>-18.333333333333343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8.6770000000000014</v>
      </c>
      <c r="FE85" s="12">
        <f>IF('Données projet'!$A$218&gt;35,FE84+FD85-FM84,IF(A85&lt;'Données projet'!$A$218,$FB$205^A85,IF(A85='Données projet'!$A$218,'Données projet'!$B$218,FE84+FD85-FM84)))</f>
        <v>307.99600000000021</v>
      </c>
      <c r="FF85" s="17">
        <f>FE85*VLOOKUP('Données projet'!$B$16,Paramètres!$A$1:$I$89,3,0)*VLOOKUP('Données projet'!$B$16,Paramètres!$A$1:$I$89,5,0)</f>
        <v>297.89373120000022</v>
      </c>
      <c r="FG85" s="13">
        <f t="shared" si="101"/>
        <v>70.734727732931788</v>
      </c>
      <c r="FH85" s="20">
        <f t="shared" si="76"/>
        <v>642.02789930818994</v>
      </c>
      <c r="FI85" s="59">
        <f t="shared" si="77"/>
        <v>913.53399094017698</v>
      </c>
      <c r="FJ85" s="59">
        <f ca="1">AVERAGE(OFFSET($FI$3,0,0,'Données projet'!$E$16+1,1))-AVERAGE(OFFSET($H$3,0,0,'Données projet'!$E$16+1,1))</f>
        <v>664.59451650228573</v>
      </c>
      <c r="FK85" s="59">
        <f t="shared" si="102"/>
        <v>304.44325029106631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18.558113484051773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18.558113484051773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-6.8212102632969618E-13</v>
      </c>
      <c r="O86" s="13">
        <f>N86*VLOOKUP('Données projet'!$B$9,Paramètres!$A$1:$I$89,3,0)*VLOOKUP('Données projet'!$B$9,Paramètres!$A$1:$I$89,5,0)</f>
        <v>-4.0790837374515837E-13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460.88622650237176</v>
      </c>
      <c r="T86" s="59">
        <f t="shared" si="88"/>
        <v>396.05161661639647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221.2823646741937</v>
      </c>
      <c r="AA86" s="21">
        <f>EXP(-LN(2)/25)*AA85+(1-EXP(-LN(2)/25))/(LN(2)/25)*Calculateur!V86*Calculateur!X86*VLOOKUP('Données projet'!$B$9,Paramètres!$A$1:$I$89,3,0)*0.475*44/12</f>
        <v>32.100089814484406</v>
      </c>
      <c r="AB86" s="21">
        <f>EXP(-LN(2)/2)*AB85+(1-EXP(-LN(2)/2))/(LN(2)/2)*V86*Y86*VLOOKUP('Données projet'!$B$9,Paramètres!$A$1:$I$89,3,0)*0.475*44/12</f>
        <v>3.6323566233727727</v>
      </c>
      <c r="AC86" s="22">
        <f t="shared" si="57"/>
        <v>257.01481111205089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14.212499999999999</v>
      </c>
      <c r="AI86" s="13">
        <f>IF('Données projet'!$A$62&gt;35,AI85+AH86-AQ85,IF(A86&lt;'Données projet'!$A$62,$AF$205^A86,IF(A86='Données projet'!$A$62,'Données projet'!$B$62,AI85+AH86-AQ85)))</f>
        <v>464.76999999999987</v>
      </c>
      <c r="AJ86" s="13">
        <f>AI86*VLOOKUP('Données projet'!$B$10,Paramètres!$A$1:$I$89,3,0)*VLOOKUP('Données projet'!$B$10,Paramètres!$A$1:$I$89,5,0)</f>
        <v>217.51235999999994</v>
      </c>
      <c r="AK86" s="13">
        <f t="shared" si="89"/>
        <v>53.573852135564842</v>
      </c>
      <c r="AL86" s="20">
        <f t="shared" si="58"/>
        <v>472.141819469442</v>
      </c>
      <c r="AM86" s="59">
        <f t="shared" si="59"/>
        <v>744.02656494654548</v>
      </c>
      <c r="AN86" s="59">
        <f ca="1">AVERAGE(OFFSET($AM$3,0,0,'Données projet'!$E$10+1,1))-AVERAGE(OFFSET($H$3,0,0,'Données projet'!$E$10+1,1))</f>
        <v>387.50901594883317</v>
      </c>
      <c r="AO86" s="59">
        <f t="shared" si="90"/>
        <v>361.3623790401972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83.795404428214155</v>
      </c>
      <c r="AV86" s="21">
        <f>EXP(-LN(2)/25)*AV85+(1-EXP(-LN(2)/25))/(LN(2)/25)*Calculateur!AQ86*Calculateur!AS86*VLOOKUP('Données projet'!$B$10,Paramètres!$A$1:$I$89,3,0)*0.475*44/12</f>
        <v>21.30198360911908</v>
      </c>
      <c r="AW86" s="21">
        <f>EXP(-LN(2)/2)*AW85+(1-EXP(-LN(2)/2))/(LN(2)/2)*AQ86*AT86*VLOOKUP('Données projet'!$B$10,Paramètres!$A$1:$I$89,3,0)*0.475*44/12</f>
        <v>1.1227928956172328</v>
      </c>
      <c r="AX86" s="21">
        <f t="shared" si="60"/>
        <v>106.22018093295047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8.6770000000000014</v>
      </c>
      <c r="BD86" s="12">
        <f>IF('Données projet'!$A$88&gt;35,BD85+BC86-BL85,IF(A86&lt;'Données projet'!$A$88,$BA$205^A86,IF(A86='Données projet'!$A$88,'Données projet'!$B$88,BD85+BC86-BL85)))</f>
        <v>316.67300000000023</v>
      </c>
      <c r="BE86" s="13">
        <f>BD86*VLOOKUP('Données projet'!$B$11,Paramètres!$A$1:$I$89,3,0)*VLOOKUP('Données projet'!$B$11,Paramètres!$A$1:$I$89,5,0)</f>
        <v>286.52573040000021</v>
      </c>
      <c r="BF86" s="13">
        <f t="shared" si="91"/>
        <v>68.344228730046424</v>
      </c>
      <c r="BG86" s="20">
        <f t="shared" si="61"/>
        <v>618.06517881816455</v>
      </c>
      <c r="BH86" s="59">
        <f t="shared" si="62"/>
        <v>889.94992429526803</v>
      </c>
      <c r="BI86" s="59">
        <f ca="1">AVERAGE(OFFSET($BH$3,0,0,'Données projet'!$E$11+1,1))-AVERAGE(OFFSET($H$3,0,0,'Données projet'!$E$11+1,1))</f>
        <v>627.65081154031589</v>
      </c>
      <c r="BJ86" s="59">
        <f t="shared" si="92"/>
        <v>288.78083487077618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17.020380830350668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17.020380830350668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8.6770000000000014</v>
      </c>
      <c r="BY86" s="12">
        <f>IF('Données projet'!$A$114&gt;35,BY85+BX86-CG85,IF(A86&lt;'Données projet'!$A$114,$BV$205^A86,IF(A86='Données projet'!$A$114,'Données projet'!$B$114,BY85+BX86-CG85)))</f>
        <v>316.67300000000023</v>
      </c>
      <c r="BZ86" s="13">
        <f>BY86*VLOOKUP('Données projet'!$B$12,Paramètres!$A$1:$I$89,3,0)*VLOOKUP('Données projet'!$B$12,Paramètres!$A$1:$I$89,5,0)</f>
        <v>321.10642200000024</v>
      </c>
      <c r="CA86" s="13">
        <f t="shared" si="93"/>
        <v>75.58352001110228</v>
      </c>
      <c r="CB86" s="20">
        <f t="shared" si="64"/>
        <v>690.90164900267018</v>
      </c>
      <c r="CC86" s="59">
        <f t="shared" si="65"/>
        <v>962.78639447977366</v>
      </c>
      <c r="CD86" s="59">
        <f ca="1">AVERAGE(OFFSET($CC$3,0,0,'Données projet'!$E$12+1,1))-AVERAGE(OFFSET($H$3,0,0,'Données projet'!$E$12+1,1))</f>
        <v>692.2706942067415</v>
      </c>
      <c r="CE86" s="59">
        <f t="shared" si="94"/>
        <v>316.17529091924803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19.074564723668853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19.074564723668853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6.6</v>
      </c>
      <c r="CT86" s="12">
        <f>IF('Données projet'!$A$140&gt;35,CT85+CS86-DB85,IF(A86&lt;'Données projet'!$A$140,$CQ$205^A86,IF(A86='Données projet'!$A$140,'Données projet'!$B$140,CT85+CS86-DB85)))</f>
        <v>245.8</v>
      </c>
      <c r="CU86" s="17">
        <f>CT86*VLOOKUP('Données projet'!$B$13,Paramètres!$A$1:$I$89,3,0)*VLOOKUP('Données projet'!$B$13,Paramètres!$A$1:$I$89,5,0)</f>
        <v>233.90328000000002</v>
      </c>
      <c r="CV86" s="13">
        <f t="shared" si="95"/>
        <v>57.125833544518144</v>
      </c>
      <c r="CW86" s="20">
        <f t="shared" si="67"/>
        <v>506.87570609003575</v>
      </c>
      <c r="CX86" s="59">
        <f t="shared" si="68"/>
        <v>778.76045156713917</v>
      </c>
      <c r="CY86" s="59">
        <f ca="1">AVERAGE(OFFSET($CX$3,0,0,'Données projet'!$E$13+1,1))-AVERAGE(OFFSET($H$3,0,0,'Données projet'!$E$13+1,1))</f>
        <v>424.5933338095914</v>
      </c>
      <c r="CZ86" s="59">
        <f t="shared" si="96"/>
        <v>159.28977188196134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31.163378325175181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31.163378325175181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-18.333333333333343</v>
      </c>
      <c r="DU86" s="59">
        <f t="shared" si="98"/>
        <v>-18.333333333333343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-18.333333333333343</v>
      </c>
      <c r="EP86" s="59">
        <f t="shared" si="100"/>
        <v>-18.333333333333343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8.6770000000000014</v>
      </c>
      <c r="FE86" s="12">
        <f>IF('Données projet'!$A$218&gt;35,FE85+FD86-FM85,IF(A86&lt;'Données projet'!$A$218,$FB$205^A86,IF(A86='Données projet'!$A$218,'Données projet'!$B$218,FE85+FD86-FM85)))</f>
        <v>316.67300000000023</v>
      </c>
      <c r="FF86" s="17">
        <f>FE86*VLOOKUP('Données projet'!$B$16,Paramètres!$A$1:$I$89,3,0)*VLOOKUP('Données projet'!$B$16,Paramètres!$A$1:$I$89,5,0)</f>
        <v>306.28612560000022</v>
      </c>
      <c r="FG86" s="13">
        <f t="shared" si="101"/>
        <v>72.492682163998609</v>
      </c>
      <c r="FH86" s="20">
        <f t="shared" si="76"/>
        <v>659.70642352229788</v>
      </c>
      <c r="FI86" s="59">
        <f t="shared" si="77"/>
        <v>931.59116899940136</v>
      </c>
      <c r="FJ86" s="59">
        <f ca="1">AVERAGE(OFFSET($FI$3,0,0,'Données projet'!$E$16+1,1))-AVERAGE(OFFSET($H$3,0,0,'Données projet'!$E$16+1,1))</f>
        <v>664.59451650228573</v>
      </c>
      <c r="FK86" s="59">
        <f t="shared" si="102"/>
        <v>304.44325029106631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18.194200197961052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18.194200197961052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-6.8212102632969618E-13</v>
      </c>
      <c r="O87" s="13">
        <f>N87*VLOOKUP('Données projet'!$B$9,Paramètres!$A$1:$I$89,3,0)*VLOOKUP('Données projet'!$B$9,Paramètres!$A$1:$I$89,5,0)</f>
        <v>-4.0790837374515837E-13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460.88622650237176</v>
      </c>
      <c r="T87" s="59">
        <f t="shared" si="88"/>
        <v>396.05161661639647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216.94315247184815</v>
      </c>
      <c r="AA87" s="21">
        <f>EXP(-LN(2)/25)*AA86+(1-EXP(-LN(2)/25))/(LN(2)/25)*Calculateur!V87*Calculateur!X87*VLOOKUP('Données projet'!$B$9,Paramètres!$A$1:$I$89,3,0)*0.475*44/12</f>
        <v>31.222311170436971</v>
      </c>
      <c r="AB87" s="21">
        <f>EXP(-LN(2)/2)*AB86+(1-EXP(-LN(2)/2))/(LN(2)/2)*V87*Y87*VLOOKUP('Données projet'!$B$9,Paramètres!$A$1:$I$89,3,0)*0.475*44/12</f>
        <v>2.5684640000747581</v>
      </c>
      <c r="AC87" s="22">
        <f t="shared" si="57"/>
        <v>250.73392764235987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14.212499999999999</v>
      </c>
      <c r="AI87" s="13">
        <f>IF('Données projet'!$A$62&gt;35,AI86+AH87-AQ86,IF(A87&lt;'Données projet'!$A$62,$AF$205^A87,IF(A87='Données projet'!$A$62,'Données projet'!$B$62,AI86+AH87-AQ86)))</f>
        <v>478.98249999999985</v>
      </c>
      <c r="AJ87" s="13">
        <f>AI87*VLOOKUP('Données projet'!$B$10,Paramètres!$A$1:$I$89,3,0)*VLOOKUP('Données projet'!$B$10,Paramètres!$A$1:$I$89,5,0)</f>
        <v>224.16380999999993</v>
      </c>
      <c r="AK87" s="13">
        <f t="shared" si="89"/>
        <v>55.018879348273053</v>
      </c>
      <c r="AL87" s="20">
        <f t="shared" si="58"/>
        <v>486.24318394824201</v>
      </c>
      <c r="AM87" s="59">
        <f t="shared" si="59"/>
        <v>758.50001447279237</v>
      </c>
      <c r="AN87" s="59">
        <f ca="1">AVERAGE(OFFSET($AM$3,0,0,'Données projet'!$E$10+1,1))-AVERAGE(OFFSET($H$3,0,0,'Données projet'!$E$10+1,1))</f>
        <v>387.50901594883317</v>
      </c>
      <c r="AO87" s="59">
        <f t="shared" si="90"/>
        <v>361.3623790401972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82.152227657526865</v>
      </c>
      <c r="AV87" s="21">
        <f>EXP(-LN(2)/25)*AV86+(1-EXP(-LN(2)/25))/(LN(2)/25)*Calculateur!AQ87*Calculateur!AS87*VLOOKUP('Données projet'!$B$10,Paramètres!$A$1:$I$89,3,0)*0.475*44/12</f>
        <v>20.719479747105087</v>
      </c>
      <c r="AW87" s="21">
        <f>EXP(-LN(2)/2)*AW86+(1-EXP(-LN(2)/2))/(LN(2)/2)*AQ87*AT87*VLOOKUP('Données projet'!$B$10,Paramètres!$A$1:$I$89,3,0)*0.475*44/12</f>
        <v>0.79393447035902476</v>
      </c>
      <c r="AX87" s="21">
        <f t="shared" si="60"/>
        <v>103.66564187499097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325.35000000000002</v>
      </c>
      <c r="BB87" s="12">
        <f>VLOOKUP(A87,'Données projet'!$A$87:$I$107,9,0)</f>
        <v>8.6770000000000014</v>
      </c>
      <c r="BC87" s="12">
        <f t="array" ref="BC87">INDEX(BB:BB,MIN(IF(ISNUMBER(BB87:BB283),ROW(BB87:BB283),"")))</f>
        <v>8.6770000000000014</v>
      </c>
      <c r="BD87" s="12">
        <f>IF('Données projet'!$A$88&gt;35,BD86+BC87-BL86,IF(A87&lt;'Données projet'!$A$88,$BA$205^A87,IF(A87='Données projet'!$A$88,'Données projet'!$B$88,BD86+BC87-BL86)))</f>
        <v>325.35000000000025</v>
      </c>
      <c r="BE87" s="13">
        <f>BD87*VLOOKUP('Données projet'!$B$11,Paramètres!$A$1:$I$89,3,0)*VLOOKUP('Données projet'!$B$11,Paramètres!$A$1:$I$89,5,0)</f>
        <v>294.37668000000025</v>
      </c>
      <c r="BF87" s="13">
        <f t="shared" si="91"/>
        <v>69.99630449784344</v>
      </c>
      <c r="BG87" s="20">
        <f t="shared" si="61"/>
        <v>634.61628133374438</v>
      </c>
      <c r="BH87" s="59">
        <f t="shared" si="62"/>
        <v>906.87311185829469</v>
      </c>
      <c r="BI87" s="59">
        <f ca="1">AVERAGE(OFFSET($BH$3,0,0,'Données projet'!$E$11+1,1))-AVERAGE(OFFSET($H$3,0,0,'Données projet'!$E$11+1,1))</f>
        <v>627.65081154031589</v>
      </c>
      <c r="BJ87" s="59">
        <f t="shared" si="92"/>
        <v>288.78083487077618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0.17200000000000001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27.26188906140996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27.26188906140996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325.35000000000002</v>
      </c>
      <c r="BW87" s="12">
        <f>VLOOKUP(A87,'Données projet'!$A$113:$I$133,9,0)</f>
        <v>8.6770000000000014</v>
      </c>
      <c r="BX87" s="12">
        <f t="array" ref="BX87">INDEX(BW:BW,MIN(IF(ISNUMBER(BW87:BW283),ROW(BW87:BW283),"")))</f>
        <v>8.6770000000000014</v>
      </c>
      <c r="BY87" s="12">
        <f>IF('Données projet'!$A$114&gt;35,BY86+BX87-CG86,IF(A87&lt;'Données projet'!$A$114,$BV$205^A87,IF(A87='Données projet'!$A$114,'Données projet'!$B$114,BY86+BX87-CG86)))</f>
        <v>325.35000000000025</v>
      </c>
      <c r="BZ87" s="13">
        <f>BY87*VLOOKUP('Données projet'!$B$12,Paramètres!$A$1:$I$89,3,0)*VLOOKUP('Données projet'!$B$12,Paramètres!$A$1:$I$89,5,0)</f>
        <v>329.90490000000028</v>
      </c>
      <c r="CA87" s="13">
        <f t="shared" si="93"/>
        <v>77.410590184772218</v>
      </c>
      <c r="CB87" s="20">
        <f t="shared" si="64"/>
        <v>709.40781207181215</v>
      </c>
      <c r="CC87" s="59">
        <f t="shared" si="65"/>
        <v>981.66464259636246</v>
      </c>
      <c r="CD87" s="59">
        <f ca="1">AVERAGE(OFFSET($CC$3,0,0,'Données projet'!$E$12+1,1))-AVERAGE(OFFSET($H$3,0,0,'Données projet'!$E$12+1,1))</f>
        <v>692.2706942067415</v>
      </c>
      <c r="CE87" s="59">
        <f t="shared" si="94"/>
        <v>316.17529091924803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0.17200000000000001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30.552117051580126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30.552117051580126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6.6</v>
      </c>
      <c r="CT87" s="12">
        <f>IF('Données projet'!$A$140&gt;35,CT86+CS87-DB86,IF(A87&lt;'Données projet'!$A$140,$CQ$205^A87,IF(A87='Données projet'!$A$140,'Données projet'!$B$140,CT86+CS87-DB86)))</f>
        <v>252.4</v>
      </c>
      <c r="CU87" s="17">
        <f>CT87*VLOOKUP('Données projet'!$B$13,Paramètres!$A$1:$I$89,3,0)*VLOOKUP('Données projet'!$B$13,Paramètres!$A$1:$I$89,5,0)</f>
        <v>240.18384</v>
      </c>
      <c r="CV87" s="13">
        <f t="shared" si="95"/>
        <v>58.479082790905672</v>
      </c>
      <c r="CW87" s="20">
        <f t="shared" si="67"/>
        <v>520.17125719416072</v>
      </c>
      <c r="CX87" s="59">
        <f t="shared" si="68"/>
        <v>792.42808771871103</v>
      </c>
      <c r="CY87" s="59">
        <f ca="1">AVERAGE(OFFSET($CX$3,0,0,'Données projet'!$E$13+1,1))-AVERAGE(OFFSET($H$3,0,0,'Données projet'!$E$13+1,1))</f>
        <v>424.5933338095914</v>
      </c>
      <c r="CZ87" s="59">
        <f t="shared" si="96"/>
        <v>159.28977188196134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30.552283484002412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30.552283484002412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-18.333333333333343</v>
      </c>
      <c r="DU87" s="59">
        <f t="shared" si="98"/>
        <v>-18.333333333333343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-18.333333333333343</v>
      </c>
      <c r="EP87" s="59">
        <f t="shared" si="100"/>
        <v>-18.333333333333343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>
        <f>VLOOKUP(A87,'Données projet'!$A$217:$I$237,2,0)</f>
        <v>325.35000000000002</v>
      </c>
      <c r="FC87" s="12">
        <f>VLOOKUP(A87,'Données projet'!$A$217:$I$237,9,0)</f>
        <v>8.6770000000000014</v>
      </c>
      <c r="FD87" s="12">
        <f t="array" ref="FD87">INDEX(FC:FC,MIN(IF(ISNUMBER(FC87:FC283),ROW(FC87:FC283),"")))</f>
        <v>8.6770000000000014</v>
      </c>
      <c r="FE87" s="12">
        <f>IF('Données projet'!$A$218&gt;35,FE86+FD87-FM86,IF(A87&lt;'Données projet'!$A$218,$FB$205^A87,IF(A87='Données projet'!$A$218,'Données projet'!$B$218,FE86+FD87-FM86)))</f>
        <v>325.35000000000025</v>
      </c>
      <c r="FF87" s="17">
        <f>FE87*VLOOKUP('Données projet'!$B$16,Paramètres!$A$1:$I$89,3,0)*VLOOKUP('Données projet'!$B$16,Paramètres!$A$1:$I$89,5,0)</f>
        <v>314.67852000000028</v>
      </c>
      <c r="FG87" s="13">
        <f t="shared" si="101"/>
        <v>74.245037933771187</v>
      </c>
      <c r="FH87" s="20">
        <f t="shared" si="76"/>
        <v>677.37519673465192</v>
      </c>
      <c r="FI87" s="59">
        <f t="shared" si="77"/>
        <v>949.63202725920223</v>
      </c>
      <c r="FJ87" s="59">
        <f ca="1">AVERAGE(OFFSET($FI$3,0,0,'Données projet'!$E$16+1,1))-AVERAGE(OFFSET($H$3,0,0,'Données projet'!$E$16+1,1))</f>
        <v>664.59451650228573</v>
      </c>
      <c r="FK87" s="59">
        <f t="shared" si="102"/>
        <v>304.44325029106631</v>
      </c>
      <c r="FL87" s="15">
        <f>IF(ISNA(VLOOKUP(A87,'Données projet'!$A$217:$I$237,3,0)),0,VLOOKUP(A87,'Données projet'!$A$217:$I$237,3,0))</f>
        <v>6</v>
      </c>
      <c r="FM87" s="15">
        <f>IF(ISNA(VLOOKUP(A87,'Données projet'!$A$217:$I$237,4,0)),0,VLOOKUP(A87,'Données projet'!$A$217:$I$237,4,0))</f>
        <v>61.47</v>
      </c>
      <c r="FN87" s="16">
        <f>IF(ISNA(VLOOKUP(A87,'Données projet'!$A$217:$I$237,5,0)),0%,VLOOKUP(A87,'Données projet'!$A$217:$I$237,5,0)*VLOOKUP('Données projet'!$B$16,Paramètres!$A$1:$I$89,7,0))</f>
        <v>0.17200000000000001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29.142019341507194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29.142019341507194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-6.8212102632969618E-13</v>
      </c>
      <c r="O88" s="13">
        <f>N88*VLOOKUP('Données projet'!$B$9,Paramètres!$A$1:$I$89,3,0)*VLOOKUP('Données projet'!$B$9,Paramètres!$A$1:$I$89,5,0)</f>
        <v>-4.0790837374515837E-13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460.88622650237176</v>
      </c>
      <c r="T88" s="59">
        <f t="shared" si="88"/>
        <v>396.05161661639647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212.68902957413249</v>
      </c>
      <c r="AA88" s="21">
        <f>EXP(-LN(2)/25)*AA87+(1-EXP(-LN(2)/25))/(LN(2)/25)*Calculateur!V88*Calculateur!X88*VLOOKUP('Données projet'!$B$9,Paramètres!$A$1:$I$89,3,0)*0.475*44/12</f>
        <v>30.368535429571388</v>
      </c>
      <c r="AB88" s="21">
        <f>EXP(-LN(2)/2)*AB87+(1-EXP(-LN(2)/2))/(LN(2)/2)*V88*Y88*VLOOKUP('Données projet'!$B$9,Paramètres!$A$1:$I$89,3,0)*0.475*44/12</f>
        <v>1.8161783116863865</v>
      </c>
      <c r="AC88" s="22">
        <f t="shared" si="57"/>
        <v>244.87374331539027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14.212499999999999</v>
      </c>
      <c r="AI88" s="13">
        <f>IF('Données projet'!$A$62&gt;35,AI87+AH88-AQ87,IF(A88&lt;'Données projet'!$A$62,$AF$205^A88,IF(A88='Données projet'!$A$62,'Données projet'!$B$62,AI87+AH88-AQ87)))</f>
        <v>493.19499999999982</v>
      </c>
      <c r="AJ88" s="13">
        <f>AI88*VLOOKUP('Données projet'!$B$10,Paramètres!$A$1:$I$89,3,0)*VLOOKUP('Données projet'!$B$10,Paramètres!$A$1:$I$89,5,0)</f>
        <v>230.81525999999991</v>
      </c>
      <c r="AK88" s="13">
        <f t="shared" si="89"/>
        <v>56.458923486259444</v>
      </c>
      <c r="AL88" s="20">
        <f t="shared" si="58"/>
        <v>500.33586957190164</v>
      </c>
      <c r="AM88" s="59">
        <f t="shared" si="59"/>
        <v>772.95833030018321</v>
      </c>
      <c r="AN88" s="59">
        <f ca="1">AVERAGE(OFFSET($AM$3,0,0,'Données projet'!$E$10+1,1))-AVERAGE(OFFSET($H$3,0,0,'Données projet'!$E$10+1,1))</f>
        <v>387.50901594883317</v>
      </c>
      <c r="AO88" s="59">
        <f t="shared" si="90"/>
        <v>361.3623790401972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80.541272581073883</v>
      </c>
      <c r="AV88" s="21">
        <f>EXP(-LN(2)/25)*AV87+(1-EXP(-LN(2)/25))/(LN(2)/25)*Calculateur!AQ88*Calculateur!AS88*VLOOKUP('Données projet'!$B$10,Paramètres!$A$1:$I$89,3,0)*0.475*44/12</f>
        <v>20.152904483830412</v>
      </c>
      <c r="AW88" s="21">
        <f>EXP(-LN(2)/2)*AW87+(1-EXP(-LN(2)/2))/(LN(2)/2)*AQ88*AT88*VLOOKUP('Données projet'!$B$10,Paramètres!$A$1:$I$89,3,0)*0.475*44/12</f>
        <v>0.56139644780861642</v>
      </c>
      <c r="AX88" s="21">
        <f t="shared" si="60"/>
        <v>101.25557351271291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8.2910000000000021</v>
      </c>
      <c r="BD88" s="12">
        <f>IF('Données projet'!$A$88&gt;35,BD87+BC88-BL87,IF(A88&lt;'Données projet'!$A$88,$BA$205^A88,IF(A88='Données projet'!$A$88,'Données projet'!$B$88,BD87+BC88-BL87)))</f>
        <v>272.17100000000028</v>
      </c>
      <c r="BE88" s="13">
        <f>BD88*VLOOKUP('Données projet'!$B$11,Paramètres!$A$1:$I$89,3,0)*VLOOKUP('Données projet'!$B$11,Paramètres!$A$1:$I$89,5,0)</f>
        <v>246.26032080000024</v>
      </c>
      <c r="BF88" s="13">
        <f t="shared" si="91"/>
        <v>59.784443753506842</v>
      </c>
      <c r="BG88" s="20">
        <f t="shared" si="61"/>
        <v>533.02796493069138</v>
      </c>
      <c r="BH88" s="59">
        <f t="shared" si="62"/>
        <v>805.65042565897284</v>
      </c>
      <c r="BI88" s="59">
        <f ca="1">AVERAGE(OFFSET($BH$3,0,0,'Données projet'!$E$11+1,1))-AVERAGE(OFFSET($H$3,0,0,'Données projet'!$E$11+1,1))</f>
        <v>627.65081154031589</v>
      </c>
      <c r="BJ88" s="59">
        <f t="shared" si="92"/>
        <v>288.78083487077618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26.727300045026148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26.727300045026148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8.2910000000000021</v>
      </c>
      <c r="BY88" s="12">
        <f>IF('Données projet'!$A$114&gt;35,BY87+BX88-CG87,IF(A88&lt;'Données projet'!$A$114,$BV$205^A88,IF(A88='Données projet'!$A$114,'Données projet'!$B$114,BY87+BX88-CG87)))</f>
        <v>272.17100000000028</v>
      </c>
      <c r="BZ88" s="13">
        <f>BY88*VLOOKUP('Données projet'!$B$12,Paramètres!$A$1:$I$89,3,0)*VLOOKUP('Données projet'!$B$12,Paramètres!$A$1:$I$89,5,0)</f>
        <v>275.98139400000031</v>
      </c>
      <c r="CA88" s="13">
        <f t="shared" si="93"/>
        <v>66.117048721763197</v>
      </c>
      <c r="CB88" s="20">
        <f t="shared" si="64"/>
        <v>595.82145440707143</v>
      </c>
      <c r="CC88" s="59">
        <f t="shared" si="65"/>
        <v>868.44391513535288</v>
      </c>
      <c r="CD88" s="59">
        <f ca="1">AVERAGE(OFFSET($CC$3,0,0,'Données projet'!$E$12+1,1))-AVERAGE(OFFSET($H$3,0,0,'Données projet'!$E$12+1,1))</f>
        <v>692.2706942067415</v>
      </c>
      <c r="CE88" s="59">
        <f t="shared" si="94"/>
        <v>316.17529091924803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29.953008671149991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29.953008671149991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259</v>
      </c>
      <c r="CR88" s="12">
        <f>VLOOKUP(A88,'Données projet'!$A$139:$I$159,9,0)</f>
        <v>6.6</v>
      </c>
      <c r="CS88" s="12">
        <f t="array" ref="CS88">INDEX(CR:CR,MIN(IF(ISNUMBER(CR88:CR284),ROW(CR88:CR284),"")))</f>
        <v>6.6</v>
      </c>
      <c r="CT88" s="12">
        <f>IF('Données projet'!$A$140&gt;35,CT87+CS88-DB87,IF(A88&lt;'Données projet'!$A$140,$CQ$205^A88,IF(A88='Données projet'!$A$140,'Données projet'!$B$140,CT87+CS88-DB87)))</f>
        <v>259</v>
      </c>
      <c r="CU88" s="17">
        <f>CT88*VLOOKUP('Données projet'!$B$13,Paramètres!$A$1:$I$89,3,0)*VLOOKUP('Données projet'!$B$13,Paramètres!$A$1:$I$89,5,0)</f>
        <v>246.46440000000001</v>
      </c>
      <c r="CV88" s="13">
        <f t="shared" si="95"/>
        <v>59.828218865086768</v>
      </c>
      <c r="CW88" s="20">
        <f t="shared" si="67"/>
        <v>533.45964452335932</v>
      </c>
      <c r="CX88" s="59">
        <f t="shared" si="68"/>
        <v>806.08210525164077</v>
      </c>
      <c r="CY88" s="59">
        <f ca="1">AVERAGE(OFFSET($CX$3,0,0,'Données projet'!$E$13+1,1))-AVERAGE(OFFSET($H$3,0,0,'Données projet'!$E$13+1,1))</f>
        <v>424.5933338095914</v>
      </c>
      <c r="CZ88" s="59">
        <f t="shared" si="96"/>
        <v>159.28977188196134</v>
      </c>
      <c r="DA88" s="15">
        <f>IF(ISNA(VLOOKUP(A88,'Données projet'!$A$139:$I$159,3,0)),0,VLOOKUP(A88,'Données projet'!$A$139:$I$159,3,0))</f>
        <v>11</v>
      </c>
      <c r="DB88" s="15">
        <f>IF(ISNA(VLOOKUP(A88,'Données projet'!$A$139:$I$159,4,0)),0,VLOOKUP(A88,'Données projet'!$A$139:$I$159,4,0))</f>
        <v>26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37.009757173035119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37.009757173035119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-18.333333333333343</v>
      </c>
      <c r="DU88" s="59">
        <f t="shared" si="98"/>
        <v>-18.333333333333343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-18.333333333333343</v>
      </c>
      <c r="EP88" s="59">
        <f t="shared" si="100"/>
        <v>-18.333333333333343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8.2910000000000021</v>
      </c>
      <c r="FE88" s="12">
        <f>IF('Données projet'!$A$218&gt;35,FE87+FD88-FM87,IF(A88&lt;'Données projet'!$A$218,$FB$205^A88,IF(A88='Données projet'!$A$218,'Données projet'!$B$218,FE87+FD88-FM87)))</f>
        <v>272.17100000000028</v>
      </c>
      <c r="FF88" s="17">
        <f>FE88*VLOOKUP('Données projet'!$B$16,Paramètres!$A$1:$I$89,3,0)*VLOOKUP('Données projet'!$B$16,Paramètres!$A$1:$I$89,5,0)</f>
        <v>263.24379120000026</v>
      </c>
      <c r="FG88" s="13">
        <f t="shared" si="101"/>
        <v>63.413323405741842</v>
      </c>
      <c r="FH88" s="20">
        <f t="shared" si="76"/>
        <v>568.92780793833413</v>
      </c>
      <c r="FI88" s="59">
        <f t="shared" si="77"/>
        <v>841.55026866661569</v>
      </c>
      <c r="FJ88" s="59">
        <f ca="1">AVERAGE(OFFSET($FI$3,0,0,'Données projet'!$E$16+1,1))-AVERAGE(OFFSET($H$3,0,0,'Données projet'!$E$16+1,1))</f>
        <v>664.59451650228573</v>
      </c>
      <c r="FK88" s="59">
        <f t="shared" si="102"/>
        <v>304.44325029106631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28.570562117096912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28.570562117096912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-6.8212102632969618E-13</v>
      </c>
      <c r="O89" s="13">
        <f>N89*VLOOKUP('Données projet'!$B$9,Paramètres!$A$1:$I$89,3,0)*VLOOKUP('Données projet'!$B$9,Paramètres!$A$1:$I$89,5,0)</f>
        <v>-4.0790837374515837E-13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460.88622650237176</v>
      </c>
      <c r="T89" s="59">
        <f t="shared" si="88"/>
        <v>396.05161661639647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208.51832743168225</v>
      </c>
      <c r="AA89" s="21">
        <f>EXP(-LN(2)/25)*AA88+(1-EXP(-LN(2)/25))/(LN(2)/25)*Calculateur!V89*Calculateur!X89*VLOOKUP('Données projet'!$B$9,Paramètres!$A$1:$I$89,3,0)*0.475*44/12</f>
        <v>29.538106231237887</v>
      </c>
      <c r="AB89" s="21">
        <f>EXP(-LN(2)/2)*AB88+(1-EXP(-LN(2)/2))/(LN(2)/2)*V89*Y89*VLOOKUP('Données projet'!$B$9,Paramètres!$A$1:$I$89,3,0)*0.475*44/12</f>
        <v>1.284232000037379</v>
      </c>
      <c r="AC89" s="22">
        <f t="shared" si="57"/>
        <v>239.34066566295752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14.212499999999999</v>
      </c>
      <c r="AI89" s="13">
        <f>IF('Données projet'!$A$62&gt;35,AI88+AH89-AQ88,IF(A89&lt;'Données projet'!$A$62,$AF$205^A89,IF(A89='Données projet'!$A$62,'Données projet'!$B$62,AI88+AH89-AQ88)))</f>
        <v>507.4074999999998</v>
      </c>
      <c r="AJ89" s="13">
        <f>AI89*VLOOKUP('Données projet'!$B$10,Paramètres!$A$1:$I$89,3,0)*VLOOKUP('Données projet'!$B$10,Paramètres!$A$1:$I$89,5,0)</f>
        <v>237.46670999999992</v>
      </c>
      <c r="AK89" s="13">
        <f t="shared" si="89"/>
        <v>57.89414463897004</v>
      </c>
      <c r="AL89" s="20">
        <f t="shared" si="58"/>
        <v>514.42015516287267</v>
      </c>
      <c r="AM89" s="59">
        <f t="shared" si="59"/>
        <v>787.40190322827743</v>
      </c>
      <c r="AN89" s="59">
        <f ca="1">AVERAGE(OFFSET($AM$3,0,0,'Données projet'!$E$10+1,1))-AVERAGE(OFFSET($H$3,0,0,'Données projet'!$E$10+1,1))</f>
        <v>387.50901594883317</v>
      </c>
      <c r="AO89" s="59">
        <f t="shared" si="90"/>
        <v>361.3623790401972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78.961907351084577</v>
      </c>
      <c r="AV89" s="21">
        <f>EXP(-LN(2)/25)*AV88+(1-EXP(-LN(2)/25))/(LN(2)/25)*Calculateur!AQ89*Calculateur!AS89*VLOOKUP('Données projet'!$B$10,Paramètres!$A$1:$I$89,3,0)*0.475*44/12</f>
        <v>19.601822250924883</v>
      </c>
      <c r="AW89" s="21">
        <f>EXP(-LN(2)/2)*AW88+(1-EXP(-LN(2)/2))/(LN(2)/2)*AQ89*AT89*VLOOKUP('Données projet'!$B$10,Paramètres!$A$1:$I$89,3,0)*0.475*44/12</f>
        <v>0.39696723517951238</v>
      </c>
      <c r="AX89" s="21">
        <f t="shared" si="60"/>
        <v>98.960696837188976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8.2910000000000021</v>
      </c>
      <c r="BD89" s="12">
        <f>IF('Données projet'!$A$88&gt;35,BD88+BC89-BL88,IF(A89&lt;'Données projet'!$A$88,$BA$205^A89,IF(A89='Données projet'!$A$88,'Données projet'!$B$88,BD88+BC89-BL88)))</f>
        <v>280.46200000000027</v>
      </c>
      <c r="BE89" s="13">
        <f>BD89*VLOOKUP('Données projet'!$B$11,Paramètres!$A$1:$I$89,3,0)*VLOOKUP('Données projet'!$B$11,Paramètres!$A$1:$I$89,5,0)</f>
        <v>253.76201760000023</v>
      </c>
      <c r="BF89" s="13">
        <f t="shared" si="91"/>
        <v>61.390818695638195</v>
      </c>
      <c r="BG89" s="20">
        <f t="shared" si="61"/>
        <v>548.89118988157031</v>
      </c>
      <c r="BH89" s="59">
        <f t="shared" si="62"/>
        <v>821.87293794697507</v>
      </c>
      <c r="BI89" s="59">
        <f ca="1">AVERAGE(OFFSET($BH$3,0,0,'Données projet'!$E$11+1,1))-AVERAGE(OFFSET($H$3,0,0,'Données projet'!$E$11+1,1))</f>
        <v>627.65081154031589</v>
      </c>
      <c r="BJ89" s="59">
        <f t="shared" si="92"/>
        <v>288.78083487077618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26.20319399318652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26.20319399318652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8.2910000000000021</v>
      </c>
      <c r="BY89" s="12">
        <f>IF('Données projet'!$A$114&gt;35,BY88+BX89-CG88,IF(A89&lt;'Données projet'!$A$114,$BV$205^A89,IF(A89='Données projet'!$A$114,'Données projet'!$B$114,BY88+BX89-CG88)))</f>
        <v>280.46200000000027</v>
      </c>
      <c r="BZ89" s="13">
        <f>BY89*VLOOKUP('Données projet'!$B$12,Paramètres!$A$1:$I$89,3,0)*VLOOKUP('Données projet'!$B$12,Paramètres!$A$1:$I$89,5,0)</f>
        <v>284.38846800000033</v>
      </c>
      <c r="CA89" s="13">
        <f t="shared" si="93"/>
        <v>67.893577257383939</v>
      </c>
      <c r="CB89" s="20">
        <f t="shared" si="64"/>
        <v>613.55789548994426</v>
      </c>
      <c r="CC89" s="59">
        <f t="shared" si="65"/>
        <v>886.5396435553489</v>
      </c>
      <c r="CD89" s="59">
        <f ca="1">AVERAGE(OFFSET($CC$3,0,0,'Données projet'!$E$12+1,1))-AVERAGE(OFFSET($H$3,0,0,'Données projet'!$E$12+1,1))</f>
        <v>692.2706942067415</v>
      </c>
      <c r="CE89" s="59">
        <f t="shared" si="94"/>
        <v>316.17529091924803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29.365648440640062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29.365648440640062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</v>
      </c>
      <c r="CT89" s="12">
        <f>IF('Données projet'!$A$140&gt;35,CT88+CS89-DB88,IF(A89&lt;'Données projet'!$A$140,$CQ$205^A89,IF(A89='Données projet'!$A$140,'Données projet'!$B$140,CT88+CS89-DB88)))</f>
        <v>239</v>
      </c>
      <c r="CU89" s="17">
        <f>CT89*VLOOKUP('Données projet'!$B$13,Paramètres!$A$1:$I$89,3,0)*VLOOKUP('Données projet'!$B$13,Paramètres!$A$1:$I$89,5,0)</f>
        <v>227.4324</v>
      </c>
      <c r="CV89" s="13">
        <f t="shared" si="95"/>
        <v>55.72714416794178</v>
      </c>
      <c r="CW89" s="20">
        <f t="shared" si="67"/>
        <v>493.16953942583194</v>
      </c>
      <c r="CX89" s="59">
        <f t="shared" si="68"/>
        <v>766.15128749123664</v>
      </c>
      <c r="CY89" s="59">
        <f ca="1">AVERAGE(OFFSET($CX$3,0,0,'Données projet'!$E$13+1,1))-AVERAGE(OFFSET($H$3,0,0,'Données projet'!$E$13+1,1))</f>
        <v>424.5933338095914</v>
      </c>
      <c r="CZ89" s="59">
        <f t="shared" si="96"/>
        <v>159.28977188196134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36.284018408594804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36.284018408594804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-18.333333333333343</v>
      </c>
      <c r="DU89" s="59">
        <f t="shared" si="98"/>
        <v>-18.333333333333343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-18.333333333333343</v>
      </c>
      <c r="EP89" s="59">
        <f t="shared" si="100"/>
        <v>-18.333333333333343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8.2910000000000021</v>
      </c>
      <c r="FE89" s="12">
        <f>IF('Données projet'!$A$218&gt;35,FE88+FD89-FM88,IF(A89&lt;'Données projet'!$A$218,$FB$205^A89,IF(A89='Données projet'!$A$218,'Données projet'!$B$218,FE88+FD89-FM88)))</f>
        <v>280.46200000000027</v>
      </c>
      <c r="FF89" s="17">
        <f>FE89*VLOOKUP('Données projet'!$B$16,Paramètres!$A$1:$I$89,3,0)*VLOOKUP('Données projet'!$B$16,Paramètres!$A$1:$I$89,5,0)</f>
        <v>271.26284640000029</v>
      </c>
      <c r="FG89" s="13">
        <f t="shared" si="101"/>
        <v>65.117204337314064</v>
      </c>
      <c r="FH89" s="20">
        <f t="shared" si="76"/>
        <v>585.86192170082245</v>
      </c>
      <c r="FI89" s="59">
        <f t="shared" si="77"/>
        <v>858.84366976622709</v>
      </c>
      <c r="FJ89" s="59">
        <f ca="1">AVERAGE(OFFSET($FI$3,0,0,'Données projet'!$E$16+1,1))-AVERAGE(OFFSET($H$3,0,0,'Données projet'!$E$16+1,1))</f>
        <v>664.59451650228573</v>
      </c>
      <c r="FK89" s="59">
        <f t="shared" si="102"/>
        <v>304.44325029106631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28.010310820302827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28.010310820302827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-6.8212102632969618E-13</v>
      </c>
      <c r="O90" s="13">
        <f>N90*VLOOKUP('Données projet'!$B$9,Paramètres!$A$1:$I$89,3,0)*VLOOKUP('Données projet'!$B$9,Paramètres!$A$1:$I$89,5,0)</f>
        <v>-4.0790837374515837E-13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460.88622650237176</v>
      </c>
      <c r="T90" s="59">
        <f t="shared" si="88"/>
        <v>396.05161661639647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204.42941021436835</v>
      </c>
      <c r="AA90" s="21">
        <f>EXP(-LN(2)/25)*AA89+(1-EXP(-LN(2)/25))/(LN(2)/25)*Calculateur!V90*Calculateur!X90*VLOOKUP('Données projet'!$B$9,Paramètres!$A$1:$I$89,3,0)*0.475*44/12</f>
        <v>28.730385163003191</v>
      </c>
      <c r="AB90" s="21">
        <f>EXP(-LN(2)/2)*AB89+(1-EXP(-LN(2)/2))/(LN(2)/2)*V90*Y90*VLOOKUP('Données projet'!$B$9,Paramètres!$A$1:$I$89,3,0)*0.475*44/12</f>
        <v>0.90808915584319327</v>
      </c>
      <c r="AC90" s="22">
        <f t="shared" si="57"/>
        <v>234.06788453321474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521.62</v>
      </c>
      <c r="AG90" s="12">
        <f>VLOOKUP(A90,'Données projet'!$A$61:$I$81,9,0)</f>
        <v>14.212499999999999</v>
      </c>
      <c r="AH90" s="12">
        <f t="array" ref="AH90">INDEX(AG:AG,MIN(IF(ISNUMBER(AG90:AG286),ROW(AG90:AG286),"")))</f>
        <v>14.212499999999999</v>
      </c>
      <c r="AI90" s="13">
        <f>IF('Données projet'!$A$62&gt;35,AI89+AH90-AQ89,IF(A90&lt;'Données projet'!$A$62,$AF$205^A90,IF(A90='Données projet'!$A$62,'Données projet'!$B$62,AI89+AH90-AQ89)))</f>
        <v>521.61999999999978</v>
      </c>
      <c r="AJ90" s="13">
        <f>AI90*VLOOKUP('Données projet'!$B$10,Paramètres!$A$1:$I$89,3,0)*VLOOKUP('Données projet'!$B$10,Paramètres!$A$1:$I$89,5,0)</f>
        <v>244.11815999999988</v>
      </c>
      <c r="AK90" s="13">
        <f t="shared" si="89"/>
        <v>59.324693417385667</v>
      </c>
      <c r="AL90" s="20">
        <f t="shared" si="58"/>
        <v>528.49630303527977</v>
      </c>
      <c r="AM90" s="59">
        <f t="shared" si="59"/>
        <v>801.8311056057546</v>
      </c>
      <c r="AN90" s="59">
        <f ca="1">AVERAGE(OFFSET($AM$3,0,0,'Données projet'!$E$10+1,1))-AVERAGE(OFFSET($H$3,0,0,'Données projet'!$E$10+1,1))</f>
        <v>387.50901594883317</v>
      </c>
      <c r="AO90" s="59">
        <f t="shared" si="90"/>
        <v>361.3623790401972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88.62</v>
      </c>
      <c r="AR90" s="16">
        <f>IF(ISNA(VLOOKUP(A90,'Données projet'!$A$61:$I$81,5,0)),0%,VLOOKUP(A90,'Données projet'!$A$61:$I$81,5,0)*VLOOKUP('Données projet'!$B$10,Paramètres!$A$1:$I$89,7,0))</f>
        <v>0.44000000000000006</v>
      </c>
      <c r="AS90" s="16">
        <f>IF(ISNA(VLOOKUP(A90,'Données projet'!$A$61:$I$81,6,0)),0%,VLOOKUP(A90,'Données projet'!$A$61:$I$81,6,0)*VLOOKUP('Données projet'!$B$10,Paramètres!$A$1:$I$89,7,0))</f>
        <v>6.0500000000000005E-2</v>
      </c>
      <c r="AT90" s="16">
        <f>IF(ISNA(VLOOKUP(A90,'Données projet'!$A$61:$I$81,7,0)),0%,VLOOKUP(A90,'Données projet'!$A$61:$I$81,7,0))</f>
        <v>0.09</v>
      </c>
      <c r="AU90" s="21">
        <f>EXP(-LN(2)/35)*AU89+(1-EXP(-LN(2)/35))/(LN(2)/35)*AQ90*AR90*VLOOKUP('Données projet'!$B$10,Paramètres!$A$1:$I$89,3,0)*0.475*44/12</f>
        <v>101.62149695903113</v>
      </c>
      <c r="AV90" s="21">
        <f>EXP(-LN(2)/25)*AV89+(1-EXP(-LN(2)/25))/(LN(2)/25)*Calculateur!AQ90*Calculateur!AS90*VLOOKUP('Données projet'!$B$10,Paramètres!$A$1:$I$89,3,0)*0.475*44/12</f>
        <v>22.381301294331728</v>
      </c>
      <c r="AW90" s="21">
        <f>EXP(-LN(2)/2)*AW89+(1-EXP(-LN(2)/2))/(LN(2)/2)*AQ90*AT90*VLOOKUP('Données projet'!$B$10,Paramètres!$A$1:$I$89,3,0)*0.475*44/12</f>
        <v>4.5069527357345303</v>
      </c>
      <c r="AX90" s="21">
        <f t="shared" si="60"/>
        <v>128.5097509890974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8.2910000000000021</v>
      </c>
      <c r="BD90" s="12">
        <f>IF('Données projet'!$A$88&gt;35,BD89+BC90-BL89,IF(A90&lt;'Données projet'!$A$88,$BA$205^A90,IF(A90='Données projet'!$A$88,'Données projet'!$B$88,BD89+BC90-BL89)))</f>
        <v>288.75300000000027</v>
      </c>
      <c r="BE90" s="13">
        <f>BD90*VLOOKUP('Données projet'!$B$11,Paramètres!$A$1:$I$89,3,0)*VLOOKUP('Données projet'!$B$11,Paramètres!$A$1:$I$89,5,0)</f>
        <v>261.26371440000025</v>
      </c>
      <c r="BF90" s="13">
        <f t="shared" si="91"/>
        <v>62.991674736313257</v>
      </c>
      <c r="BG90" s="20">
        <f t="shared" si="61"/>
        <v>564.74480274574603</v>
      </c>
      <c r="BH90" s="59">
        <f t="shared" si="62"/>
        <v>838.07960531622086</v>
      </c>
      <c r="BI90" s="59">
        <f ca="1">AVERAGE(OFFSET($BH$3,0,0,'Données projet'!$E$11+1,1))-AVERAGE(OFFSET($H$3,0,0,'Données projet'!$E$11+1,1))</f>
        <v>627.65081154031589</v>
      </c>
      <c r="BJ90" s="59">
        <f t="shared" si="92"/>
        <v>288.78083487077618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25.689365341350342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25.689365341350342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8.2910000000000021</v>
      </c>
      <c r="BY90" s="12">
        <f>IF('Données projet'!$A$114&gt;35,BY89+BX90-CG89,IF(A90&lt;'Données projet'!$A$114,$BV$205^A90,IF(A90='Données projet'!$A$114,'Données projet'!$B$114,BY89+BX90-CG89)))</f>
        <v>288.75300000000027</v>
      </c>
      <c r="BZ90" s="13">
        <f>BY90*VLOOKUP('Données projet'!$B$12,Paramètres!$A$1:$I$89,3,0)*VLOOKUP('Données projet'!$B$12,Paramètres!$A$1:$I$89,5,0)</f>
        <v>292.7955420000003</v>
      </c>
      <c r="CA90" s="13">
        <f t="shared" si="93"/>
        <v>69.664002307656872</v>
      </c>
      <c r="CB90" s="20">
        <f t="shared" si="64"/>
        <v>631.2837063358362</v>
      </c>
      <c r="CC90" s="59">
        <f t="shared" si="65"/>
        <v>904.61850890631104</v>
      </c>
      <c r="CD90" s="59">
        <f ca="1">AVERAGE(OFFSET($CC$3,0,0,'Données projet'!$E$12+1,1))-AVERAGE(OFFSET($H$3,0,0,'Données projet'!$E$12+1,1))</f>
        <v>692.2706942067415</v>
      </c>
      <c r="CE90" s="59">
        <f t="shared" si="94"/>
        <v>316.17529091924803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28.789805985996068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28.789805985996068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</v>
      </c>
      <c r="CT90" s="12">
        <f>IF('Données projet'!$A$140&gt;35,CT89+CS90-DB89,IF(A90&lt;'Données projet'!$A$140,$CQ$205^A90,IF(A90='Données projet'!$A$140,'Données projet'!$B$140,CT89+CS90-DB89)))</f>
        <v>245</v>
      </c>
      <c r="CU90" s="17">
        <f>CT90*VLOOKUP('Données projet'!$B$13,Paramètres!$A$1:$I$89,3,0)*VLOOKUP('Données projet'!$B$13,Paramètres!$A$1:$I$89,5,0)</f>
        <v>233.142</v>
      </c>
      <c r="CV90" s="13">
        <f t="shared" si="95"/>
        <v>56.961517972595104</v>
      </c>
      <c r="CW90" s="20">
        <f t="shared" si="67"/>
        <v>505.26362713560314</v>
      </c>
      <c r="CX90" s="59">
        <f t="shared" si="68"/>
        <v>778.59842970607792</v>
      </c>
      <c r="CY90" s="59">
        <f ca="1">AVERAGE(OFFSET($CX$3,0,0,'Données projet'!$E$13+1,1))-AVERAGE(OFFSET($H$3,0,0,'Données projet'!$E$13+1,1))</f>
        <v>424.5933338095914</v>
      </c>
      <c r="CZ90" s="59">
        <f t="shared" si="96"/>
        <v>159.28977188196134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35.572510938668231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35.572510938668231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-18.333333333333343</v>
      </c>
      <c r="DU90" s="59">
        <f t="shared" si="98"/>
        <v>-18.333333333333343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-18.333333333333343</v>
      </c>
      <c r="EP90" s="59">
        <f t="shared" si="100"/>
        <v>-18.333333333333343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8.2910000000000021</v>
      </c>
      <c r="FE90" s="12">
        <f>IF('Données projet'!$A$218&gt;35,FE89+FD90-FM89,IF(A90&lt;'Données projet'!$A$218,$FB$205^A90,IF(A90='Données projet'!$A$218,'Données projet'!$B$218,FE89+FD90-FM89)))</f>
        <v>288.75300000000027</v>
      </c>
      <c r="FF90" s="17">
        <f>FE90*VLOOKUP('Données projet'!$B$16,Paramètres!$A$1:$I$89,3,0)*VLOOKUP('Données projet'!$B$16,Paramètres!$A$1:$I$89,5,0)</f>
        <v>279.28190160000025</v>
      </c>
      <c r="FG90" s="13">
        <f t="shared" si="101"/>
        <v>66.815231373442643</v>
      </c>
      <c r="FH90" s="20">
        <f t="shared" si="76"/>
        <v>602.78583992874633</v>
      </c>
      <c r="FI90" s="59">
        <f t="shared" si="77"/>
        <v>876.12064249922116</v>
      </c>
      <c r="FJ90" s="59">
        <f ca="1">AVERAGE(OFFSET($FI$3,0,0,'Données projet'!$E$16+1,1))-AVERAGE(OFFSET($H$3,0,0,'Données projet'!$E$16+1,1))</f>
        <v>664.59451650228573</v>
      </c>
      <c r="FK90" s="59">
        <f t="shared" si="102"/>
        <v>304.44325029106631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27.461045709719325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27.461045709719325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-6.8212102632969618E-13</v>
      </c>
      <c r="O91" s="13">
        <f>N91*VLOOKUP('Données projet'!$B$9,Paramètres!$A$1:$I$89,3,0)*VLOOKUP('Données projet'!$B$9,Paramètres!$A$1:$I$89,5,0)</f>
        <v>-4.0790837374515837E-13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460.88622650237176</v>
      </c>
      <c r="T91" s="59">
        <f t="shared" si="88"/>
        <v>396.05161661639647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200.42067416969275</v>
      </c>
      <c r="AA91" s="21">
        <f>EXP(-LN(2)/25)*AA90+(1-EXP(-LN(2)/25))/(LN(2)/25)*Calculateur!V91*Calculateur!X91*VLOOKUP('Données projet'!$B$9,Paramètres!$A$1:$I$89,3,0)*0.475*44/12</f>
        <v>27.944751269855576</v>
      </c>
      <c r="AB91" s="21">
        <f>EXP(-LN(2)/2)*AB90+(1-EXP(-LN(2)/2))/(LN(2)/2)*V91*Y91*VLOOKUP('Données projet'!$B$9,Paramètres!$A$1:$I$89,3,0)*0.475*44/12</f>
        <v>0.64211600001868951</v>
      </c>
      <c r="AC91" s="22">
        <f t="shared" si="57"/>
        <v>229.00754143956701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13.159999999999997</v>
      </c>
      <c r="AI91" s="13">
        <f>IF('Données projet'!$A$62&gt;35,AI90+AH91-AQ90,IF(A91&lt;'Données projet'!$A$62,$AF$205^A91,IF(A91='Données projet'!$A$62,'Données projet'!$B$62,AI90+AH91-AQ90)))</f>
        <v>446.15999999999974</v>
      </c>
      <c r="AJ91" s="13">
        <f>AI91*VLOOKUP('Données projet'!$B$10,Paramètres!$A$1:$I$89,3,0)*VLOOKUP('Données projet'!$B$10,Paramètres!$A$1:$I$89,5,0)</f>
        <v>208.80287999999987</v>
      </c>
      <c r="AK91" s="13">
        <f t="shared" si="89"/>
        <v>51.67389788236224</v>
      </c>
      <c r="AL91" s="20">
        <f t="shared" si="58"/>
        <v>453.66372147844731</v>
      </c>
      <c r="AM91" s="59">
        <f t="shared" si="59"/>
        <v>727.34545384764101</v>
      </c>
      <c r="AN91" s="59">
        <f ca="1">AVERAGE(OFFSET($AM$3,0,0,'Données projet'!$E$10+1,1))-AVERAGE(OFFSET($H$3,0,0,'Données projet'!$E$10+1,1))</f>
        <v>387.50901594883317</v>
      </c>
      <c r="AO91" s="59">
        <f t="shared" si="90"/>
        <v>361.3623790401972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99.628761386657359</v>
      </c>
      <c r="AV91" s="21">
        <f>EXP(-LN(2)/25)*AV90+(1-EXP(-LN(2)/25))/(LN(2)/25)*Calculateur!AQ91*Calculateur!AS91*VLOOKUP('Données projet'!$B$10,Paramètres!$A$1:$I$89,3,0)*0.475*44/12</f>
        <v>21.769283433456746</v>
      </c>
      <c r="AW91" s="21">
        <f>EXP(-LN(2)/2)*AW90+(1-EXP(-LN(2)/2))/(LN(2)/2)*AQ91*AT91*VLOOKUP('Données projet'!$B$10,Paramètres!$A$1:$I$89,3,0)*0.475*44/12</f>
        <v>3.1868968419251487</v>
      </c>
      <c r="AX91" s="21">
        <f t="shared" si="60"/>
        <v>124.58494166203926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8.2910000000000021</v>
      </c>
      <c r="BD91" s="12">
        <f>IF('Données projet'!$A$88&gt;35,BD90+BC91-BL90,IF(A91&lt;'Données projet'!$A$88,$BA$205^A91,IF(A91='Données projet'!$A$88,'Données projet'!$B$88,BD90+BC91-BL90)))</f>
        <v>297.04400000000027</v>
      </c>
      <c r="BE91" s="13">
        <f>BD91*VLOOKUP('Données projet'!$B$11,Paramètres!$A$1:$I$89,3,0)*VLOOKUP('Données projet'!$B$11,Paramètres!$A$1:$I$89,5,0)</f>
        <v>268.76541120000024</v>
      </c>
      <c r="BF91" s="13">
        <f t="shared" si="91"/>
        <v>64.587188539623412</v>
      </c>
      <c r="BG91" s="20">
        <f t="shared" si="61"/>
        <v>580.58911121317794</v>
      </c>
      <c r="BH91" s="59">
        <f t="shared" si="62"/>
        <v>854.27084358237164</v>
      </c>
      <c r="BI91" s="59">
        <f ca="1">AVERAGE(OFFSET($BH$3,0,0,'Données projet'!$E$11+1,1))-AVERAGE(OFFSET($H$3,0,0,'Données projet'!$E$11+1,1))</f>
        <v>627.65081154031589</v>
      </c>
      <c r="BJ91" s="59">
        <f t="shared" si="92"/>
        <v>288.78083487077618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25.185612555972138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25.185612555972138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8.2910000000000021</v>
      </c>
      <c r="BY91" s="12">
        <f>IF('Données projet'!$A$114&gt;35,BY90+BX91-CG90,IF(A91&lt;'Données projet'!$A$114,$BV$205^A91,IF(A91='Données projet'!$A$114,'Données projet'!$B$114,BY90+BX91-CG90)))</f>
        <v>297.04400000000027</v>
      </c>
      <c r="BZ91" s="13">
        <f>BY91*VLOOKUP('Données projet'!$B$12,Paramètres!$A$1:$I$89,3,0)*VLOOKUP('Données projet'!$B$12,Paramètres!$A$1:$I$89,5,0)</f>
        <v>301.20261600000032</v>
      </c>
      <c r="CA91" s="13">
        <f t="shared" si="93"/>
        <v>71.428519249633297</v>
      </c>
      <c r="CB91" s="20">
        <f t="shared" si="64"/>
        <v>648.99922722644521</v>
      </c>
      <c r="CC91" s="59">
        <f t="shared" si="65"/>
        <v>922.68095959563891</v>
      </c>
      <c r="CD91" s="59">
        <f ca="1">AVERAGE(OFFSET($CC$3,0,0,'Données projet'!$E$12+1,1))-AVERAGE(OFFSET($H$3,0,0,'Données projet'!$E$12+1,1))</f>
        <v>692.2706942067415</v>
      </c>
      <c r="CE91" s="59">
        <f t="shared" si="94"/>
        <v>316.17529091924803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28.225255450658427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28.225255450658427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</v>
      </c>
      <c r="CT91" s="12">
        <f>IF('Données projet'!$A$140&gt;35,CT90+CS91-DB90,IF(A91&lt;'Données projet'!$A$140,$CQ$205^A91,IF(A91='Données projet'!$A$140,'Données projet'!$B$140,CT90+CS91-DB90)))</f>
        <v>251</v>
      </c>
      <c r="CU91" s="17">
        <f>CT91*VLOOKUP('Données projet'!$B$13,Paramètres!$A$1:$I$89,3,0)*VLOOKUP('Données projet'!$B$13,Paramètres!$A$1:$I$89,5,0)</f>
        <v>238.85159999999999</v>
      </c>
      <c r="CV91" s="13">
        <f t="shared" si="95"/>
        <v>58.192377695429009</v>
      </c>
      <c r="CW91" s="20">
        <f t="shared" si="67"/>
        <v>517.3515944862055</v>
      </c>
      <c r="CX91" s="59">
        <f t="shared" si="68"/>
        <v>791.0333268553992</v>
      </c>
      <c r="CY91" s="59">
        <f ca="1">AVERAGE(OFFSET($CX$3,0,0,'Données projet'!$E$13+1,1))-AVERAGE(OFFSET($H$3,0,0,'Données projet'!$E$13+1,1))</f>
        <v>424.5933338095914</v>
      </c>
      <c r="CZ91" s="59">
        <f t="shared" si="96"/>
        <v>159.28977188196134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34.874955696250211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34.874955696250211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-18.333333333333343</v>
      </c>
      <c r="DU91" s="59">
        <f t="shared" si="98"/>
        <v>-18.333333333333343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-18.333333333333343</v>
      </c>
      <c r="EP91" s="59">
        <f t="shared" si="100"/>
        <v>-18.333333333333343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8.2910000000000021</v>
      </c>
      <c r="FE91" s="12">
        <f>IF('Données projet'!$A$218&gt;35,FE90+FD91-FM90,IF(A91&lt;'Données projet'!$A$218,$FB$205^A91,IF(A91='Données projet'!$A$218,'Données projet'!$B$218,FE90+FD91-FM90)))</f>
        <v>297.04400000000027</v>
      </c>
      <c r="FF91" s="17">
        <f>FE91*VLOOKUP('Données projet'!$B$16,Paramètres!$A$1:$I$89,3,0)*VLOOKUP('Données projet'!$B$16,Paramètres!$A$1:$I$89,5,0)</f>
        <v>287.30095680000028</v>
      </c>
      <c r="FG91" s="13">
        <f t="shared" si="101"/>
        <v>68.507591901622632</v>
      </c>
      <c r="FH91" s="20">
        <f t="shared" si="76"/>
        <v>619.69988898865984</v>
      </c>
      <c r="FI91" s="59">
        <f t="shared" si="77"/>
        <v>893.38162135785353</v>
      </c>
      <c r="FJ91" s="59">
        <f ca="1">AVERAGE(OFFSET($FI$3,0,0,'Données projet'!$E$16+1,1))-AVERAGE(OFFSET($H$3,0,0,'Données projet'!$E$16+1,1))</f>
        <v>664.59451650228573</v>
      </c>
      <c r="FK91" s="59">
        <f t="shared" si="102"/>
        <v>304.44325029106631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26.922551352935727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26.922551352935727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-6.8212102632969618E-13</v>
      </c>
      <c r="O92" s="13">
        <f>N92*VLOOKUP('Données projet'!$B$9,Paramètres!$A$1:$I$89,3,0)*VLOOKUP('Données projet'!$B$9,Paramètres!$A$1:$I$89,5,0)</f>
        <v>-4.0790837374515837E-13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460.88622650237176</v>
      </c>
      <c r="T92" s="59">
        <f t="shared" si="88"/>
        <v>396.05161661639647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196.49054699376566</v>
      </c>
      <c r="AA92" s="21">
        <f>EXP(-LN(2)/25)*AA91+(1-EXP(-LN(2)/25))/(LN(2)/25)*Calculateur!V92*Calculateur!X92*VLOOKUP('Données projet'!$B$9,Paramètres!$A$1:$I$89,3,0)*0.475*44/12</f>
        <v>27.180600576830773</v>
      </c>
      <c r="AB92" s="21">
        <f>EXP(-LN(2)/2)*AB91+(1-EXP(-LN(2)/2))/(LN(2)/2)*V92*Y92*VLOOKUP('Données projet'!$B$9,Paramètres!$A$1:$I$89,3,0)*0.475*44/12</f>
        <v>0.45404457792159664</v>
      </c>
      <c r="AC92" s="22">
        <f t="shared" si="57"/>
        <v>224.12519214851804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13.159999999999997</v>
      </c>
      <c r="AI92" s="13">
        <f>IF('Données projet'!$A$62&gt;35,AI91+AH92-AQ91,IF(A92&lt;'Données projet'!$A$62,$AF$205^A92,IF(A92='Données projet'!$A$62,'Données projet'!$B$62,AI91+AH92-AQ91)))</f>
        <v>459.31999999999971</v>
      </c>
      <c r="AJ92" s="13">
        <f>AI92*VLOOKUP('Données projet'!$B$10,Paramètres!$A$1:$I$89,3,0)*VLOOKUP('Données projet'!$B$10,Paramètres!$A$1:$I$89,5,0)</f>
        <v>214.96175999999986</v>
      </c>
      <c r="AK92" s="13">
        <f t="shared" si="89"/>
        <v>53.018377045952029</v>
      </c>
      <c r="AL92" s="20">
        <f t="shared" si="58"/>
        <v>466.73207202169948</v>
      </c>
      <c r="AM92" s="59">
        <f t="shared" si="59"/>
        <v>740.75471573322307</v>
      </c>
      <c r="AN92" s="59">
        <f ca="1">AVERAGE(OFFSET($AM$3,0,0,'Données projet'!$E$10+1,1))-AVERAGE(OFFSET($H$3,0,0,'Données projet'!$E$10+1,1))</f>
        <v>387.50901594883317</v>
      </c>
      <c r="AO92" s="59">
        <f t="shared" si="90"/>
        <v>361.3623790401972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97.675102143409163</v>
      </c>
      <c r="AV92" s="21">
        <f>EXP(-LN(2)/25)*AV91+(1-EXP(-LN(2)/25))/(LN(2)/25)*Calculateur!AQ92*Calculateur!AS92*VLOOKUP('Données projet'!$B$10,Paramètres!$A$1:$I$89,3,0)*0.475*44/12</f>
        <v>21.17400123317201</v>
      </c>
      <c r="AW92" s="21">
        <f>EXP(-LN(2)/2)*AW91+(1-EXP(-LN(2)/2))/(LN(2)/2)*AQ92*AT92*VLOOKUP('Données projet'!$B$10,Paramètres!$A$1:$I$89,3,0)*0.475*44/12</f>
        <v>2.2534763678672656</v>
      </c>
      <c r="AX92" s="21">
        <f t="shared" si="60"/>
        <v>121.10257974444843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8.2910000000000021</v>
      </c>
      <c r="BD92" s="12">
        <f>IF('Données projet'!$A$88&gt;35,BD91+BC92-BL91,IF(A92&lt;'Données projet'!$A$88,$BA$205^A92,IF(A92='Données projet'!$A$88,'Données projet'!$B$88,BD91+BC92-BL91)))</f>
        <v>305.33500000000026</v>
      </c>
      <c r="BE92" s="13">
        <f>BD92*VLOOKUP('Données projet'!$B$11,Paramètres!$A$1:$I$89,3,0)*VLOOKUP('Données projet'!$B$11,Paramètres!$A$1:$I$89,5,0)</f>
        <v>276.26710800000023</v>
      </c>
      <c r="BF92" s="13">
        <f t="shared" si="91"/>
        <v>66.177526346547864</v>
      </c>
      <c r="BG92" s="20">
        <f t="shared" si="61"/>
        <v>596.42440482023801</v>
      </c>
      <c r="BH92" s="59">
        <f t="shared" si="62"/>
        <v>870.44704853176154</v>
      </c>
      <c r="BI92" s="59">
        <f ca="1">AVERAGE(OFFSET($BH$3,0,0,'Données projet'!$E$11+1,1))-AVERAGE(OFFSET($H$3,0,0,'Données projet'!$E$11+1,1))</f>
        <v>627.65081154031589</v>
      </c>
      <c r="BJ92" s="59">
        <f t="shared" si="92"/>
        <v>288.78083487077618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24.691738055456341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24.691738055456341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8.2910000000000021</v>
      </c>
      <c r="BY92" s="12">
        <f>IF('Données projet'!$A$114&gt;35,BY91+BX92-CG91,IF(A92&lt;'Données projet'!$A$114,$BV$205^A92,IF(A92='Données projet'!$A$114,'Données projet'!$B$114,BY91+BX92-CG91)))</f>
        <v>305.33500000000026</v>
      </c>
      <c r="BZ92" s="13">
        <f>BY92*VLOOKUP('Données projet'!$B$12,Paramètres!$A$1:$I$89,3,0)*VLOOKUP('Données projet'!$B$12,Paramètres!$A$1:$I$89,5,0)</f>
        <v>309.60969000000028</v>
      </c>
      <c r="CA92" s="13">
        <f t="shared" si="93"/>
        <v>73.187311933195204</v>
      </c>
      <c r="CB92" s="20">
        <f t="shared" si="64"/>
        <v>666.70477836698205</v>
      </c>
      <c r="CC92" s="59">
        <f t="shared" si="65"/>
        <v>940.7274220785057</v>
      </c>
      <c r="CD92" s="59">
        <f ca="1">AVERAGE(OFFSET($CC$3,0,0,'Données projet'!$E$12+1,1))-AVERAGE(OFFSET($H$3,0,0,'Données projet'!$E$12+1,1))</f>
        <v>692.2706942067415</v>
      </c>
      <c r="CE92" s="59">
        <f t="shared" si="94"/>
        <v>316.17529091924803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27.671775406976931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27.671775406976931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</v>
      </c>
      <c r="CT92" s="12">
        <f>IF('Données projet'!$A$140&gt;35,CT91+CS92-DB91,IF(A92&lt;'Données projet'!$A$140,$CQ$205^A92,IF(A92='Données projet'!$A$140,'Données projet'!$B$140,CT91+CS92-DB91)))</f>
        <v>257</v>
      </c>
      <c r="CU92" s="17">
        <f>CT92*VLOOKUP('Données projet'!$B$13,Paramètres!$A$1:$I$89,3,0)*VLOOKUP('Données projet'!$B$13,Paramètres!$A$1:$I$89,5,0)</f>
        <v>244.56120000000001</v>
      </c>
      <c r="CV92" s="13">
        <f t="shared" si="95"/>
        <v>59.419817003915306</v>
      </c>
      <c r="CW92" s="20">
        <f t="shared" si="67"/>
        <v>529.4336046151526</v>
      </c>
      <c r="CX92" s="59">
        <f t="shared" si="68"/>
        <v>803.45624832667613</v>
      </c>
      <c r="CY92" s="59">
        <f ca="1">AVERAGE(OFFSET($CX$3,0,0,'Données projet'!$E$13+1,1))-AVERAGE(OFFSET($H$3,0,0,'Données projet'!$E$13+1,1))</f>
        <v>424.5933338095914</v>
      </c>
      <c r="CZ92" s="59">
        <f t="shared" si="96"/>
        <v>159.28977188196134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34.191079086669319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34.191079086669319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-18.333333333333343</v>
      </c>
      <c r="DU92" s="59">
        <f t="shared" si="98"/>
        <v>-18.333333333333343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-18.333333333333343</v>
      </c>
      <c r="EP92" s="59">
        <f t="shared" si="100"/>
        <v>-18.333333333333343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8.2910000000000021</v>
      </c>
      <c r="FE92" s="12">
        <f>IF('Données projet'!$A$218&gt;35,FE91+FD92-FM91,IF(A92&lt;'Données projet'!$A$218,$FB$205^A92,IF(A92='Données projet'!$A$218,'Données projet'!$B$218,FE91+FD92-FM91)))</f>
        <v>305.33500000000026</v>
      </c>
      <c r="FF92" s="17">
        <f>FE92*VLOOKUP('Données projet'!$B$16,Paramètres!$A$1:$I$89,3,0)*VLOOKUP('Données projet'!$B$16,Paramètres!$A$1:$I$89,5,0)</f>
        <v>295.32001200000025</v>
      </c>
      <c r="FG92" s="13">
        <f t="shared" si="101"/>
        <v>70.194462253560403</v>
      </c>
      <c r="FH92" s="20">
        <f t="shared" si="76"/>
        <v>636.60437599161821</v>
      </c>
      <c r="FI92" s="59">
        <f t="shared" si="77"/>
        <v>910.62701970314174</v>
      </c>
      <c r="FJ92" s="59">
        <f ca="1">AVERAGE(OFFSET($FI$3,0,0,'Données projet'!$E$16+1,1))-AVERAGE(OFFSET($H$3,0,0,'Données projet'!$E$16+1,1))</f>
        <v>664.59451650228573</v>
      </c>
      <c r="FK92" s="59">
        <f t="shared" si="102"/>
        <v>304.44325029106631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26.394616542039529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26.394616542039529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-6.8212102632969618E-13</v>
      </c>
      <c r="O93" s="13">
        <f>N93*VLOOKUP('Données projet'!$B$9,Paramètres!$A$1:$I$89,3,0)*VLOOKUP('Données projet'!$B$9,Paramètres!$A$1:$I$89,5,0)</f>
        <v>-4.0790837374515837E-13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460.88622650237176</v>
      </c>
      <c r="T93" s="59">
        <f t="shared" si="88"/>
        <v>396.05161661639647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192.63748721461764</v>
      </c>
      <c r="AA93" s="21">
        <f>EXP(-LN(2)/25)*AA92+(1-EXP(-LN(2)/25))/(LN(2)/25)*Calculateur!V93*Calculateur!X93*VLOOKUP('Données projet'!$B$9,Paramètres!$A$1:$I$89,3,0)*0.475*44/12</f>
        <v>26.437345624691673</v>
      </c>
      <c r="AB93" s="21">
        <f>EXP(-LN(2)/2)*AB92+(1-EXP(-LN(2)/2))/(LN(2)/2)*V93*Y93*VLOOKUP('Données projet'!$B$9,Paramètres!$A$1:$I$89,3,0)*0.475*44/12</f>
        <v>0.32105800000934476</v>
      </c>
      <c r="AC93" s="22">
        <f t="shared" si="57"/>
        <v>219.39589083931864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13.159999999999997</v>
      </c>
      <c r="AI93" s="13">
        <f>IF('Données projet'!$A$62&gt;35,AI92+AH93-AQ92,IF(A93&lt;'Données projet'!$A$62,$AF$205^A93,IF(A93='Données projet'!$A$62,'Données projet'!$B$62,AI92+AH93-AQ92)))</f>
        <v>472.47999999999968</v>
      </c>
      <c r="AJ93" s="13">
        <f>AI93*VLOOKUP('Données projet'!$B$10,Paramètres!$A$1:$I$89,3,0)*VLOOKUP('Données projet'!$B$10,Paramètres!$A$1:$I$89,5,0)</f>
        <v>221.12063999999984</v>
      </c>
      <c r="AK93" s="13">
        <f t="shared" si="89"/>
        <v>54.35837921673749</v>
      </c>
      <c r="AL93" s="20">
        <f t="shared" si="58"/>
        <v>479.79262513581756</v>
      </c>
      <c r="AM93" s="59">
        <f t="shared" si="59"/>
        <v>754.15026614004523</v>
      </c>
      <c r="AN93" s="59">
        <f ca="1">AVERAGE(OFFSET($AM$3,0,0,'Données projet'!$E$10+1,1))-AVERAGE(OFFSET($H$3,0,0,'Données projet'!$E$10+1,1))</f>
        <v>387.50901594883317</v>
      </c>
      <c r="AO93" s="59">
        <f t="shared" si="90"/>
        <v>361.3623790401972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95.759752966306579</v>
      </c>
      <c r="AV93" s="21">
        <f>EXP(-LN(2)/25)*AV92+(1-EXP(-LN(2)/25))/(LN(2)/25)*Calculateur!AQ93*Calculateur!AS93*VLOOKUP('Données projet'!$B$10,Paramètres!$A$1:$I$89,3,0)*0.475*44/12</f>
        <v>20.59499705595859</v>
      </c>
      <c r="AW93" s="21">
        <f>EXP(-LN(2)/2)*AW92+(1-EXP(-LN(2)/2))/(LN(2)/2)*AQ93*AT93*VLOOKUP('Données projet'!$B$10,Paramètres!$A$1:$I$89,3,0)*0.475*44/12</f>
        <v>1.5934484209625746</v>
      </c>
      <c r="AX93" s="21">
        <f t="shared" si="60"/>
        <v>117.94819844322774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8.2910000000000021</v>
      </c>
      <c r="BD93" s="12">
        <f>IF('Données projet'!$A$88&gt;35,BD92+BC93-BL92,IF(A93&lt;'Données projet'!$A$88,$BA$205^A93,IF(A93='Données projet'!$A$88,'Données projet'!$B$88,BD92+BC93-BL92)))</f>
        <v>313.62600000000026</v>
      </c>
      <c r="BE93" s="13">
        <f>BD93*VLOOKUP('Données projet'!$B$11,Paramètres!$A$1:$I$89,3,0)*VLOOKUP('Données projet'!$B$11,Paramètres!$A$1:$I$89,5,0)</f>
        <v>283.76880480000023</v>
      </c>
      <c r="BF93" s="13">
        <f t="shared" si="91"/>
        <v>67.762844856024827</v>
      </c>
      <c r="BG93" s="20">
        <f t="shared" si="61"/>
        <v>612.2509564842436</v>
      </c>
      <c r="BH93" s="59">
        <f t="shared" si="62"/>
        <v>886.60859748847133</v>
      </c>
      <c r="BI93" s="59">
        <f ca="1">AVERAGE(OFFSET($BH$3,0,0,'Données projet'!$E$11+1,1))-AVERAGE(OFFSET($H$3,0,0,'Données projet'!$E$11+1,1))</f>
        <v>627.65081154031589</v>
      </c>
      <c r="BJ93" s="59">
        <f t="shared" si="92"/>
        <v>288.78083487077618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24.207548132661959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24.207548132661959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8.2910000000000021</v>
      </c>
      <c r="BY93" s="12">
        <f>IF('Données projet'!$A$114&gt;35,BY92+BX93-CG92,IF(A93&lt;'Données projet'!$A$114,$BV$205^A93,IF(A93='Données projet'!$A$114,'Données projet'!$B$114,BY92+BX93-CG92)))</f>
        <v>313.62600000000026</v>
      </c>
      <c r="BZ93" s="13">
        <f>BY93*VLOOKUP('Données projet'!$B$12,Paramètres!$A$1:$I$89,3,0)*VLOOKUP('Données projet'!$B$12,Paramètres!$A$1:$I$89,5,0)</f>
        <v>318.01676400000025</v>
      </c>
      <c r="CA93" s="13">
        <f t="shared" si="93"/>
        <v>74.940553655452632</v>
      </c>
      <c r="CB93" s="20">
        <f t="shared" si="64"/>
        <v>684.40066158324714</v>
      </c>
      <c r="CC93" s="59">
        <f t="shared" si="65"/>
        <v>958.75830258747487</v>
      </c>
      <c r="CD93" s="59">
        <f ca="1">AVERAGE(OFFSET($CC$3,0,0,'Données projet'!$E$12+1,1))-AVERAGE(OFFSET($H$3,0,0,'Données projet'!$E$12+1,1))</f>
        <v>692.2706942067415</v>
      </c>
      <c r="CE93" s="59">
        <f t="shared" si="94"/>
        <v>316.17529091924803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27.129148769362537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27.129148769362537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263</v>
      </c>
      <c r="CR93" s="12">
        <f>VLOOKUP(A93,'Données projet'!$A$139:$I$159,9,0)</f>
        <v>6</v>
      </c>
      <c r="CS93" s="12">
        <f t="array" ref="CS93">INDEX(CR:CR,MIN(IF(ISNUMBER(CR93:CR289),ROW(CR93:CR289),"")))</f>
        <v>6</v>
      </c>
      <c r="CT93" s="12">
        <f>IF('Données projet'!$A$140&gt;35,CT92+CS93-DB92,IF(A93&lt;'Données projet'!$A$140,$CQ$205^A93,IF(A93='Données projet'!$A$140,'Données projet'!$B$140,CT92+CS93-DB92)))</f>
        <v>263</v>
      </c>
      <c r="CU93" s="17">
        <f>CT93*VLOOKUP('Données projet'!$B$13,Paramètres!$A$1:$I$89,3,0)*VLOOKUP('Données projet'!$B$13,Paramètres!$A$1:$I$89,5,0)</f>
        <v>250.27080000000001</v>
      </c>
      <c r="CV93" s="13">
        <f t="shared" si="95"/>
        <v>60.643924942423787</v>
      </c>
      <c r="CW93" s="20">
        <f t="shared" si="67"/>
        <v>541.50981260805463</v>
      </c>
      <c r="CX93" s="59">
        <f t="shared" si="68"/>
        <v>815.86745361228236</v>
      </c>
      <c r="CY93" s="59">
        <f ca="1">AVERAGE(OFFSET($CX$3,0,0,'Données projet'!$E$13+1,1))-AVERAGE(OFFSET($H$3,0,0,'Données projet'!$E$13+1,1))</f>
        <v>424.5933338095914</v>
      </c>
      <c r="CZ93" s="59">
        <f t="shared" si="96"/>
        <v>159.28977188196134</v>
      </c>
      <c r="DA93" s="15">
        <f>IF(ISNA(VLOOKUP(A93,'Données projet'!$A$139:$I$159,3,0)),0,VLOOKUP(A93,'Données projet'!$A$139:$I$159,3,0))</f>
        <v>12</v>
      </c>
      <c r="DB93" s="15">
        <f>IF(ISNA(VLOOKUP(A93,'Données projet'!$A$139:$I$159,4,0)),0,VLOOKUP(A93,'Données projet'!$A$139:$I$159,4,0))</f>
        <v>26</v>
      </c>
      <c r="DC93" s="16">
        <f>IF(ISNA(VLOOKUP(A93,'Données projet'!$A$139:$I$159,5,0)),0%,VLOOKUP(A93,'Données projet'!$A$139:$I$159,5,0)*VLOOKUP('Données projet'!$B$13,Paramètres!$A$1:$I$89,7,0))</f>
        <v>0.25800000000000001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40.577198213379901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40.577198213379901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-18.333333333333343</v>
      </c>
      <c r="DU93" s="59">
        <f t="shared" si="98"/>
        <v>-18.333333333333343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-18.333333333333343</v>
      </c>
      <c r="EP93" s="59">
        <f t="shared" si="100"/>
        <v>-18.333333333333343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8.2910000000000021</v>
      </c>
      <c r="FE93" s="12">
        <f>IF('Données projet'!$A$218&gt;35,FE92+FD93-FM92,IF(A93&lt;'Données projet'!$A$218,$FB$205^A93,IF(A93='Données projet'!$A$218,'Données projet'!$B$218,FE92+FD93-FM92)))</f>
        <v>313.62600000000026</v>
      </c>
      <c r="FF93" s="17">
        <f>FE93*VLOOKUP('Données projet'!$B$16,Paramètres!$A$1:$I$89,3,0)*VLOOKUP('Données projet'!$B$16,Paramètres!$A$1:$I$89,5,0)</f>
        <v>303.33906720000027</v>
      </c>
      <c r="FG93" s="13">
        <f t="shared" si="101"/>
        <v>71.876008639724958</v>
      </c>
      <c r="FH93" s="20">
        <f t="shared" si="76"/>
        <v>653.4995904208547</v>
      </c>
      <c r="FI93" s="59">
        <f t="shared" si="77"/>
        <v>927.85723142508232</v>
      </c>
      <c r="FJ93" s="59">
        <f ca="1">AVERAGE(OFFSET($FI$3,0,0,'Données projet'!$E$16+1,1))-AVERAGE(OFFSET($H$3,0,0,'Données projet'!$E$16+1,1))</f>
        <v>664.59451650228573</v>
      </c>
      <c r="FK93" s="59">
        <f t="shared" si="102"/>
        <v>304.44325029106631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25.877034210776568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25.877034210776568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-6.8212102632969618E-13</v>
      </c>
      <c r="O94" s="13">
        <f>N94*VLOOKUP('Données projet'!$B$9,Paramètres!$A$1:$I$89,3,0)*VLOOKUP('Données projet'!$B$9,Paramètres!$A$1:$I$89,5,0)</f>
        <v>-4.0790837374515837E-13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460.88622650237176</v>
      </c>
      <c r="T94" s="59">
        <f t="shared" si="88"/>
        <v>396.05161661639647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188.85998358760429</v>
      </c>
      <c r="AA94" s="21">
        <f>EXP(-LN(2)/25)*AA93+(1-EXP(-LN(2)/25))/(LN(2)/25)*Calculateur!V94*Calculateur!X94*VLOOKUP('Données projet'!$B$9,Paramètres!$A$1:$I$89,3,0)*0.475*44/12</f>
        <v>25.714415018304898</v>
      </c>
      <c r="AB94" s="21">
        <f>EXP(-LN(2)/2)*AB93+(1-EXP(-LN(2)/2))/(LN(2)/2)*V94*Y94*VLOOKUP('Données projet'!$B$9,Paramètres!$A$1:$I$89,3,0)*0.475*44/12</f>
        <v>0.22702228896079832</v>
      </c>
      <c r="AC94" s="22">
        <f t="shared" si="57"/>
        <v>214.80142089486998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13.159999999999997</v>
      </c>
      <c r="AI94" s="13">
        <f>IF('Données projet'!$A$62&gt;35,AI93+AH94-AQ93,IF(A94&lt;'Données projet'!$A$62,$AF$205^A94,IF(A94='Données projet'!$A$62,'Données projet'!$B$62,AI93+AH94-AQ93)))</f>
        <v>485.63999999999965</v>
      </c>
      <c r="AJ94" s="13">
        <f>AI94*VLOOKUP('Données projet'!$B$10,Paramètres!$A$1:$I$89,3,0)*VLOOKUP('Données projet'!$B$10,Paramètres!$A$1:$I$89,5,0)</f>
        <v>227.27951999999982</v>
      </c>
      <c r="AK94" s="13">
        <f t="shared" si="89"/>
        <v>55.694043418351256</v>
      </c>
      <c r="AL94" s="20">
        <f t="shared" si="58"/>
        <v>492.84562295362815</v>
      </c>
      <c r="AM94" s="59">
        <f t="shared" si="59"/>
        <v>767.5324497964732</v>
      </c>
      <c r="AN94" s="59">
        <f ca="1">AVERAGE(OFFSET($AM$3,0,0,'Données projet'!$E$10+1,1))-AVERAGE(OFFSET($H$3,0,0,'Données projet'!$E$10+1,1))</f>
        <v>387.50901594883317</v>
      </c>
      <c r="AO94" s="59">
        <f t="shared" si="90"/>
        <v>361.3623790401972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93.881962618319335</v>
      </c>
      <c r="AV94" s="21">
        <f>EXP(-LN(2)/25)*AV93+(1-EXP(-LN(2)/25))/(LN(2)/25)*Calculateur!AQ94*Calculateur!AS94*VLOOKUP('Données projet'!$B$10,Paramètres!$A$1:$I$89,3,0)*0.475*44/12</f>
        <v>20.031825778419577</v>
      </c>
      <c r="AW94" s="21">
        <f>EXP(-LN(2)/2)*AW93+(1-EXP(-LN(2)/2))/(LN(2)/2)*AQ94*AT94*VLOOKUP('Données projet'!$B$10,Paramètres!$A$1:$I$89,3,0)*0.475*44/12</f>
        <v>1.126738183933633</v>
      </c>
      <c r="AX94" s="21">
        <f t="shared" si="60"/>
        <v>115.04052658067255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8.2910000000000021</v>
      </c>
      <c r="BD94" s="12">
        <f>IF('Données projet'!$A$88&gt;35,BD93+BC94-BL93,IF(A94&lt;'Données projet'!$A$88,$BA$205^A94,IF(A94='Données projet'!$A$88,'Données projet'!$B$88,BD93+BC94-BL93)))</f>
        <v>321.91700000000026</v>
      </c>
      <c r="BE94" s="13">
        <f>BD94*VLOOKUP('Données projet'!$B$11,Paramètres!$A$1:$I$89,3,0)*VLOOKUP('Données projet'!$B$11,Paramètres!$A$1:$I$89,5,0)</f>
        <v>291.27050160000022</v>
      </c>
      <c r="BF94" s="13">
        <f t="shared" si="91"/>
        <v>69.343292010233441</v>
      </c>
      <c r="BG94" s="20">
        <f t="shared" si="61"/>
        <v>628.0690238711569</v>
      </c>
      <c r="BH94" s="59">
        <f t="shared" si="62"/>
        <v>902.75585071400201</v>
      </c>
      <c r="BI94" s="59">
        <f ca="1">AVERAGE(OFFSET($BH$3,0,0,'Données projet'!$E$11+1,1))-AVERAGE(OFFSET($H$3,0,0,'Données projet'!$E$11+1,1))</f>
        <v>627.65081154031589</v>
      </c>
      <c r="BJ94" s="59">
        <f t="shared" si="92"/>
        <v>288.78083487077618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23.732852878926881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23.732852878926881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8.2910000000000021</v>
      </c>
      <c r="BY94" s="12">
        <f>IF('Données projet'!$A$114&gt;35,BY93+BX94-CG93,IF(A94&lt;'Données projet'!$A$114,$BV$205^A94,IF(A94='Données projet'!$A$114,'Données projet'!$B$114,BY93+BX94-CG93)))</f>
        <v>321.91700000000026</v>
      </c>
      <c r="BZ94" s="13">
        <f>BY94*VLOOKUP('Données projet'!$B$12,Paramètres!$A$1:$I$89,3,0)*VLOOKUP('Données projet'!$B$12,Paramètres!$A$1:$I$89,5,0)</f>
        <v>326.42383800000027</v>
      </c>
      <c r="CA94" s="13">
        <f t="shared" si="93"/>
        <v>76.688408029206073</v>
      </c>
      <c r="CB94" s="20">
        <f t="shared" si="64"/>
        <v>702.08716183420108</v>
      </c>
      <c r="CC94" s="59">
        <f t="shared" si="65"/>
        <v>976.77398867704619</v>
      </c>
      <c r="CD94" s="59">
        <f ca="1">AVERAGE(OFFSET($CC$3,0,0,'Données projet'!$E$12+1,1))-AVERAGE(OFFSET($H$3,0,0,'Données projet'!$E$12+1,1))</f>
        <v>692.2706942067415</v>
      </c>
      <c r="CE94" s="59">
        <f t="shared" si="94"/>
        <v>316.17529091924803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26.597162709142193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26.597162709142193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6</v>
      </c>
      <c r="CT94" s="12">
        <f>IF('Données projet'!$A$140&gt;35,CT93+CS94-DB93,IF(A94&lt;'Données projet'!$A$140,$CQ$205^A94,IF(A94='Données projet'!$A$140,'Données projet'!$B$140,CT93+CS94-DB93)))</f>
        <v>243</v>
      </c>
      <c r="CU94" s="17">
        <f>CT94*VLOOKUP('Données projet'!$B$13,Paramètres!$A$1:$I$89,3,0)*VLOOKUP('Données projet'!$B$13,Paramètres!$A$1:$I$89,5,0)</f>
        <v>231.2388</v>
      </c>
      <c r="CV94" s="13">
        <f t="shared" si="95"/>
        <v>56.55045525673966</v>
      </c>
      <c r="CW94" s="20">
        <f t="shared" si="67"/>
        <v>501.23295290548816</v>
      </c>
      <c r="CX94" s="59">
        <f t="shared" si="68"/>
        <v>775.91977974833321</v>
      </c>
      <c r="CY94" s="59">
        <f ca="1">AVERAGE(OFFSET($CX$3,0,0,'Données projet'!$E$13+1,1))-AVERAGE(OFFSET($H$3,0,0,'Données projet'!$E$13+1,1))</f>
        <v>424.5933338095914</v>
      </c>
      <c r="CZ94" s="59">
        <f t="shared" si="96"/>
        <v>159.28977188196134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39.781504106062606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39.781504106062606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-18.333333333333343</v>
      </c>
      <c r="DU94" s="59">
        <f t="shared" si="98"/>
        <v>-18.333333333333343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-18.333333333333343</v>
      </c>
      <c r="EP94" s="59">
        <f t="shared" si="100"/>
        <v>-18.333333333333343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8.2910000000000021</v>
      </c>
      <c r="FE94" s="12">
        <f>IF('Données projet'!$A$218&gt;35,FE93+FD94-FM93,IF(A94&lt;'Données projet'!$A$218,$FB$205^A94,IF(A94='Données projet'!$A$218,'Données projet'!$B$218,FE93+FD94-FM93)))</f>
        <v>321.91700000000026</v>
      </c>
      <c r="FF94" s="17">
        <f>FE94*VLOOKUP('Données projet'!$B$16,Paramètres!$A$1:$I$89,3,0)*VLOOKUP('Données projet'!$B$16,Paramètres!$A$1:$I$89,5,0)</f>
        <v>311.35812240000024</v>
      </c>
      <c r="FG94" s="13">
        <f t="shared" si="101"/>
        <v>73.552387982296665</v>
      </c>
      <c r="FH94" s="20">
        <f t="shared" si="76"/>
        <v>670.38580558250044</v>
      </c>
      <c r="FI94" s="59">
        <f t="shared" si="77"/>
        <v>945.07263242534555</v>
      </c>
      <c r="FJ94" s="59">
        <f ca="1">AVERAGE(OFFSET($FI$3,0,0,'Données projet'!$E$16+1,1))-AVERAGE(OFFSET($H$3,0,0,'Données projet'!$E$16+1,1))</f>
        <v>664.59451650228573</v>
      </c>
      <c r="FK94" s="59">
        <f t="shared" si="102"/>
        <v>304.44325029106631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25.369601353335625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25.369601353335625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-6.8212102632969618E-13</v>
      </c>
      <c r="O95" s="13">
        <f>N95*VLOOKUP('Données projet'!$B$9,Paramètres!$A$1:$I$89,3,0)*VLOOKUP('Données projet'!$B$9,Paramètres!$A$1:$I$89,5,0)</f>
        <v>-4.0790837374515837E-13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460.88622650237176</v>
      </c>
      <c r="T95" s="59">
        <f t="shared" si="88"/>
        <v>396.05161661639647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185.15655450266698</v>
      </c>
      <c r="AA95" s="21">
        <f>EXP(-LN(2)/25)*AA94+(1-EXP(-LN(2)/25))/(LN(2)/25)*Calculateur!V95*Calculateur!X95*VLOOKUP('Données projet'!$B$9,Paramètres!$A$1:$I$89,3,0)*0.475*44/12</f>
        <v>25.011252987367037</v>
      </c>
      <c r="AB95" s="21">
        <f>EXP(-LN(2)/2)*AB94+(1-EXP(-LN(2)/2))/(LN(2)/2)*V95*Y95*VLOOKUP('Données projet'!$B$9,Paramètres!$A$1:$I$89,3,0)*0.475*44/12</f>
        <v>0.16052900000467238</v>
      </c>
      <c r="AC95" s="22">
        <f t="shared" si="57"/>
        <v>210.32833649003871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13.159999999999997</v>
      </c>
      <c r="AI95" s="13">
        <f>IF('Données projet'!$A$62&gt;35,AI94+AH95-AQ94,IF(A95&lt;'Données projet'!$A$62,$AF$205^A95,IF(A95='Données projet'!$A$62,'Données projet'!$B$62,AI94+AH95-AQ94)))</f>
        <v>498.79999999999961</v>
      </c>
      <c r="AJ95" s="13">
        <f>AI95*VLOOKUP('Données projet'!$B$10,Paramètres!$A$1:$I$89,3,0)*VLOOKUP('Données projet'!$B$10,Paramètres!$A$1:$I$89,5,0)</f>
        <v>233.4383999999998</v>
      </c>
      <c r="AK95" s="13">
        <f t="shared" si="89"/>
        <v>57.025500710931574</v>
      </c>
      <c r="AL95" s="20">
        <f t="shared" si="58"/>
        <v>505.89129373820555</v>
      </c>
      <c r="AM95" s="59">
        <f t="shared" si="59"/>
        <v>780.90159578131727</v>
      </c>
      <c r="AN95" s="59">
        <f ca="1">AVERAGE(OFFSET($AM$3,0,0,'Données projet'!$E$10+1,1))-AVERAGE(OFFSET($H$3,0,0,'Données projet'!$E$10+1,1))</f>
        <v>387.50901594883317</v>
      </c>
      <c r="AO95" s="59">
        <f t="shared" si="90"/>
        <v>361.3623790401972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92.040994593717102</v>
      </c>
      <c r="AV95" s="21">
        <f>EXP(-LN(2)/25)*AV94+(1-EXP(-LN(2)/25))/(LN(2)/25)*Calculateur!AQ95*Calculateur!AS95*VLOOKUP('Données projet'!$B$10,Paramètres!$A$1:$I$89,3,0)*0.475*44/12</f>
        <v>19.484054449080759</v>
      </c>
      <c r="AW95" s="21">
        <f>EXP(-LN(2)/2)*AW94+(1-EXP(-LN(2)/2))/(LN(2)/2)*AQ95*AT95*VLOOKUP('Données projet'!$B$10,Paramètres!$A$1:$I$89,3,0)*0.475*44/12</f>
        <v>0.79672421048128739</v>
      </c>
      <c r="AX95" s="21">
        <f t="shared" si="60"/>
        <v>112.32177325327915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8.2910000000000021</v>
      </c>
      <c r="BD95" s="12">
        <f>IF('Données projet'!$A$88&gt;35,BD94+BC95-BL94,IF(A95&lt;'Données projet'!$A$88,$BA$205^A95,IF(A95='Données projet'!$A$88,'Données projet'!$B$88,BD94+BC95-BL94)))</f>
        <v>330.20800000000025</v>
      </c>
      <c r="BE95" s="13">
        <f>BD95*VLOOKUP('Données projet'!$B$11,Paramètres!$A$1:$I$89,3,0)*VLOOKUP('Données projet'!$B$11,Paramètres!$A$1:$I$89,5,0)</f>
        <v>298.77219840000021</v>
      </c>
      <c r="BF95" s="13">
        <f t="shared" si="91"/>
        <v>70.919007696700163</v>
      </c>
      <c r="BG95" s="20">
        <f t="shared" si="61"/>
        <v>643.87885061841985</v>
      </c>
      <c r="BH95" s="59">
        <f t="shared" si="62"/>
        <v>918.88915266153163</v>
      </c>
      <c r="BI95" s="59">
        <f ca="1">AVERAGE(OFFSET($BH$3,0,0,'Données projet'!$E$11+1,1))-AVERAGE(OFFSET($H$3,0,0,'Données projet'!$E$11+1,1))</f>
        <v>627.65081154031589</v>
      </c>
      <c r="BJ95" s="59">
        <f t="shared" si="92"/>
        <v>288.78083487077618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23.267466109582035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23.267466109582035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8.2910000000000021</v>
      </c>
      <c r="BY95" s="12">
        <f>IF('Données projet'!$A$114&gt;35,BY94+BX95-CG94,IF(A95&lt;'Données projet'!$A$114,$BV$205^A95,IF(A95='Données projet'!$A$114,'Données projet'!$B$114,BY94+BX95-CG94)))</f>
        <v>330.20800000000025</v>
      </c>
      <c r="BZ95" s="13">
        <f>BY95*VLOOKUP('Données projet'!$B$12,Paramètres!$A$1:$I$89,3,0)*VLOOKUP('Données projet'!$B$12,Paramètres!$A$1:$I$89,5,0)</f>
        <v>334.8309120000003</v>
      </c>
      <c r="CA95" s="13">
        <f t="shared" si="93"/>
        <v>78.431029759422557</v>
      </c>
      <c r="CB95" s="20">
        <f t="shared" si="64"/>
        <v>719.76454856432804</v>
      </c>
      <c r="CC95" s="59">
        <f t="shared" si="65"/>
        <v>994.7748506074397</v>
      </c>
      <c r="CD95" s="59">
        <f ca="1">AVERAGE(OFFSET($CC$3,0,0,'Données projet'!$E$12+1,1))-AVERAGE(OFFSET($H$3,0,0,'Données projet'!$E$12+1,1))</f>
        <v>692.2706942067415</v>
      </c>
      <c r="CE95" s="59">
        <f t="shared" si="94"/>
        <v>316.17529091924803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26.075608571083311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26.075608571083311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6</v>
      </c>
      <c r="CT95" s="12">
        <f>IF('Données projet'!$A$140&gt;35,CT94+CS95-DB94,IF(A95&lt;'Données projet'!$A$140,$CQ$205^A95,IF(A95='Données projet'!$A$140,'Données projet'!$B$140,CT94+CS95-DB94)))</f>
        <v>249</v>
      </c>
      <c r="CU95" s="17">
        <f>CT95*VLOOKUP('Données projet'!$B$13,Paramètres!$A$1:$I$89,3,0)*VLOOKUP('Données projet'!$B$13,Paramètres!$A$1:$I$89,5,0)</f>
        <v>236.94839999999999</v>
      </c>
      <c r="CV95" s="13">
        <f t="shared" si="95"/>
        <v>57.782475694292401</v>
      </c>
      <c r="CW95" s="20">
        <f t="shared" si="67"/>
        <v>513.32294183422596</v>
      </c>
      <c r="CX95" s="59">
        <f t="shared" si="68"/>
        <v>788.33324387733774</v>
      </c>
      <c r="CY95" s="59">
        <f ca="1">AVERAGE(OFFSET($CX$3,0,0,'Données projet'!$E$13+1,1))-AVERAGE(OFFSET($H$3,0,0,'Données projet'!$E$13+1,1))</f>
        <v>424.5933338095914</v>
      </c>
      <c r="CZ95" s="59">
        <f t="shared" si="96"/>
        <v>159.28977188196134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39.001413074864317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39.001413074864317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-18.333333333333343</v>
      </c>
      <c r="DU95" s="59">
        <f t="shared" si="98"/>
        <v>-18.333333333333343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-18.333333333333343</v>
      </c>
      <c r="EP95" s="59">
        <f t="shared" si="100"/>
        <v>-18.333333333333343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8.2910000000000021</v>
      </c>
      <c r="FE95" s="12">
        <f>IF('Données projet'!$A$218&gt;35,FE94+FD95-FM94,IF(A95&lt;'Données projet'!$A$218,$FB$205^A95,IF(A95='Données projet'!$A$218,'Données projet'!$B$218,FE94+FD95-FM94)))</f>
        <v>330.20800000000025</v>
      </c>
      <c r="FF95" s="17">
        <f>FE95*VLOOKUP('Données projet'!$B$16,Paramètres!$A$1:$I$89,3,0)*VLOOKUP('Données projet'!$B$16,Paramètres!$A$1:$I$89,5,0)</f>
        <v>319.37717760000021</v>
      </c>
      <c r="FG95" s="13">
        <f t="shared" si="101"/>
        <v>75.223748659890148</v>
      </c>
      <c r="FH95" s="20">
        <f t="shared" si="76"/>
        <v>687.26327990264235</v>
      </c>
      <c r="FI95" s="59">
        <f t="shared" si="77"/>
        <v>962.27358194575413</v>
      </c>
      <c r="FJ95" s="59">
        <f ca="1">AVERAGE(OFFSET($FI$3,0,0,'Données projet'!$E$16+1,1))-AVERAGE(OFFSET($H$3,0,0,'Données projet'!$E$16+1,1))</f>
        <v>664.59451650228573</v>
      </c>
      <c r="FK95" s="59">
        <f t="shared" si="102"/>
        <v>304.44325029106631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24.872118944725614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24.872118944725614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-6.8212102632969618E-13</v>
      </c>
      <c r="O96" s="13">
        <f>N96*VLOOKUP('Données projet'!$B$9,Paramètres!$A$1:$I$89,3,0)*VLOOKUP('Données projet'!$B$9,Paramètres!$A$1:$I$89,5,0)</f>
        <v>-4.0790837374515837E-13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460.88622650237176</v>
      </c>
      <c r="T96" s="59">
        <f t="shared" si="88"/>
        <v>396.05161661639647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181.5257474032166</v>
      </c>
      <c r="AA96" s="21">
        <f>EXP(-LN(2)/25)*AA95+(1-EXP(-LN(2)/25))/(LN(2)/25)*Calculateur!V96*Calculateur!X96*VLOOKUP('Données projet'!$B$9,Paramètres!$A$1:$I$89,3,0)*0.475*44/12</f>
        <v>24.327318959142854</v>
      </c>
      <c r="AB96" s="21">
        <f>EXP(-LN(2)/2)*AB95+(1-EXP(-LN(2)/2))/(LN(2)/2)*V96*Y96*VLOOKUP('Données projet'!$B$9,Paramètres!$A$1:$I$89,3,0)*0.475*44/12</f>
        <v>0.11351114448039916</v>
      </c>
      <c r="AC96" s="22">
        <f t="shared" si="57"/>
        <v>205.96657750683985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13.159999999999997</v>
      </c>
      <c r="AI96" s="13">
        <f>IF('Données projet'!$A$62&gt;35,AI95+AH96-AQ95,IF(A96&lt;'Données projet'!$A$62,$AF$205^A96,IF(A96='Données projet'!$A$62,'Données projet'!$B$62,AI95+AH96-AQ95)))</f>
        <v>511.95999999999958</v>
      </c>
      <c r="AJ96" s="13">
        <f>AI96*VLOOKUP('Données projet'!$B$10,Paramètres!$A$1:$I$89,3,0)*VLOOKUP('Données projet'!$B$10,Paramètres!$A$1:$I$89,5,0)</f>
        <v>239.59727999999981</v>
      </c>
      <c r="AK96" s="13">
        <f t="shared" si="89"/>
        <v>58.352874845190904</v>
      </c>
      <c r="AL96" s="20">
        <f t="shared" si="58"/>
        <v>518.92985302204045</v>
      </c>
      <c r="AM96" s="59">
        <f t="shared" si="59"/>
        <v>794.25801869387647</v>
      </c>
      <c r="AN96" s="59">
        <f ca="1">AVERAGE(OFFSET($AM$3,0,0,'Données projet'!$E$10+1,1))-AVERAGE(OFFSET($H$3,0,0,'Données projet'!$E$10+1,1))</f>
        <v>387.50901594883317</v>
      </c>
      <c r="AO96" s="59">
        <f t="shared" si="90"/>
        <v>361.3623790401972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90.236126829197701</v>
      </c>
      <c r="AV96" s="21">
        <f>EXP(-LN(2)/25)*AV95+(1-EXP(-LN(2)/25))/(LN(2)/25)*Calculateur!AQ96*Calculateur!AS96*VLOOKUP('Données projet'!$B$10,Paramètres!$A$1:$I$89,3,0)*0.475*44/12</f>
        <v>18.951261955548752</v>
      </c>
      <c r="AW96" s="21">
        <f>EXP(-LN(2)/2)*AW95+(1-EXP(-LN(2)/2))/(LN(2)/2)*AQ96*AT96*VLOOKUP('Données projet'!$B$10,Paramètres!$A$1:$I$89,3,0)*0.475*44/12</f>
        <v>0.5633690919668165</v>
      </c>
      <c r="AX96" s="21">
        <f t="shared" si="60"/>
        <v>109.75075787671327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8.2910000000000021</v>
      </c>
      <c r="BD96" s="12">
        <f>IF('Données projet'!$A$88&gt;35,BD95+BC96-BL95,IF(A96&lt;'Données projet'!$A$88,$BA$205^A96,IF(A96='Données projet'!$A$88,'Données projet'!$B$88,BD95+BC96-BL95)))</f>
        <v>338.49900000000025</v>
      </c>
      <c r="BE96" s="13">
        <f>BD96*VLOOKUP('Données projet'!$B$11,Paramètres!$A$1:$I$89,3,0)*VLOOKUP('Données projet'!$B$11,Paramètres!$A$1:$I$89,5,0)</f>
        <v>306.27389520000025</v>
      </c>
      <c r="BF96" s="13">
        <f t="shared" si="91"/>
        <v>72.490124377904692</v>
      </c>
      <c r="BG96" s="20">
        <f t="shared" si="61"/>
        <v>659.68066743151769</v>
      </c>
      <c r="BH96" s="59">
        <f t="shared" si="62"/>
        <v>935.00883310335371</v>
      </c>
      <c r="BI96" s="59">
        <f ca="1">AVERAGE(OFFSET($BH$3,0,0,'Données projet'!$E$11+1,1))-AVERAGE(OFFSET($H$3,0,0,'Données projet'!$E$11+1,1))</f>
        <v>627.65081154031589</v>
      </c>
      <c r="BJ96" s="59">
        <f t="shared" si="92"/>
        <v>288.78083487077618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22.811205290926139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22.811205290926139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8.2910000000000021</v>
      </c>
      <c r="BY96" s="12">
        <f>IF('Données projet'!$A$114&gt;35,BY95+BX96-CG95,IF(A96&lt;'Données projet'!$A$114,$BV$205^A96,IF(A96='Données projet'!$A$114,'Données projet'!$B$114,BY95+BX96-CG95)))</f>
        <v>338.49900000000025</v>
      </c>
      <c r="BZ96" s="13">
        <f>BY96*VLOOKUP('Données projet'!$B$12,Paramètres!$A$1:$I$89,3,0)*VLOOKUP('Données projet'!$B$12,Paramètres!$A$1:$I$89,5,0)</f>
        <v>343.23798600000026</v>
      </c>
      <c r="CA96" s="13">
        <f t="shared" si="93"/>
        <v>80.16856533953208</v>
      </c>
      <c r="CB96" s="20">
        <f t="shared" si="64"/>
        <v>737.43307691635209</v>
      </c>
      <c r="CC96" s="59">
        <f t="shared" si="65"/>
        <v>1012.761242588188</v>
      </c>
      <c r="CD96" s="59">
        <f ca="1">AVERAGE(OFFSET($CC$3,0,0,'Données projet'!$E$12+1,1))-AVERAGE(OFFSET($H$3,0,0,'Données projet'!$E$12+1,1))</f>
        <v>692.2706942067415</v>
      </c>
      <c r="CE96" s="59">
        <f t="shared" si="94"/>
        <v>316.17529091924803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25.564281791555153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25.564281791555153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6</v>
      </c>
      <c r="CT96" s="12">
        <f>IF('Données projet'!$A$140&gt;35,CT95+CS96-DB95,IF(A96&lt;'Données projet'!$A$140,$CQ$205^A96,IF(A96='Données projet'!$A$140,'Données projet'!$B$140,CT95+CS96-DB95)))</f>
        <v>255</v>
      </c>
      <c r="CU96" s="17">
        <f>CT96*VLOOKUP('Données projet'!$B$13,Paramètres!$A$1:$I$89,3,0)*VLOOKUP('Données projet'!$B$13,Paramètres!$A$1:$I$89,5,0)</f>
        <v>242.65799999999999</v>
      </c>
      <c r="CV96" s="13">
        <f t="shared" si="95"/>
        <v>59.011045025839607</v>
      </c>
      <c r="CW96" s="20">
        <f t="shared" si="67"/>
        <v>525.40692008667054</v>
      </c>
      <c r="CX96" s="59">
        <f t="shared" si="68"/>
        <v>800.73508575850656</v>
      </c>
      <c r="CY96" s="59">
        <f ca="1">AVERAGE(OFFSET($CX$3,0,0,'Données projet'!$E$13+1,1))-AVERAGE(OFFSET($H$3,0,0,'Données projet'!$E$13+1,1))</f>
        <v>424.5933338095914</v>
      </c>
      <c r="CZ96" s="59">
        <f t="shared" si="96"/>
        <v>159.28977188196134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38.23661915297928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38.23661915297928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-18.333333333333343</v>
      </c>
      <c r="DU96" s="59">
        <f t="shared" si="98"/>
        <v>-18.333333333333343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-18.333333333333343</v>
      </c>
      <c r="EP96" s="59">
        <f t="shared" si="100"/>
        <v>-18.333333333333343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8.2910000000000021</v>
      </c>
      <c r="FE96" s="12">
        <f>IF('Données projet'!$A$218&gt;35,FE95+FD96-FM95,IF(A96&lt;'Données projet'!$A$218,$FB$205^A96,IF(A96='Données projet'!$A$218,'Données projet'!$B$218,FE95+FD96-FM95)))</f>
        <v>338.49900000000025</v>
      </c>
      <c r="FF96" s="17">
        <f>FE96*VLOOKUP('Données projet'!$B$16,Paramètres!$A$1:$I$89,3,0)*VLOOKUP('Données projet'!$B$16,Paramètres!$A$1:$I$89,5,0)</f>
        <v>327.39623280000023</v>
      </c>
      <c r="FG96" s="13">
        <f t="shared" si="101"/>
        <v>76.890231175377878</v>
      </c>
      <c r="FH96" s="20">
        <f t="shared" si="76"/>
        <v>704.13225809045025</v>
      </c>
      <c r="FI96" s="59">
        <f t="shared" si="77"/>
        <v>979.46042376228615</v>
      </c>
      <c r="FJ96" s="59">
        <f ca="1">AVERAGE(OFFSET($FI$3,0,0,'Données projet'!$E$16+1,1))-AVERAGE(OFFSET($H$3,0,0,'Données projet'!$E$16+1,1))</f>
        <v>664.59451650228573</v>
      </c>
      <c r="FK96" s="59">
        <f t="shared" si="102"/>
        <v>304.44325029106631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24.384391862714139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24.384391862714139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-6.8212102632969618E-13</v>
      </c>
      <c r="O97" s="13">
        <f>N97*VLOOKUP('Données projet'!$B$9,Paramètres!$A$1:$I$89,3,0)*VLOOKUP('Données projet'!$B$9,Paramètres!$A$1:$I$89,5,0)</f>
        <v>-4.0790837374515837E-13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460.88622650237176</v>
      </c>
      <c r="T97" s="59">
        <f t="shared" si="88"/>
        <v>396.05161661639647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177.96613821641276</v>
      </c>
      <c r="AA97" s="21">
        <f>EXP(-LN(2)/25)*AA96+(1-EXP(-LN(2)/25))/(LN(2)/25)*Calculateur!V97*Calculateur!X97*VLOOKUP('Données projet'!$B$9,Paramètres!$A$1:$I$89,3,0)*0.475*44/12</f>
        <v>23.662087142886989</v>
      </c>
      <c r="AB97" s="21">
        <f>EXP(-LN(2)/2)*AB96+(1-EXP(-LN(2)/2))/(LN(2)/2)*V97*Y97*VLOOKUP('Données projet'!$B$9,Paramètres!$A$1:$I$89,3,0)*0.475*44/12</f>
        <v>8.0264500002336189E-2</v>
      </c>
      <c r="AC97" s="22">
        <f t="shared" si="57"/>
        <v>201.70848985930206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13.159999999999997</v>
      </c>
      <c r="AI97" s="13">
        <f>IF('Données projet'!$A$62&gt;35,AI96+AH97-AQ96,IF(A97&lt;'Données projet'!$A$62,$AF$205^A97,IF(A97='Données projet'!$A$62,'Données projet'!$B$62,AI96+AH97-AQ96)))</f>
        <v>525.11999999999955</v>
      </c>
      <c r="AJ97" s="13">
        <f>AI97*VLOOKUP('Données projet'!$B$10,Paramètres!$A$1:$I$89,3,0)*VLOOKUP('Données projet'!$B$10,Paramètres!$A$1:$I$89,5,0)</f>
        <v>245.7561599999998</v>
      </c>
      <c r="AK97" s="13">
        <f t="shared" si="89"/>
        <v>59.67628284734046</v>
      </c>
      <c r="AL97" s="20">
        <f t="shared" si="58"/>
        <v>531.96150462578419</v>
      </c>
      <c r="AM97" s="59">
        <f t="shared" si="59"/>
        <v>807.60201970302273</v>
      </c>
      <c r="AN97" s="59">
        <f ca="1">AVERAGE(OFFSET($AM$3,0,0,'Données projet'!$E$10+1,1))-AVERAGE(OFFSET($H$3,0,0,'Données projet'!$E$10+1,1))</f>
        <v>387.50901594883317</v>
      </c>
      <c r="AO97" s="59">
        <f t="shared" si="90"/>
        <v>361.3623790401972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88.466651420679895</v>
      </c>
      <c r="AV97" s="21">
        <f>EXP(-LN(2)/25)*AV96+(1-EXP(-LN(2)/25))/(LN(2)/25)*Calculateur!AQ97*Calculateur!AS97*VLOOKUP('Données projet'!$B$10,Paramètres!$A$1:$I$89,3,0)*0.475*44/12</f>
        <v>18.433038700770719</v>
      </c>
      <c r="AW97" s="21">
        <f>EXP(-LN(2)/2)*AW96+(1-EXP(-LN(2)/2))/(LN(2)/2)*AQ97*AT97*VLOOKUP('Données projet'!$B$10,Paramètres!$A$1:$I$89,3,0)*0.475*44/12</f>
        <v>0.39836210524064369</v>
      </c>
      <c r="AX97" s="21">
        <f t="shared" si="60"/>
        <v>107.29805222669127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346.79</v>
      </c>
      <c r="BB97" s="12">
        <f>VLOOKUP(A97,'Données projet'!$A$87:$I$107,9,0)</f>
        <v>8.2910000000000021</v>
      </c>
      <c r="BC97" s="12">
        <f t="array" ref="BC97">INDEX(BB:BB,MIN(IF(ISNUMBER(BB97:BB293),ROW(BB97:BB293),"")))</f>
        <v>8.2910000000000021</v>
      </c>
      <c r="BD97" s="12">
        <f>IF('Données projet'!$A$88&gt;35,BD96+BC97-BL96,IF(A97&lt;'Données projet'!$A$88,$BA$205^A97,IF(A97='Données projet'!$A$88,'Données projet'!$B$88,BD96+BC97-BL96)))</f>
        <v>346.79000000000025</v>
      </c>
      <c r="BE97" s="13">
        <f>BD97*VLOOKUP('Données projet'!$B$11,Paramètres!$A$1:$I$89,3,0)*VLOOKUP('Données projet'!$B$11,Paramètres!$A$1:$I$89,5,0)</f>
        <v>313.77559200000019</v>
      </c>
      <c r="BF97" s="13">
        <f t="shared" si="91"/>
        <v>74.056767657464533</v>
      </c>
      <c r="BG97" s="20">
        <f t="shared" si="61"/>
        <v>675.47469307008441</v>
      </c>
      <c r="BH97" s="59">
        <f t="shared" si="62"/>
        <v>951.11520814732285</v>
      </c>
      <c r="BI97" s="59">
        <f ca="1">AVERAGE(OFFSET($BH$3,0,0,'Données projet'!$E$11+1,1))-AVERAGE(OFFSET($H$3,0,0,'Données projet'!$E$11+1,1))</f>
        <v>627.65081154031589</v>
      </c>
      <c r="BJ97" s="59">
        <f t="shared" si="92"/>
        <v>288.78083487077618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0.215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35.664694624072609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35.664694624072609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346.79</v>
      </c>
      <c r="BW97" s="12">
        <f>VLOOKUP(A97,'Données projet'!$A$113:$I$133,9,0)</f>
        <v>8.2910000000000021</v>
      </c>
      <c r="BX97" s="12">
        <f t="array" ref="BX97">INDEX(BW:BW,MIN(IF(ISNUMBER(BW97:BW293),ROW(BW97:BW293),"")))</f>
        <v>8.2910000000000021</v>
      </c>
      <c r="BY97" s="12">
        <f>IF('Données projet'!$A$114&gt;35,BY96+BX97-CG96,IF(A97&lt;'Données projet'!$A$114,$BV$205^A97,IF(A97='Données projet'!$A$114,'Données projet'!$B$114,BY96+BX97-CG96)))</f>
        <v>346.79000000000025</v>
      </c>
      <c r="BZ97" s="13">
        <f>BY97*VLOOKUP('Données projet'!$B$12,Paramètres!$A$1:$I$89,3,0)*VLOOKUP('Données projet'!$B$12,Paramètres!$A$1:$I$89,5,0)</f>
        <v>351.64506000000029</v>
      </c>
      <c r="CA97" s="13">
        <f t="shared" si="93"/>
        <v>81.901153677584574</v>
      </c>
      <c r="CB97" s="20">
        <f t="shared" si="64"/>
        <v>755.09298882179371</v>
      </c>
      <c r="CC97" s="59">
        <f t="shared" si="65"/>
        <v>1030.7335038990323</v>
      </c>
      <c r="CD97" s="59">
        <f ca="1">AVERAGE(OFFSET($CC$3,0,0,'Données projet'!$E$12+1,1))-AVERAGE(OFFSET($H$3,0,0,'Données projet'!$E$12+1,1))</f>
        <v>692.2706942067415</v>
      </c>
      <c r="CE97" s="59">
        <f t="shared" si="94"/>
        <v>316.17529091924803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0.215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39.969054320081369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39.969054320081369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6</v>
      </c>
      <c r="CT97" s="12">
        <f>IF('Données projet'!$A$140&gt;35,CT96+CS97-DB96,IF(A97&lt;'Données projet'!$A$140,$CQ$205^A97,IF(A97='Données projet'!$A$140,'Données projet'!$B$140,CT96+CS97-DB96)))</f>
        <v>261</v>
      </c>
      <c r="CU97" s="17">
        <f>CT97*VLOOKUP('Données projet'!$B$13,Paramètres!$A$1:$I$89,3,0)*VLOOKUP('Données projet'!$B$13,Paramètres!$A$1:$I$89,5,0)</f>
        <v>248.36760000000001</v>
      </c>
      <c r="CV97" s="13">
        <f t="shared" si="95"/>
        <v>60.236253798706343</v>
      </c>
      <c r="CW97" s="20">
        <f t="shared" si="67"/>
        <v>537.48504536608027</v>
      </c>
      <c r="CX97" s="59">
        <f t="shared" si="68"/>
        <v>813.12556044331882</v>
      </c>
      <c r="CY97" s="59">
        <f ca="1">AVERAGE(OFFSET($CX$3,0,0,'Données projet'!$E$13+1,1))-AVERAGE(OFFSET($H$3,0,0,'Données projet'!$E$13+1,1))</f>
        <v>424.5933338095914</v>
      </c>
      <c r="CZ97" s="59">
        <f t="shared" si="96"/>
        <v>159.28977188196134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37.486822373424182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37.486822373424182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-18.333333333333343</v>
      </c>
      <c r="DU97" s="59">
        <f t="shared" si="98"/>
        <v>-18.333333333333343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-18.333333333333343</v>
      </c>
      <c r="EP97" s="59">
        <f t="shared" si="100"/>
        <v>-18.333333333333343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>
        <f>VLOOKUP(A97,'Données projet'!$A$217:$I$237,2,0)</f>
        <v>346.79</v>
      </c>
      <c r="FC97" s="12">
        <f>VLOOKUP(A97,'Données projet'!$A$217:$I$237,9,0)</f>
        <v>8.2910000000000021</v>
      </c>
      <c r="FD97" s="12">
        <f t="array" ref="FD97">INDEX(FC:FC,MIN(IF(ISNUMBER(FC97:FC293),ROW(FC97:FC293),"")))</f>
        <v>8.2910000000000021</v>
      </c>
      <c r="FE97" s="12">
        <f>IF('Données projet'!$A$218&gt;35,FE96+FD97-FM96,IF(A97&lt;'Données projet'!$A$218,$FB$205^A97,IF(A97='Données projet'!$A$218,'Données projet'!$B$218,FE96+FD97-FM96)))</f>
        <v>346.79000000000025</v>
      </c>
      <c r="FF97" s="17">
        <f>FE97*VLOOKUP('Données projet'!$B$16,Paramètres!$A$1:$I$89,3,0)*VLOOKUP('Données projet'!$B$16,Paramètres!$A$1:$I$89,5,0)</f>
        <v>335.41528800000026</v>
      </c>
      <c r="FG97" s="13">
        <f t="shared" si="101"/>
        <v>78.551968756441127</v>
      </c>
      <c r="FH97" s="20">
        <f t="shared" si="76"/>
        <v>720.9929721841354</v>
      </c>
      <c r="FI97" s="59">
        <f t="shared" si="77"/>
        <v>996.63348726137383</v>
      </c>
      <c r="FJ97" s="59">
        <f ca="1">AVERAGE(OFFSET($FI$3,0,0,'Données projet'!$E$16+1,1))-AVERAGE(OFFSET($H$3,0,0,'Données projet'!$E$16+1,1))</f>
        <v>664.59451650228573</v>
      </c>
      <c r="FK97" s="59">
        <f t="shared" si="102"/>
        <v>304.44325029106631</v>
      </c>
      <c r="FL97" s="15">
        <f>IF(ISNA(VLOOKUP(A97,'Données projet'!$A$217:$I$237,3,0)),0,VLOOKUP(A97,'Données projet'!$A$217:$I$237,3,0))</f>
        <v>7</v>
      </c>
      <c r="FM97" s="15">
        <f>IF(ISNA(VLOOKUP(A97,'Données projet'!$A$217:$I$237,4,0)),0,VLOOKUP(A97,'Données projet'!$A$217:$I$237,4,0))</f>
        <v>61.85</v>
      </c>
      <c r="FN97" s="16">
        <f>IF(ISNA(VLOOKUP(A97,'Données projet'!$A$217:$I$237,5,0)),0%,VLOOKUP(A97,'Données projet'!$A$217:$I$237,5,0)*VLOOKUP('Données projet'!$B$16,Paramètres!$A$1:$I$89,7,0))</f>
        <v>0.215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38.124328736077608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38.124328736077608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-6.8212102632969618E-13</v>
      </c>
      <c r="O98" s="13">
        <f>N98*VLOOKUP('Données projet'!$B$9,Paramètres!$A$1:$I$89,3,0)*VLOOKUP('Données projet'!$B$9,Paramètres!$A$1:$I$89,5,0)</f>
        <v>-4.0790837374515837E-13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460.88622650237176</v>
      </c>
      <c r="T98" s="59">
        <f t="shared" si="88"/>
        <v>396.05161661639647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174.47633079461494</v>
      </c>
      <c r="AA98" s="21">
        <f>EXP(-LN(2)/25)*AA97+(1-EXP(-LN(2)/25))/(LN(2)/25)*Calculateur!V98*Calculateur!X98*VLOOKUP('Données projet'!$B$9,Paramètres!$A$1:$I$89,3,0)*0.475*44/12</f>
        <v>23.015046125629663</v>
      </c>
      <c r="AB98" s="21">
        <f>EXP(-LN(2)/2)*AB97+(1-EXP(-LN(2)/2))/(LN(2)/2)*V98*Y98*VLOOKUP('Données projet'!$B$9,Paramètres!$A$1:$I$89,3,0)*0.475*44/12</f>
        <v>5.675557224019958E-2</v>
      </c>
      <c r="AC98" s="22">
        <f t="shared" si="57"/>
        <v>197.5481324924848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538.28</v>
      </c>
      <c r="AG98" s="12">
        <f>VLOOKUP(A98,'Données projet'!$A$61:$I$81,9,0)</f>
        <v>13.159999999999997</v>
      </c>
      <c r="AH98" s="12">
        <f t="array" ref="AH98">INDEX(AG:AG,MIN(IF(ISNUMBER(AG98:AG294),ROW(AG98:AG294),"")))</f>
        <v>13.159999999999997</v>
      </c>
      <c r="AI98" s="13">
        <f>IF('Données projet'!$A$62&gt;35,AI97+AH98-AQ97,IF(A98&lt;'Données projet'!$A$62,$AF$205^A98,IF(A98='Données projet'!$A$62,'Données projet'!$B$62,AI97+AH98-AQ97)))</f>
        <v>538.27999999999952</v>
      </c>
      <c r="AJ98" s="13">
        <f>AI98*VLOOKUP('Données projet'!$B$10,Paramètres!$A$1:$I$89,3,0)*VLOOKUP('Données projet'!$B$10,Paramètres!$A$1:$I$89,5,0)</f>
        <v>251.91503999999978</v>
      </c>
      <c r="AK98" s="13">
        <f t="shared" si="89"/>
        <v>60.995835543729605</v>
      </c>
      <c r="AL98" s="20">
        <f t="shared" si="58"/>
        <v>544.98644157199533</v>
      </c>
      <c r="AM98" s="59">
        <f t="shared" si="59"/>
        <v>820.93388749076121</v>
      </c>
      <c r="AN98" s="59">
        <f ca="1">AVERAGE(OFFSET($AM$3,0,0,'Données projet'!$E$10+1,1))-AVERAGE(OFFSET($H$3,0,0,'Données projet'!$E$10+1,1))</f>
        <v>387.50901594883317</v>
      </c>
      <c r="AO98" s="59">
        <f t="shared" si="90"/>
        <v>361.3623790401972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268.81</v>
      </c>
      <c r="AR98" s="16">
        <f>IF(ISNA(VLOOKUP(A98,'Données projet'!$A$61:$I$81,5,0)),0%,VLOOKUP(A98,'Données projet'!$A$61:$I$81,5,0)*VLOOKUP('Données projet'!$B$10,Paramètres!$A$1:$I$89,7,0))</f>
        <v>0.44000000000000006</v>
      </c>
      <c r="AS98" s="16">
        <f>IF(ISNA(VLOOKUP(A98,'Données projet'!$A$61:$I$81,6,0)),0%,VLOOKUP(A98,'Données projet'!$A$61:$I$81,6,0)*VLOOKUP('Données projet'!$B$10,Paramètres!$A$1:$I$89,7,0))</f>
        <v>6.0500000000000005E-2</v>
      </c>
      <c r="AT98" s="16">
        <f>IF(ISNA(VLOOKUP(A98,'Données projet'!$A$61:$I$81,7,0)),0%,VLOOKUP(A98,'Données projet'!$A$61:$I$81,7,0))</f>
        <v>0.09</v>
      </c>
      <c r="AU98" s="21">
        <f>EXP(-LN(2)/35)*AU97+(1-EXP(-LN(2)/35))/(LN(2)/35)*AQ98*AR98*VLOOKUP('Données projet'!$B$10,Paramètres!$A$1:$I$89,3,0)*0.475*44/12</f>
        <v>160.16166784328914</v>
      </c>
      <c r="AV98" s="21">
        <f>EXP(-LN(2)/25)*AV97+(1-EXP(-LN(2)/25))/(LN(2)/25)*Calculateur!AQ98*Calculateur!AS98*VLOOKUP('Données projet'!$B$10,Paramètres!$A$1:$I$89,3,0)*0.475*44/12</f>
        <v>27.985828746129748</v>
      </c>
      <c r="AW98" s="21">
        <f>EXP(-LN(2)/2)*AW97+(1-EXP(-LN(2)/2))/(LN(2)/2)*AQ98*AT98*VLOOKUP('Données projet'!$B$10,Paramètres!$A$1:$I$89,3,0)*0.475*44/12</f>
        <v>13.101132473370928</v>
      </c>
      <c r="AX98" s="21">
        <f t="shared" si="60"/>
        <v>201.24862906278983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8.0470000000000024</v>
      </c>
      <c r="BD98" s="12">
        <f>IF('Données projet'!$A$88&gt;35,BD97+BC98-BL97,IF(A98&lt;'Données projet'!$A$88,$BA$205^A98,IF(A98='Données projet'!$A$88,'Données projet'!$B$88,BD97+BC98-BL97)))</f>
        <v>292.98700000000025</v>
      </c>
      <c r="BE98" s="13">
        <f>BD98*VLOOKUP('Données projet'!$B$11,Paramètres!$A$1:$I$89,3,0)*VLOOKUP('Données projet'!$B$11,Paramètres!$A$1:$I$89,5,0)</f>
        <v>265.09463760000023</v>
      </c>
      <c r="BF98" s="13">
        <f t="shared" si="91"/>
        <v>63.807119294189917</v>
      </c>
      <c r="BG98" s="20">
        <f t="shared" si="61"/>
        <v>572.83722659071452</v>
      </c>
      <c r="BH98" s="59">
        <f t="shared" si="62"/>
        <v>848.78467250948052</v>
      </c>
      <c r="BI98" s="59">
        <f ca="1">AVERAGE(OFFSET($BH$3,0,0,'Données projet'!$E$11+1,1))-AVERAGE(OFFSET($H$3,0,0,'Données projet'!$E$11+1,1))</f>
        <v>627.65081154031589</v>
      </c>
      <c r="BJ98" s="59">
        <f t="shared" si="92"/>
        <v>288.78083487077618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34.965331715810308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34.965331715810308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8.0470000000000024</v>
      </c>
      <c r="BY98" s="12">
        <f>IF('Données projet'!$A$114&gt;35,BY97+BX98-CG97,IF(A98&lt;'Données projet'!$A$114,$BV$205^A98,IF(A98='Données projet'!$A$114,'Données projet'!$B$114,BY97+BX98-CG97)))</f>
        <v>292.98700000000025</v>
      </c>
      <c r="BZ98" s="13">
        <f>BY98*VLOOKUP('Données projet'!$B$12,Paramètres!$A$1:$I$89,3,0)*VLOOKUP('Données projet'!$B$12,Paramètres!$A$1:$I$89,5,0)</f>
        <v>297.08881800000029</v>
      </c>
      <c r="CA98" s="13">
        <f t="shared" si="93"/>
        <v>70.565821981438845</v>
      </c>
      <c r="CB98" s="20">
        <f t="shared" si="64"/>
        <v>640.33183130100645</v>
      </c>
      <c r="CC98" s="59">
        <f t="shared" si="65"/>
        <v>916.27927721977244</v>
      </c>
      <c r="CD98" s="59">
        <f ca="1">AVERAGE(OFFSET($CC$3,0,0,'Données projet'!$E$12+1,1))-AVERAGE(OFFSET($H$3,0,0,'Données projet'!$E$12+1,1))</f>
        <v>692.2706942067415</v>
      </c>
      <c r="CE98" s="59">
        <f t="shared" si="94"/>
        <v>316.17529091924803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39.185285543580513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39.185285543580513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267</v>
      </c>
      <c r="CR98" s="12">
        <f>VLOOKUP(A98,'Données projet'!$A$139:$I$159,9,0)</f>
        <v>6</v>
      </c>
      <c r="CS98" s="12">
        <f t="array" ref="CS98">INDEX(CR:CR,MIN(IF(ISNUMBER(CR98:CR294),ROW(CR98:CR294),"")))</f>
        <v>6</v>
      </c>
      <c r="CT98" s="12">
        <f>IF('Données projet'!$A$140&gt;35,CT97+CS98-DB97,IF(A98&lt;'Données projet'!$A$140,$CQ$205^A98,IF(A98='Données projet'!$A$140,'Données projet'!$B$140,CT97+CS98-DB97)))</f>
        <v>267</v>
      </c>
      <c r="CU98" s="17">
        <f>CT98*VLOOKUP('Données projet'!$B$13,Paramètres!$A$1:$I$89,3,0)*VLOOKUP('Données projet'!$B$13,Paramètres!$A$1:$I$89,5,0)</f>
        <v>254.0772</v>
      </c>
      <c r="CV98" s="13">
        <f t="shared" si="95"/>
        <v>61.458188159552755</v>
      </c>
      <c r="CW98" s="20">
        <f t="shared" si="67"/>
        <v>549.55746771122097</v>
      </c>
      <c r="CX98" s="59">
        <f t="shared" si="68"/>
        <v>825.50491362998696</v>
      </c>
      <c r="CY98" s="59">
        <f ca="1">AVERAGE(OFFSET($CX$3,0,0,'Données projet'!$E$13+1,1))-AVERAGE(OFFSET($H$3,0,0,'Données projet'!$E$13+1,1))</f>
        <v>424.5933338095914</v>
      </c>
      <c r="CZ98" s="59">
        <f t="shared" si="96"/>
        <v>159.28977188196134</v>
      </c>
      <c r="DA98" s="15">
        <f>IF(ISNA(VLOOKUP(A98,'Données projet'!$A$139:$I$159,3,0)),0,VLOOKUP(A98,'Données projet'!$A$139:$I$159,3,0))</f>
        <v>13</v>
      </c>
      <c r="DB98" s="15">
        <f>IF(ISNA(VLOOKUP(A98,'Données projet'!$A$139:$I$159,4,0)),0,VLOOKUP(A98,'Données projet'!$A$139:$I$159,4,0))</f>
        <v>26</v>
      </c>
      <c r="DC98" s="16">
        <f>IF(ISNA(VLOOKUP(A98,'Données projet'!$A$139:$I$159,5,0)),0%,VLOOKUP(A98,'Données projet'!$A$139:$I$159,5,0)*VLOOKUP('Données projet'!$B$13,Paramètres!$A$1:$I$89,7,0))</f>
        <v>0.30099999999999999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44.984411540003265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44.984411540003265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-18.333333333333343</v>
      </c>
      <c r="DU98" s="59">
        <f t="shared" si="98"/>
        <v>-18.333333333333343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-18.333333333333343</v>
      </c>
      <c r="EP98" s="59">
        <f t="shared" si="100"/>
        <v>-18.333333333333343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8.0470000000000024</v>
      </c>
      <c r="FE98" s="12">
        <f>IF('Données projet'!$A$218&gt;35,FE97+FD98-FM97,IF(A98&lt;'Données projet'!$A$218,$FB$205^A98,IF(A98='Données projet'!$A$218,'Données projet'!$B$218,FE97+FD98-FM97)))</f>
        <v>292.98700000000025</v>
      </c>
      <c r="FF98" s="17">
        <f>FE98*VLOOKUP('Données projet'!$B$16,Paramètres!$A$1:$I$89,3,0)*VLOOKUP('Données projet'!$B$16,Paramètres!$A$1:$I$89,5,0)</f>
        <v>283.37702640000026</v>
      </c>
      <c r="FG98" s="13">
        <f t="shared" si="101"/>
        <v>67.68017292381127</v>
      </c>
      <c r="FH98" s="20">
        <f t="shared" si="76"/>
        <v>611.42462215563842</v>
      </c>
      <c r="FI98" s="59">
        <f t="shared" si="77"/>
        <v>887.3720680744043</v>
      </c>
      <c r="FJ98" s="59">
        <f ca="1">AVERAGE(OFFSET($FI$3,0,0,'Données projet'!$E$16+1,1))-AVERAGE(OFFSET($H$3,0,0,'Données projet'!$E$16+1,1))</f>
        <v>664.59451650228573</v>
      </c>
      <c r="FK98" s="59">
        <f t="shared" si="102"/>
        <v>304.44325029106631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37.376733903107557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37.376733903107557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-6.8212102632969618E-13</v>
      </c>
      <c r="O99" s="13">
        <f>N99*VLOOKUP('Données projet'!$B$9,Paramètres!$A$1:$I$89,3,0)*VLOOKUP('Données projet'!$B$9,Paramètres!$A$1:$I$89,5,0)</f>
        <v>-4.0790837374515837E-13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460.88622650237176</v>
      </c>
      <c r="T99" s="59">
        <f t="shared" si="88"/>
        <v>396.05161661639647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171.05495636778622</v>
      </c>
      <c r="AA99" s="21">
        <f>EXP(-LN(2)/25)*AA98+(1-EXP(-LN(2)/25))/(LN(2)/25)*Calculateur!V99*Calculateur!X99*VLOOKUP('Données projet'!$B$9,Paramètres!$A$1:$I$89,3,0)*0.475*44/12</f>
        <v>22.385698479015645</v>
      </c>
      <c r="AB99" s="21">
        <f>EXP(-LN(2)/2)*AB98+(1-EXP(-LN(2)/2))/(LN(2)/2)*V99*Y99*VLOOKUP('Données projet'!$B$9,Paramètres!$A$1:$I$89,3,0)*0.475*44/12</f>
        <v>4.0132250001168095E-2</v>
      </c>
      <c r="AC99" s="22">
        <f t="shared" si="57"/>
        <v>193.48078709680303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8.7210000000000036</v>
      </c>
      <c r="AI99" s="13">
        <f>IF('Données projet'!$A$62&gt;35,AI98+AH99-AQ98,IF(A99&lt;'Données projet'!$A$62,$AF$205^A99,IF(A99='Données projet'!$A$62,'Données projet'!$B$62,AI98+AH99-AQ98)))</f>
        <v>278.19099999999952</v>
      </c>
      <c r="AJ99" s="13">
        <f>AI99*VLOOKUP('Données projet'!$B$10,Paramètres!$A$1:$I$89,3,0)*VLOOKUP('Données projet'!$B$10,Paramètres!$A$1:$I$89,5,0)</f>
        <v>130.19338799999977</v>
      </c>
      <c r="AK99" s="13">
        <f t="shared" si="89"/>
        <v>34.041041754414536</v>
      </c>
      <c r="AL99" s="20">
        <f t="shared" si="58"/>
        <v>286.04163182227154</v>
      </c>
      <c r="AM99" s="59">
        <f t="shared" si="59"/>
        <v>562.29068401865902</v>
      </c>
      <c r="AN99" s="59">
        <f ca="1">AVERAGE(OFFSET($AM$3,0,0,'Données projet'!$E$10+1,1))-AVERAGE(OFFSET($H$3,0,0,'Données projet'!$E$10+1,1))</f>
        <v>387.50901594883317</v>
      </c>
      <c r="AO99" s="59">
        <f t="shared" si="90"/>
        <v>361.3623790401972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157.02099522585362</v>
      </c>
      <c r="AV99" s="21">
        <f>EXP(-LN(2)/25)*AV98+(1-EXP(-LN(2)/25))/(LN(2)/25)*Calculateur!AQ99*Calculateur!AS99*VLOOKUP('Données projet'!$B$10,Paramètres!$A$1:$I$89,3,0)*0.475*44/12</f>
        <v>27.220554787356058</v>
      </c>
      <c r="AW99" s="21">
        <f>EXP(-LN(2)/2)*AW98+(1-EXP(-LN(2)/2))/(LN(2)/2)*AQ99*AT99*VLOOKUP('Données projet'!$B$10,Paramètres!$A$1:$I$89,3,0)*0.475*44/12</f>
        <v>9.2638996131438702</v>
      </c>
      <c r="AX99" s="21">
        <f t="shared" si="60"/>
        <v>193.50544962635357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8.0470000000000024</v>
      </c>
      <c r="BD99" s="12">
        <f>IF('Données projet'!$A$88&gt;35,BD98+BC99-BL98,IF(A99&lt;'Données projet'!$A$88,$BA$205^A99,IF(A99='Données projet'!$A$88,'Données projet'!$B$88,BD98+BC99-BL98)))</f>
        <v>301.03400000000028</v>
      </c>
      <c r="BE99" s="13">
        <f>BD99*VLOOKUP('Données projet'!$B$11,Paramètres!$A$1:$I$89,3,0)*VLOOKUP('Données projet'!$B$11,Paramètres!$A$1:$I$89,5,0)</f>
        <v>272.37556320000027</v>
      </c>
      <c r="BF99" s="13">
        <f t="shared" si="91"/>
        <v>65.35316643513535</v>
      </c>
      <c r="BG99" s="20">
        <f t="shared" si="61"/>
        <v>588.21087078119456</v>
      </c>
      <c r="BH99" s="59">
        <f t="shared" si="62"/>
        <v>864.45992297758198</v>
      </c>
      <c r="BI99" s="59">
        <f ca="1">AVERAGE(OFFSET($BH$3,0,0,'Données projet'!$E$11+1,1))-AVERAGE(OFFSET($H$3,0,0,'Données projet'!$E$11+1,1))</f>
        <v>627.65081154031589</v>
      </c>
      <c r="BJ99" s="59">
        <f t="shared" si="92"/>
        <v>288.78083487077618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34.279682887609773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34.279682887609773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8.0470000000000024</v>
      </c>
      <c r="BY99" s="12">
        <f>IF('Données projet'!$A$114&gt;35,BY98+BX99-CG98,IF(A99&lt;'Données projet'!$A$114,$BV$205^A99,IF(A99='Données projet'!$A$114,'Données projet'!$B$114,BY98+BX99-CG98)))</f>
        <v>301.03400000000028</v>
      </c>
      <c r="BZ99" s="13">
        <f>BY99*VLOOKUP('Données projet'!$B$12,Paramètres!$A$1:$I$89,3,0)*VLOOKUP('Données projet'!$B$12,Paramètres!$A$1:$I$89,5,0)</f>
        <v>305.24847600000032</v>
      </c>
      <c r="CA99" s="13">
        <f t="shared" si="93"/>
        <v>72.275632556335026</v>
      </c>
      <c r="CB99" s="20">
        <f t="shared" si="64"/>
        <v>657.52115573561741</v>
      </c>
      <c r="CC99" s="59">
        <f t="shared" si="65"/>
        <v>933.77020793200484</v>
      </c>
      <c r="CD99" s="59">
        <f ca="1">AVERAGE(OFFSET($CC$3,0,0,'Données projet'!$E$12+1,1))-AVERAGE(OFFSET($H$3,0,0,'Données projet'!$E$12+1,1))</f>
        <v>692.2706942067415</v>
      </c>
      <c r="CE99" s="59">
        <f t="shared" si="94"/>
        <v>316.17529091924803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38.416885994735082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38.416885994735082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6</v>
      </c>
      <c r="CT99" s="12">
        <f>IF('Données projet'!$A$140&gt;35,CT98+CS99-DB98,IF(A99&lt;'Données projet'!$A$140,$CQ$205^A99,IF(A99='Données projet'!$A$140,'Données projet'!$B$140,CT98+CS99-DB98)))</f>
        <v>247</v>
      </c>
      <c r="CU99" s="17">
        <f>CT99*VLOOKUP('Données projet'!$B$13,Paramètres!$A$1:$I$89,3,0)*VLOOKUP('Données projet'!$B$13,Paramètres!$A$1:$I$89,5,0)</f>
        <v>235.04519999999999</v>
      </c>
      <c r="CV99" s="13">
        <f t="shared" si="95"/>
        <v>57.372190275906782</v>
      </c>
      <c r="CW99" s="20">
        <f t="shared" si="67"/>
        <v>509.29362139720428</v>
      </c>
      <c r="CX99" s="59">
        <f t="shared" si="68"/>
        <v>785.54267359359164</v>
      </c>
      <c r="CY99" s="59">
        <f ca="1">AVERAGE(OFFSET($CX$3,0,0,'Données projet'!$E$13+1,1))-AVERAGE(OFFSET($H$3,0,0,'Données projet'!$E$13+1,1))</f>
        <v>424.5933338095914</v>
      </c>
      <c r="CZ99" s="59">
        <f t="shared" si="96"/>
        <v>159.28977188196134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44.102294667485587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44.102294667485587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-18.333333333333343</v>
      </c>
      <c r="DU99" s="59">
        <f t="shared" si="98"/>
        <v>-18.333333333333343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-18.333333333333343</v>
      </c>
      <c r="EP99" s="59">
        <f t="shared" si="100"/>
        <v>-18.333333333333343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8.0470000000000024</v>
      </c>
      <c r="FE99" s="12">
        <f>IF('Données projet'!$A$218&gt;35,FE98+FD99-FM98,IF(A99&lt;'Données projet'!$A$218,$FB$205^A99,IF(A99='Données projet'!$A$218,'Données projet'!$B$218,FE98+FD99-FM98)))</f>
        <v>301.03400000000028</v>
      </c>
      <c r="FF99" s="17">
        <f>FE99*VLOOKUP('Données projet'!$B$16,Paramètres!$A$1:$I$89,3,0)*VLOOKUP('Données projet'!$B$16,Paramètres!$A$1:$I$89,5,0)</f>
        <v>291.16008480000028</v>
      </c>
      <c r="FG99" s="13">
        <f t="shared" si="101"/>
        <v>69.320064193077258</v>
      </c>
      <c r="FH99" s="20">
        <f t="shared" si="76"/>
        <v>627.83625949627674</v>
      </c>
      <c r="FI99" s="59">
        <f t="shared" si="77"/>
        <v>904.08531169266416</v>
      </c>
      <c r="FJ99" s="59">
        <f ca="1">AVERAGE(OFFSET($FI$3,0,0,'Données projet'!$E$16+1,1))-AVERAGE(OFFSET($H$3,0,0,'Données projet'!$E$16+1,1))</f>
        <v>664.59451650228573</v>
      </c>
      <c r="FK99" s="59">
        <f t="shared" si="102"/>
        <v>304.44325029106631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36.643798948824227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36.643798948824227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-6.8212102632969618E-13</v>
      </c>
      <c r="O100" s="13">
        <f>N100*VLOOKUP('Données projet'!$B$9,Paramètres!$A$1:$I$89,3,0)*VLOOKUP('Données projet'!$B$9,Paramètres!$A$1:$I$89,5,0)</f>
        <v>-4.0790837374515837E-13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460.88622650237176</v>
      </c>
      <c r="T100" s="59">
        <f t="shared" si="88"/>
        <v>396.05161661639647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167.70067300663527</v>
      </c>
      <c r="AA100" s="21">
        <f>EXP(-LN(2)/25)*AA99+(1-EXP(-LN(2)/25))/(LN(2)/25)*Calculateur!V100*Calculateur!X100*VLOOKUP('Données projet'!$B$9,Paramètres!$A$1:$I$89,3,0)*0.475*44/12</f>
        <v>21.773560376894242</v>
      </c>
      <c r="AB100" s="21">
        <f>EXP(-LN(2)/2)*AB99+(1-EXP(-LN(2)/2))/(LN(2)/2)*V100*Y100*VLOOKUP('Données projet'!$B$9,Paramètres!$A$1:$I$89,3,0)*0.475*44/12</f>
        <v>2.837778612009979E-2</v>
      </c>
      <c r="AC100" s="22">
        <f t="shared" si="57"/>
        <v>189.50261116964961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8.7210000000000036</v>
      </c>
      <c r="AI100" s="13">
        <f>IF('Données projet'!$A$62&gt;35,AI99+AH100-AQ99,IF(A100&lt;'Données projet'!$A$62,$AF$205^A100,IF(A100='Données projet'!$A$62,'Données projet'!$B$62,AI99+AH100-AQ99)))</f>
        <v>286.91199999999952</v>
      </c>
      <c r="AJ100" s="13">
        <f>AI100*VLOOKUP('Données projet'!$B$10,Paramètres!$A$1:$I$89,3,0)*VLOOKUP('Données projet'!$B$10,Paramètres!$A$1:$I$89,5,0)</f>
        <v>134.27481599999979</v>
      </c>
      <c r="AK100" s="13">
        <f t="shared" si="89"/>
        <v>34.982276112724144</v>
      </c>
      <c r="AL100" s="20">
        <f t="shared" si="58"/>
        <v>294.78943542966084</v>
      </c>
      <c r="AM100" s="59">
        <f t="shared" si="59"/>
        <v>571.33486170904371</v>
      </c>
      <c r="AN100" s="59">
        <f ca="1">AVERAGE(OFFSET($AM$3,0,0,'Données projet'!$E$10+1,1))-AVERAGE(OFFSET($H$3,0,0,'Données projet'!$E$10+1,1))</f>
        <v>387.50901594883317</v>
      </c>
      <c r="AO100" s="59">
        <f t="shared" si="90"/>
        <v>361.3623790401972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153.94190928282489</v>
      </c>
      <c r="AV100" s="21">
        <f>EXP(-LN(2)/25)*AV99+(1-EXP(-LN(2)/25))/(LN(2)/25)*Calculateur!AQ100*Calculateur!AS100*VLOOKUP('Données projet'!$B$10,Paramètres!$A$1:$I$89,3,0)*0.475*44/12</f>
        <v>26.476207285229044</v>
      </c>
      <c r="AW100" s="21">
        <f>EXP(-LN(2)/2)*AW99+(1-EXP(-LN(2)/2))/(LN(2)/2)*AQ100*AT100*VLOOKUP('Données projet'!$B$10,Paramètres!$A$1:$I$89,3,0)*0.475*44/12</f>
        <v>6.5505662366854658</v>
      </c>
      <c r="AX100" s="21">
        <f t="shared" si="60"/>
        <v>186.96868280473939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8.0470000000000024</v>
      </c>
      <c r="BD100" s="12">
        <f>IF('Données projet'!$A$88&gt;35,BD99+BC100-BL99,IF(A100&lt;'Données projet'!$A$88,$BA$205^A100,IF(A100='Données projet'!$A$88,'Données projet'!$B$88,BD99+BC100-BL99)))</f>
        <v>309.0810000000003</v>
      </c>
      <c r="BE100" s="13">
        <f>BD100*VLOOKUP('Données projet'!$B$11,Paramètres!$A$1:$I$89,3,0)*VLOOKUP('Données projet'!$B$11,Paramètres!$A$1:$I$89,5,0)</f>
        <v>279.65648880000026</v>
      </c>
      <c r="BF100" s="13">
        <f t="shared" si="91"/>
        <v>66.894409904113928</v>
      </c>
      <c r="BG100" s="20">
        <f t="shared" si="61"/>
        <v>603.57614857633223</v>
      </c>
      <c r="BH100" s="59">
        <f t="shared" si="62"/>
        <v>880.12157485571504</v>
      </c>
      <c r="BI100" s="59">
        <f ca="1">AVERAGE(OFFSET($BH$3,0,0,'Données projet'!$E$11+1,1))-AVERAGE(OFFSET($H$3,0,0,'Données projet'!$E$11+1,1))</f>
        <v>627.65081154031589</v>
      </c>
      <c r="BJ100" s="59">
        <f t="shared" si="92"/>
        <v>288.78083487077618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33.607479214725757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33.607479214725757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8.0470000000000024</v>
      </c>
      <c r="BY100" s="12">
        <f>IF('Données projet'!$A$114&gt;35,BY99+BX100-CG99,IF(A100&lt;'Données projet'!$A$114,$BV$205^A100,IF(A100='Données projet'!$A$114,'Données projet'!$B$114,BY99+BX100-CG99)))</f>
        <v>309.0810000000003</v>
      </c>
      <c r="BZ100" s="13">
        <f>BY100*VLOOKUP('Données projet'!$B$12,Paramètres!$A$1:$I$89,3,0)*VLOOKUP('Données projet'!$B$12,Paramètres!$A$1:$I$89,5,0)</f>
        <v>313.4081340000003</v>
      </c>
      <c r="CA100" s="13">
        <f t="shared" si="93"/>
        <v>73.980130635311994</v>
      </c>
      <c r="CB100" s="20">
        <f t="shared" si="64"/>
        <v>674.70122757316892</v>
      </c>
      <c r="CC100" s="59">
        <f t="shared" si="65"/>
        <v>951.24665385255173</v>
      </c>
      <c r="CD100" s="59">
        <f ca="1">AVERAGE(OFFSET($CC$3,0,0,'Données projet'!$E$12+1,1))-AVERAGE(OFFSET($H$3,0,0,'Données projet'!$E$12+1,1))</f>
        <v>692.2706942067415</v>
      </c>
      <c r="CE100" s="59">
        <f t="shared" si="94"/>
        <v>316.17529091924803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37.66355429236507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37.66355429236507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6</v>
      </c>
      <c r="CT100" s="12">
        <f>IF('Données projet'!$A$140&gt;35,CT99+CS100-DB99,IF(A100&lt;'Données projet'!$A$140,$CQ$205^A100,IF(A100='Données projet'!$A$140,'Données projet'!$B$140,CT99+CS100-DB99)))</f>
        <v>253</v>
      </c>
      <c r="CU100" s="17">
        <f>CT100*VLOOKUP('Données projet'!$B$13,Paramètres!$A$1:$I$89,3,0)*VLOOKUP('Données projet'!$B$13,Paramètres!$A$1:$I$89,5,0)</f>
        <v>240.75479999999999</v>
      </c>
      <c r="CV100" s="13">
        <f t="shared" si="95"/>
        <v>58.601899688541096</v>
      </c>
      <c r="CW100" s="20">
        <f t="shared" si="67"/>
        <v>521.37958529087575</v>
      </c>
      <c r="CX100" s="59">
        <f t="shared" si="68"/>
        <v>797.92501157025856</v>
      </c>
      <c r="CY100" s="59">
        <f ca="1">AVERAGE(OFFSET($CX$3,0,0,'Données projet'!$E$13+1,1))-AVERAGE(OFFSET($H$3,0,0,'Données projet'!$E$13+1,1))</f>
        <v>424.5933338095914</v>
      </c>
      <c r="CZ100" s="59">
        <f t="shared" si="96"/>
        <v>159.28977188196134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43.237475568799816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43.237475568799816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-18.333333333333343</v>
      </c>
      <c r="DU100" s="59">
        <f t="shared" si="98"/>
        <v>-18.333333333333343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-18.333333333333343</v>
      </c>
      <c r="EP100" s="59">
        <f t="shared" si="100"/>
        <v>-18.333333333333343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8.0470000000000024</v>
      </c>
      <c r="FE100" s="12">
        <f>IF('Données projet'!$A$218&gt;35,FE99+FD100-FM99,IF(A100&lt;'Données projet'!$A$218,$FB$205^A100,IF(A100='Données projet'!$A$218,'Données projet'!$B$218,FE99+FD100-FM99)))</f>
        <v>309.0810000000003</v>
      </c>
      <c r="FF100" s="17">
        <f>FE100*VLOOKUP('Données projet'!$B$16,Paramètres!$A$1:$I$89,3,0)*VLOOKUP('Données projet'!$B$16,Paramètres!$A$1:$I$89,5,0)</f>
        <v>298.94314320000029</v>
      </c>
      <c r="FG100" s="13">
        <f t="shared" si="101"/>
        <v>70.954860210387238</v>
      </c>
      <c r="FH100" s="20">
        <f t="shared" si="76"/>
        <v>644.23902260642501</v>
      </c>
      <c r="FI100" s="59">
        <f t="shared" si="77"/>
        <v>920.78444888580782</v>
      </c>
      <c r="FJ100" s="59">
        <f ca="1">AVERAGE(OFFSET($FI$3,0,0,'Données projet'!$E$16+1,1))-AVERAGE(OFFSET($H$3,0,0,'Données projet'!$E$16+1,1))</f>
        <v>664.59451650228573</v>
      </c>
      <c r="FK100" s="59">
        <f t="shared" si="102"/>
        <v>304.44325029106631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35.925236401948212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35.925236401948212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-6.8212102632969618E-13</v>
      </c>
      <c r="O101" s="13">
        <f>N101*VLOOKUP('Données projet'!$B$9,Paramètres!$A$1:$I$89,3,0)*VLOOKUP('Données projet'!$B$9,Paramètres!$A$1:$I$89,5,0)</f>
        <v>-4.0790837374515837E-13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460.88622650237176</v>
      </c>
      <c r="T101" s="59">
        <f t="shared" si="88"/>
        <v>396.05161661639647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164.41216509628566</v>
      </c>
      <c r="AA101" s="21">
        <f>EXP(-LN(2)/25)*AA100+(1-EXP(-LN(2)/25))/(LN(2)/25)*Calculateur!V101*Calculateur!X101*VLOOKUP('Données projet'!$B$9,Paramètres!$A$1:$I$89,3,0)*0.475*44/12</f>
        <v>21.178161223366292</v>
      </c>
      <c r="AB101" s="21">
        <f>EXP(-LN(2)/2)*AB100+(1-EXP(-LN(2)/2))/(LN(2)/2)*V101*Y101*VLOOKUP('Données projet'!$B$9,Paramètres!$A$1:$I$89,3,0)*0.475*44/12</f>
        <v>2.0066125000584047E-2</v>
      </c>
      <c r="AC101" s="22">
        <f t="shared" si="57"/>
        <v>185.61039244465255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8.7210000000000036</v>
      </c>
      <c r="AI101" s="13">
        <f>IF('Données projet'!$A$62&gt;35,AI100+AH101-AQ100,IF(A101&lt;'Données projet'!$A$62,$AF$205^A101,IF(A101='Données projet'!$A$62,'Données projet'!$B$62,AI100+AH101-AQ100)))</f>
        <v>295.63299999999953</v>
      </c>
      <c r="AJ101" s="13">
        <f>AI101*VLOOKUP('Données projet'!$B$10,Paramètres!$A$1:$I$89,3,0)*VLOOKUP('Données projet'!$B$10,Paramètres!$A$1:$I$89,5,0)</f>
        <v>138.35624399999978</v>
      </c>
      <c r="AK101" s="13">
        <f t="shared" si="89"/>
        <v>35.920185629681562</v>
      </c>
      <c r="AL101" s="20">
        <f t="shared" si="58"/>
        <v>303.53144827169496</v>
      </c>
      <c r="AM101" s="59">
        <f t="shared" si="59"/>
        <v>580.36810720632639</v>
      </c>
      <c r="AN101" s="59">
        <f ca="1">AVERAGE(OFFSET($AM$3,0,0,'Données projet'!$E$10+1,1))-AVERAGE(OFFSET($H$3,0,0,'Données projet'!$E$10+1,1))</f>
        <v>387.50901594883317</v>
      </c>
      <c r="AO101" s="59">
        <f t="shared" si="90"/>
        <v>361.3623790401972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150.92320233708196</v>
      </c>
      <c r="AV101" s="21">
        <f>EXP(-LN(2)/25)*AV100+(1-EXP(-LN(2)/25))/(LN(2)/25)*Calculateur!AQ101*Calculateur!AS101*VLOOKUP('Données projet'!$B$10,Paramètres!$A$1:$I$89,3,0)*0.475*44/12</f>
        <v>25.752214004691226</v>
      </c>
      <c r="AW101" s="21">
        <f>EXP(-LN(2)/2)*AW100+(1-EXP(-LN(2)/2))/(LN(2)/2)*AQ101*AT101*VLOOKUP('Données projet'!$B$10,Paramètres!$A$1:$I$89,3,0)*0.475*44/12</f>
        <v>4.631949806571936</v>
      </c>
      <c r="AX101" s="21">
        <f t="shared" si="60"/>
        <v>181.30736614834512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8.0470000000000024</v>
      </c>
      <c r="BD101" s="12">
        <f>IF('Données projet'!$A$88&gt;35,BD100+BC101-BL100,IF(A101&lt;'Données projet'!$A$88,$BA$205^A101,IF(A101='Données projet'!$A$88,'Données projet'!$B$88,BD100+BC101-BL100)))</f>
        <v>317.12800000000033</v>
      </c>
      <c r="BE101" s="13">
        <f>BD101*VLOOKUP('Données projet'!$B$11,Paramètres!$A$1:$I$89,3,0)*VLOOKUP('Données projet'!$B$11,Paramètres!$A$1:$I$89,5,0)</f>
        <v>286.93741440000031</v>
      </c>
      <c r="BF101" s="13">
        <f t="shared" si="91"/>
        <v>68.430989143985158</v>
      </c>
      <c r="BG101" s="20">
        <f t="shared" si="61"/>
        <v>618.93330283910791</v>
      </c>
      <c r="BH101" s="59">
        <f t="shared" si="62"/>
        <v>895.76996177373928</v>
      </c>
      <c r="BI101" s="59">
        <f ca="1">AVERAGE(OFFSET($BH$3,0,0,'Données projet'!$E$11+1,1))-AVERAGE(OFFSET($H$3,0,0,'Données projet'!$E$11+1,1))</f>
        <v>627.65081154031589</v>
      </c>
      <c r="BJ101" s="59">
        <f t="shared" si="92"/>
        <v>288.78083487077618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32.948457045863243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32.948457045863243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8.0470000000000024</v>
      </c>
      <c r="BY101" s="12">
        <f>IF('Données projet'!$A$114&gt;35,BY100+BX101-CG100,IF(A101&lt;'Données projet'!$A$114,$BV$205^A101,IF(A101='Données projet'!$A$114,'Données projet'!$B$114,BY100+BX101-CG100)))</f>
        <v>317.12800000000033</v>
      </c>
      <c r="BZ101" s="13">
        <f>BY101*VLOOKUP('Données projet'!$B$12,Paramètres!$A$1:$I$89,3,0)*VLOOKUP('Données projet'!$B$12,Paramètres!$A$1:$I$89,5,0)</f>
        <v>321.56779200000034</v>
      </c>
      <c r="CA101" s="13">
        <f t="shared" si="93"/>
        <v>75.679470431568902</v>
      </c>
      <c r="CB101" s="20">
        <f t="shared" si="64"/>
        <v>691.87231540164976</v>
      </c>
      <c r="CC101" s="59">
        <f t="shared" si="65"/>
        <v>968.70897433628113</v>
      </c>
      <c r="CD101" s="59">
        <f ca="1">AVERAGE(OFFSET($CC$3,0,0,'Données projet'!$E$12+1,1))-AVERAGE(OFFSET($H$3,0,0,'Données projet'!$E$12+1,1))</f>
        <v>692.2706942067415</v>
      </c>
      <c r="CE101" s="59">
        <f t="shared" si="94"/>
        <v>316.17529091924803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36.924994965191566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36.924994965191566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6</v>
      </c>
      <c r="CT101" s="12">
        <f>IF('Données projet'!$A$140&gt;35,CT100+CS101-DB100,IF(A101&lt;'Données projet'!$A$140,$CQ$205^A101,IF(A101='Données projet'!$A$140,'Données projet'!$B$140,CT100+CS101-DB100)))</f>
        <v>259</v>
      </c>
      <c r="CU101" s="17">
        <f>CT101*VLOOKUP('Données projet'!$B$13,Paramètres!$A$1:$I$89,3,0)*VLOOKUP('Données projet'!$B$13,Paramètres!$A$1:$I$89,5,0)</f>
        <v>246.46440000000001</v>
      </c>
      <c r="CV101" s="13">
        <f t="shared" si="95"/>
        <v>59.828218865086768</v>
      </c>
      <c r="CW101" s="20">
        <f t="shared" si="67"/>
        <v>533.45964452335932</v>
      </c>
      <c r="CX101" s="59">
        <f t="shared" si="68"/>
        <v>810.29630345799069</v>
      </c>
      <c r="CY101" s="59">
        <f ca="1">AVERAGE(OFFSET($CX$3,0,0,'Données projet'!$E$13+1,1))-AVERAGE(OFFSET($H$3,0,0,'Données projet'!$E$13+1,1))</f>
        <v>424.5933338095914</v>
      </c>
      <c r="CZ101" s="59">
        <f t="shared" si="96"/>
        <v>159.28977188196134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42.389615045151707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42.389615045151707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-18.333333333333343</v>
      </c>
      <c r="DU101" s="59">
        <f t="shared" si="98"/>
        <v>-18.333333333333343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-18.333333333333343</v>
      </c>
      <c r="EP101" s="59">
        <f t="shared" si="100"/>
        <v>-18.333333333333343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8.0470000000000024</v>
      </c>
      <c r="FE101" s="12">
        <f>IF('Données projet'!$A$218&gt;35,FE100+FD101-FM100,IF(A101&lt;'Données projet'!$A$218,$FB$205^A101,IF(A101='Données projet'!$A$218,'Données projet'!$B$218,FE100+FD101-FM100)))</f>
        <v>317.12800000000033</v>
      </c>
      <c r="FF101" s="17">
        <f>FE101*VLOOKUP('Données projet'!$B$16,Paramètres!$A$1:$I$89,3,0)*VLOOKUP('Données projet'!$B$16,Paramètres!$A$1:$I$89,5,0)</f>
        <v>306.72620160000031</v>
      </c>
      <c r="FG101" s="13">
        <f t="shared" si="101"/>
        <v>72.584708882698152</v>
      </c>
      <c r="FH101" s="20">
        <f t="shared" si="76"/>
        <v>660.63316909069977</v>
      </c>
      <c r="FI101" s="59">
        <f t="shared" si="77"/>
        <v>937.46982802533114</v>
      </c>
      <c r="FJ101" s="59">
        <f ca="1">AVERAGE(OFFSET($FI$3,0,0,'Données projet'!$E$16+1,1))-AVERAGE(OFFSET($H$3,0,0,'Données projet'!$E$16+1,1))</f>
        <v>664.59451650228573</v>
      </c>
      <c r="FK101" s="59">
        <f t="shared" si="102"/>
        <v>304.44325029106631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35.220764428336558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35.220764428336558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-6.8212102632969618E-13</v>
      </c>
      <c r="O102" s="13">
        <f>N102*VLOOKUP('Données projet'!$B$9,Paramètres!$A$1:$I$89,3,0)*VLOOKUP('Données projet'!$B$9,Paramètres!$A$1:$I$89,5,0)</f>
        <v>-4.0790837374515837E-13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460.88622650237176</v>
      </c>
      <c r="T102" s="59">
        <f t="shared" si="88"/>
        <v>396.05161661639647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161.18814282026622</v>
      </c>
      <c r="AA102" s="21">
        <f>EXP(-LN(2)/25)*AA101+(1-EXP(-LN(2)/25))/(LN(2)/25)*Calculateur!V102*Calculateur!X102*VLOOKUP('Données projet'!$B$9,Paramètres!$A$1:$I$89,3,0)*0.475*44/12</f>
        <v>20.599043291002246</v>
      </c>
      <c r="AB102" s="21">
        <f>EXP(-LN(2)/2)*AB101+(1-EXP(-LN(2)/2))/(LN(2)/2)*V102*Y102*VLOOKUP('Données projet'!$B$9,Paramètres!$A$1:$I$89,3,0)*0.475*44/12</f>
        <v>1.4188893060049895E-2</v>
      </c>
      <c r="AC102" s="22">
        <f t="shared" si="57"/>
        <v>181.80137500432849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8.7210000000000036</v>
      </c>
      <c r="AI102" s="13">
        <f>IF('Données projet'!$A$62&gt;35,AI101+AH102-AQ101,IF(A102&lt;'Données projet'!$A$62,$AF$205^A102,IF(A102='Données projet'!$A$62,'Données projet'!$B$62,AI101+AH102-AQ101)))</f>
        <v>304.35399999999953</v>
      </c>
      <c r="AJ102" s="13">
        <f>AI102*VLOOKUP('Données projet'!$B$10,Paramètres!$A$1:$I$89,3,0)*VLOOKUP('Données projet'!$B$10,Paramètres!$A$1:$I$89,5,0)</f>
        <v>142.43767199999976</v>
      </c>
      <c r="AK102" s="13">
        <f t="shared" si="89"/>
        <v>36.854879647142347</v>
      </c>
      <c r="AL102" s="20">
        <f t="shared" si="58"/>
        <v>312.26786078543915</v>
      </c>
      <c r="AM102" s="59">
        <f t="shared" si="59"/>
        <v>589.39070013984929</v>
      </c>
      <c r="AN102" s="59">
        <f ca="1">AVERAGE(OFFSET($AM$3,0,0,'Données projet'!$E$10+1,1))-AVERAGE(OFFSET($H$3,0,0,'Données projet'!$E$10+1,1))</f>
        <v>387.50901594883317</v>
      </c>
      <c r="AO102" s="59">
        <f t="shared" si="90"/>
        <v>361.3623790401972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147.96369039331563</v>
      </c>
      <c r="AV102" s="21">
        <f>EXP(-LN(2)/25)*AV101+(1-EXP(-LN(2)/25))/(LN(2)/25)*Calculateur!AQ102*Calculateur!AS102*VLOOKUP('Données projet'!$B$10,Paramètres!$A$1:$I$89,3,0)*0.475*44/12</f>
        <v>25.048018358482867</v>
      </c>
      <c r="AW102" s="21">
        <f>EXP(-LN(2)/2)*AW101+(1-EXP(-LN(2)/2))/(LN(2)/2)*AQ102*AT102*VLOOKUP('Données projet'!$B$10,Paramètres!$A$1:$I$89,3,0)*0.475*44/12</f>
        <v>3.2752831183427333</v>
      </c>
      <c r="AX102" s="21">
        <f t="shared" si="60"/>
        <v>176.28699187014124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8.0470000000000024</v>
      </c>
      <c r="BD102" s="12">
        <f>IF('Données projet'!$A$88&gt;35,BD101+BC102-BL101,IF(A102&lt;'Données projet'!$A$88,$BA$205^A102,IF(A102='Données projet'!$A$88,'Données projet'!$B$88,BD101+BC102-BL101)))</f>
        <v>325.17500000000035</v>
      </c>
      <c r="BE102" s="13">
        <f>BD102*VLOOKUP('Données projet'!$B$11,Paramètres!$A$1:$I$89,3,0)*VLOOKUP('Données projet'!$B$11,Paramètres!$A$1:$I$89,5,0)</f>
        <v>294.2183400000003</v>
      </c>
      <c r="BF102" s="13">
        <f t="shared" si="91"/>
        <v>69.963036117759913</v>
      </c>
      <c r="BG102" s="20">
        <f t="shared" si="61"/>
        <v>634.28256340509904</v>
      </c>
      <c r="BH102" s="59">
        <f t="shared" si="62"/>
        <v>911.40540275950912</v>
      </c>
      <c r="BI102" s="59">
        <f ca="1">AVERAGE(OFFSET($BH$3,0,0,'Données projet'!$E$11+1,1))-AVERAGE(OFFSET($H$3,0,0,'Données projet'!$E$11+1,1))</f>
        <v>627.65081154031589</v>
      </c>
      <c r="BJ102" s="59">
        <f t="shared" si="92"/>
        <v>288.78083487077618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32.302357899768289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32.302357899768289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8.0470000000000024</v>
      </c>
      <c r="BY102" s="12">
        <f>IF('Données projet'!$A$114&gt;35,BY101+BX102-CG101,IF(A102&lt;'Données projet'!$A$114,$BV$205^A102,IF(A102='Données projet'!$A$114,'Données projet'!$B$114,BY101+BX102-CG101)))</f>
        <v>325.17500000000035</v>
      </c>
      <c r="BZ102" s="13">
        <f>BY102*VLOOKUP('Données projet'!$B$12,Paramètres!$A$1:$I$89,3,0)*VLOOKUP('Données projet'!$B$12,Paramètres!$A$1:$I$89,5,0)</f>
        <v>329.72745000000037</v>
      </c>
      <c r="CA102" s="13">
        <f t="shared" si="93"/>
        <v>77.373797886161128</v>
      </c>
      <c r="CB102" s="20">
        <f t="shared" si="64"/>
        <v>709.0346734017312</v>
      </c>
      <c r="CC102" s="59">
        <f t="shared" si="65"/>
        <v>986.15751275614139</v>
      </c>
      <c r="CD102" s="59">
        <f ca="1">AVERAGE(OFFSET($CC$3,0,0,'Données projet'!$E$12+1,1))-AVERAGE(OFFSET($H$3,0,0,'Données projet'!$E$12+1,1))</f>
        <v>692.2706942067415</v>
      </c>
      <c r="CE102" s="59">
        <f t="shared" si="94"/>
        <v>316.17529091924803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36.200918335947222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36.200918335947222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6</v>
      </c>
      <c r="CT102" s="12">
        <f>IF('Données projet'!$A$140&gt;35,CT101+CS102-DB101,IF(A102&lt;'Données projet'!$A$140,$CQ$205^A102,IF(A102='Données projet'!$A$140,'Données projet'!$B$140,CT101+CS102-DB101)))</f>
        <v>265</v>
      </c>
      <c r="CU102" s="17">
        <f>CT102*VLOOKUP('Données projet'!$B$13,Paramètres!$A$1:$I$89,3,0)*VLOOKUP('Données projet'!$B$13,Paramètres!$A$1:$I$89,5,0)</f>
        <v>252.17400000000001</v>
      </c>
      <c r="CV102" s="13">
        <f t="shared" si="95"/>
        <v>61.051235383411935</v>
      </c>
      <c r="CW102" s="20">
        <f t="shared" si="67"/>
        <v>545.53395162610911</v>
      </c>
      <c r="CX102" s="59">
        <f t="shared" si="68"/>
        <v>822.65679098051919</v>
      </c>
      <c r="CY102" s="59">
        <f ca="1">AVERAGE(OFFSET($CX$3,0,0,'Données projet'!$E$13+1,1))-AVERAGE(OFFSET($H$3,0,0,'Données projet'!$E$13+1,1))</f>
        <v>424.5933338095914</v>
      </c>
      <c r="CZ102" s="59">
        <f t="shared" si="96"/>
        <v>159.28977188196134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41.558380549228481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41.558380549228481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-18.333333333333343</v>
      </c>
      <c r="DU102" s="59">
        <f t="shared" si="98"/>
        <v>-18.333333333333343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-18.333333333333343</v>
      </c>
      <c r="EP102" s="59">
        <f t="shared" si="100"/>
        <v>-18.333333333333343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8.0470000000000024</v>
      </c>
      <c r="FE102" s="12">
        <f>IF('Données projet'!$A$218&gt;35,FE101+FD102-FM101,IF(A102&lt;'Données projet'!$A$218,$FB$205^A102,IF(A102='Données projet'!$A$218,'Données projet'!$B$218,FE101+FD102-FM101)))</f>
        <v>325.17500000000035</v>
      </c>
      <c r="FF102" s="17">
        <f>FE102*VLOOKUP('Données projet'!$B$16,Paramètres!$A$1:$I$89,3,0)*VLOOKUP('Données projet'!$B$16,Paramètres!$A$1:$I$89,5,0)</f>
        <v>314.50926000000038</v>
      </c>
      <c r="FG102" s="13">
        <f t="shared" si="101"/>
        <v>74.209750183096105</v>
      </c>
      <c r="FH102" s="20">
        <f t="shared" si="76"/>
        <v>677.01894273555968</v>
      </c>
      <c r="FI102" s="59">
        <f t="shared" si="77"/>
        <v>954.14178208996987</v>
      </c>
      <c r="FJ102" s="59">
        <f ca="1">AVERAGE(OFFSET($FI$3,0,0,'Données projet'!$E$16+1,1))-AVERAGE(OFFSET($H$3,0,0,'Données projet'!$E$16+1,1))</f>
        <v>664.59451650228573</v>
      </c>
      <c r="FK102" s="59">
        <f t="shared" si="102"/>
        <v>304.44325029106631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34.530106720441957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34.530106720441957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-6.8212102632969618E-13</v>
      </c>
      <c r="O103" s="13">
        <f>N103*VLOOKUP('Données projet'!$B$9,Paramètres!$A$1:$I$89,3,0)*VLOOKUP('Données projet'!$B$9,Paramètres!$A$1:$I$89,5,0)</f>
        <v>-4.0790837374515837E-13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460.88622650237176</v>
      </c>
      <c r="T103" s="59">
        <f t="shared" si="88"/>
        <v>396.05161661639647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158.0273416546201</v>
      </c>
      <c r="AA103" s="21">
        <f>EXP(-LN(2)/25)*AA102+(1-EXP(-LN(2)/25))/(LN(2)/25)*Calculateur!V103*Calculateur!X103*VLOOKUP('Données projet'!$B$9,Paramètres!$A$1:$I$89,3,0)*0.475*44/12</f>
        <v>20.035761368953182</v>
      </c>
      <c r="AB103" s="21">
        <f>EXP(-LN(2)/2)*AB102+(1-EXP(-LN(2)/2))/(LN(2)/2)*V103*Y103*VLOOKUP('Données projet'!$B$9,Paramètres!$A$1:$I$89,3,0)*0.475*44/12</f>
        <v>1.0033062500292024E-2</v>
      </c>
      <c r="AC103" s="22">
        <f t="shared" si="57"/>
        <v>178.07313608607359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8.7210000000000036</v>
      </c>
      <c r="AI103" s="13">
        <f>IF('Données projet'!$A$62&gt;35,AI102+AH103-AQ102,IF(A103&lt;'Données projet'!$A$62,$AF$205^A103,IF(A103='Données projet'!$A$62,'Données projet'!$B$62,AI102+AH103-AQ102)))</f>
        <v>313.07499999999953</v>
      </c>
      <c r="AJ103" s="13">
        <f>AI103*VLOOKUP('Données projet'!$B$10,Paramètres!$A$1:$I$89,3,0)*VLOOKUP('Données projet'!$B$10,Paramètres!$A$1:$I$89,5,0)</f>
        <v>146.51909999999978</v>
      </c>
      <c r="AK103" s="13">
        <f t="shared" si="89"/>
        <v>37.786460884380837</v>
      </c>
      <c r="AL103" s="20">
        <f t="shared" si="58"/>
        <v>320.99885187362952</v>
      </c>
      <c r="AM103" s="59">
        <f t="shared" si="59"/>
        <v>598.40290705733878</v>
      </c>
      <c r="AN103" s="59">
        <f ca="1">AVERAGE(OFFSET($AM$3,0,0,'Données projet'!$E$10+1,1))-AVERAGE(OFFSET($H$3,0,0,'Données projet'!$E$10+1,1))</f>
        <v>387.50901594883317</v>
      </c>
      <c r="AO103" s="59">
        <f t="shared" si="90"/>
        <v>361.3623790401972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145.06221267364251</v>
      </c>
      <c r="AV103" s="21">
        <f>EXP(-LN(2)/25)*AV102+(1-EXP(-LN(2)/25))/(LN(2)/25)*Calculateur!AQ103*Calculateur!AS103*VLOOKUP('Données projet'!$B$10,Paramètres!$A$1:$I$89,3,0)*0.475*44/12</f>
        <v>24.363078979252116</v>
      </c>
      <c r="AW103" s="21">
        <f>EXP(-LN(2)/2)*AW102+(1-EXP(-LN(2)/2))/(LN(2)/2)*AQ103*AT103*VLOOKUP('Données projet'!$B$10,Paramètres!$A$1:$I$89,3,0)*0.475*44/12</f>
        <v>2.3159749032859684</v>
      </c>
      <c r="AX103" s="21">
        <f t="shared" si="60"/>
        <v>171.74126655618059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8.0470000000000024</v>
      </c>
      <c r="BD103" s="12">
        <f>IF('Données projet'!$A$88&gt;35,BD102+BC103-BL102,IF(A103&lt;'Données projet'!$A$88,$BA$205^A103,IF(A103='Données projet'!$A$88,'Données projet'!$B$88,BD102+BC103-BL102)))</f>
        <v>333.22200000000038</v>
      </c>
      <c r="BE103" s="13">
        <f>BD103*VLOOKUP('Données projet'!$B$11,Paramètres!$A$1:$I$89,3,0)*VLOOKUP('Données projet'!$B$11,Paramètres!$A$1:$I$89,5,0)</f>
        <v>301.49926560000034</v>
      </c>
      <c r="BF103" s="13">
        <f t="shared" si="91"/>
        <v>71.490675884857296</v>
      </c>
      <c r="BG103" s="20">
        <f t="shared" si="61"/>
        <v>649.62414808612709</v>
      </c>
      <c r="BH103" s="59">
        <f t="shared" si="62"/>
        <v>927.02820326983624</v>
      </c>
      <c r="BI103" s="59">
        <f ca="1">AVERAGE(OFFSET($BH$3,0,0,'Données projet'!$E$11+1,1))-AVERAGE(OFFSET($H$3,0,0,'Données projet'!$E$11+1,1))</f>
        <v>627.65081154031589</v>
      </c>
      <c r="BJ103" s="59">
        <f t="shared" si="92"/>
        <v>288.78083487077618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31.668928363846693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31.668928363846693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8.0470000000000024</v>
      </c>
      <c r="BY103" s="12">
        <f>IF('Données projet'!$A$114&gt;35,BY102+BX103-CG102,IF(A103&lt;'Données projet'!$A$114,$BV$205^A103,IF(A103='Données projet'!$A$114,'Données projet'!$B$114,BY102+BX103-CG102)))</f>
        <v>333.22200000000038</v>
      </c>
      <c r="BZ103" s="13">
        <f>BY103*VLOOKUP('Données projet'!$B$12,Paramètres!$A$1:$I$89,3,0)*VLOOKUP('Données projet'!$B$12,Paramètres!$A$1:$I$89,5,0)</f>
        <v>337.88710800000041</v>
      </c>
      <c r="CA103" s="13">
        <f t="shared" si="93"/>
        <v>79.063251305296689</v>
      </c>
      <c r="CB103" s="20">
        <f t="shared" si="64"/>
        <v>726.18854245672571</v>
      </c>
      <c r="CC103" s="59">
        <f t="shared" si="65"/>
        <v>1003.5925976404349</v>
      </c>
      <c r="CD103" s="59">
        <f ca="1">AVERAGE(OFFSET($CC$3,0,0,'Données projet'!$E$12+1,1))-AVERAGE(OFFSET($H$3,0,0,'Données projet'!$E$12+1,1))</f>
        <v>692.2706942067415</v>
      </c>
      <c r="CE103" s="59">
        <f t="shared" si="94"/>
        <v>316.17529091924803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35.491040407759222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35.491040407759222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271</v>
      </c>
      <c r="CR103" s="12">
        <f>VLOOKUP(A103,'Données projet'!$A$139:$I$159,9,0)</f>
        <v>6</v>
      </c>
      <c r="CS103" s="12">
        <f t="array" ref="CS103">INDEX(CR:CR,MIN(IF(ISNUMBER(CR103:CR299),ROW(CR103:CR299),"")))</f>
        <v>6</v>
      </c>
      <c r="CT103" s="12">
        <f>IF('Données projet'!$A$140&gt;35,CT102+CS103-DB102,IF(A103&lt;'Données projet'!$A$140,$CQ$205^A103,IF(A103='Données projet'!$A$140,'Données projet'!$B$140,CT102+CS103-DB102)))</f>
        <v>271</v>
      </c>
      <c r="CU103" s="17">
        <f>CT103*VLOOKUP('Données projet'!$B$13,Paramètres!$A$1:$I$89,3,0)*VLOOKUP('Données projet'!$B$13,Paramètres!$A$1:$I$89,5,0)</f>
        <v>257.8836</v>
      </c>
      <c r="CV103" s="13">
        <f t="shared" si="95"/>
        <v>62.271032629233176</v>
      </c>
      <c r="CW103" s="20">
        <f t="shared" si="67"/>
        <v>557.60265182924775</v>
      </c>
      <c r="CX103" s="59">
        <f t="shared" si="68"/>
        <v>835.00670701295689</v>
      </c>
      <c r="CY103" s="59">
        <f ca="1">AVERAGE(OFFSET($CX$3,0,0,'Données projet'!$E$13+1,1))-AVERAGE(OFFSET($H$3,0,0,'Données projet'!$E$13+1,1))</f>
        <v>424.5933338095914</v>
      </c>
      <c r="CZ103" s="59">
        <f t="shared" si="96"/>
        <v>159.28977188196134</v>
      </c>
      <c r="DA103" s="15">
        <f>IF(ISNA(VLOOKUP(A103,'Données projet'!$A$139:$I$159,3,0)),0,VLOOKUP(A103,'Données projet'!$A$139:$I$159,3,0))</f>
        <v>14</v>
      </c>
      <c r="DB103" s="15">
        <f>IF(ISNA(VLOOKUP(A103,'Données projet'!$A$139:$I$159,4,0)),0,VLOOKUP(A103,'Données projet'!$A$139:$I$159,4,0))</f>
        <v>25</v>
      </c>
      <c r="DC103" s="16">
        <f>IF(ISNA(VLOOKUP(A103,'Données projet'!$A$139:$I$159,5,0)),0%,VLOOKUP(A103,'Données projet'!$A$139:$I$159,5,0)*VLOOKUP('Données projet'!$B$13,Paramètres!$A$1:$I$89,7,0))</f>
        <v>0.30099999999999999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48.659487293823076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48.659487293823076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-18.333333333333343</v>
      </c>
      <c r="DU103" s="59">
        <f t="shared" si="98"/>
        <v>-18.333333333333343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-18.333333333333343</v>
      </c>
      <c r="EP103" s="59">
        <f t="shared" si="100"/>
        <v>-18.333333333333343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8.0470000000000024</v>
      </c>
      <c r="FE103" s="12">
        <f>IF('Données projet'!$A$218&gt;35,FE102+FD103-FM102,IF(A103&lt;'Données projet'!$A$218,$FB$205^A103,IF(A103='Données projet'!$A$218,'Données projet'!$B$218,FE102+FD103-FM102)))</f>
        <v>333.22200000000038</v>
      </c>
      <c r="FF103" s="17">
        <f>FE103*VLOOKUP('Données projet'!$B$16,Paramètres!$A$1:$I$89,3,0)*VLOOKUP('Données projet'!$B$16,Paramètres!$A$1:$I$89,5,0)</f>
        <v>322.2923184000004</v>
      </c>
      <c r="FG103" s="13">
        <f t="shared" si="101"/>
        <v>75.830116762031381</v>
      </c>
      <c r="FH103" s="20">
        <f t="shared" si="76"/>
        <v>693.39657457387193</v>
      </c>
      <c r="FI103" s="59">
        <f t="shared" si="77"/>
        <v>970.80062975758119</v>
      </c>
      <c r="FJ103" s="59">
        <f ca="1">AVERAGE(OFFSET($FI$3,0,0,'Données projet'!$E$16+1,1))-AVERAGE(OFFSET($H$3,0,0,'Données projet'!$E$16+1,1))</f>
        <v>664.59451650228573</v>
      </c>
      <c r="FK103" s="59">
        <f t="shared" si="102"/>
        <v>304.44325029106631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33.852992388939562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33.852992388939562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-6.8212102632969618E-13</v>
      </c>
      <c r="O104" s="13">
        <f>N104*VLOOKUP('Données projet'!$B$9,Paramètres!$A$1:$I$89,3,0)*VLOOKUP('Données projet'!$B$9,Paramètres!$A$1:$I$89,5,0)</f>
        <v>-4.0790837374515837E-13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460.88622650237176</v>
      </c>
      <c r="T104" s="59">
        <f t="shared" si="88"/>
        <v>396.05161661639647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154.92852187193398</v>
      </c>
      <c r="AA104" s="21">
        <f>EXP(-LN(2)/25)*AA103+(1-EXP(-LN(2)/25))/(LN(2)/25)*Calculateur!V104*Calculateur!X104*VLOOKUP('Données projet'!$B$9,Paramètres!$A$1:$I$89,3,0)*0.475*44/12</f>
        <v>19.487882420684258</v>
      </c>
      <c r="AB104" s="21">
        <f>EXP(-LN(2)/2)*AB103+(1-EXP(-LN(2)/2))/(LN(2)/2)*V104*Y104*VLOOKUP('Données projet'!$B$9,Paramètres!$A$1:$I$89,3,0)*0.475*44/12</f>
        <v>7.0944465300249475E-3</v>
      </c>
      <c r="AC104" s="22">
        <f t="shared" si="57"/>
        <v>174.42349873914827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8.7210000000000036</v>
      </c>
      <c r="AI104" s="13">
        <f>IF('Données projet'!$A$62&gt;35,AI103+AH104-AQ103,IF(A104&lt;'Données projet'!$A$62,$AF$205^A104,IF(A104='Données projet'!$A$62,'Données projet'!$B$62,AI103+AH104-AQ103)))</f>
        <v>321.79599999999954</v>
      </c>
      <c r="AJ104" s="13">
        <f>AI104*VLOOKUP('Données projet'!$B$10,Paramètres!$A$1:$I$89,3,0)*VLOOKUP('Données projet'!$B$10,Paramètres!$A$1:$I$89,5,0)</f>
        <v>150.60052799999977</v>
      </c>
      <c r="AK104" s="13">
        <f t="shared" si="89"/>
        <v>38.715026012368448</v>
      </c>
      <c r="AL104" s="20">
        <f t="shared" si="58"/>
        <v>329.72458990487462</v>
      </c>
      <c r="AM104" s="59">
        <f t="shared" si="59"/>
        <v>607.40498245194908</v>
      </c>
      <c r="AN104" s="59">
        <f ca="1">AVERAGE(OFFSET($AM$3,0,0,'Données projet'!$E$10+1,1))-AVERAGE(OFFSET($H$3,0,0,'Données projet'!$E$10+1,1))</f>
        <v>387.50901594883317</v>
      </c>
      <c r="AO104" s="59">
        <f t="shared" si="90"/>
        <v>361.3623790401972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142.21763116232552</v>
      </c>
      <c r="AV104" s="21">
        <f>EXP(-LN(2)/25)*AV103+(1-EXP(-LN(2)/25))/(LN(2)/25)*Calculateur!AQ104*Calculateur!AS104*VLOOKUP('Données projet'!$B$10,Paramètres!$A$1:$I$89,3,0)*0.475*44/12</f>
        <v>23.696869303365826</v>
      </c>
      <c r="AW104" s="21">
        <f>EXP(-LN(2)/2)*AW103+(1-EXP(-LN(2)/2))/(LN(2)/2)*AQ104*AT104*VLOOKUP('Données projet'!$B$10,Paramètres!$A$1:$I$89,3,0)*0.475*44/12</f>
        <v>1.6376415591713669</v>
      </c>
      <c r="AX104" s="21">
        <f t="shared" si="60"/>
        <v>167.55214202486269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8.0470000000000024</v>
      </c>
      <c r="BD104" s="12">
        <f>IF('Données projet'!$A$88&gt;35,BD103+BC104-BL103,IF(A104&lt;'Données projet'!$A$88,$BA$205^A104,IF(A104='Données projet'!$A$88,'Données projet'!$B$88,BD103+BC104-BL103)))</f>
        <v>341.2690000000004</v>
      </c>
      <c r="BE104" s="13">
        <f>BD104*VLOOKUP('Données projet'!$B$11,Paramètres!$A$1:$I$89,3,0)*VLOOKUP('Données projet'!$B$11,Paramètres!$A$1:$I$89,5,0)</f>
        <v>308.78019120000033</v>
      </c>
      <c r="BF104" s="13">
        <f t="shared" si="91"/>
        <v>73.014027120130123</v>
      </c>
      <c r="BG104" s="20">
        <f t="shared" si="61"/>
        <v>664.95826357422709</v>
      </c>
      <c r="BH104" s="59">
        <f t="shared" si="62"/>
        <v>942.63865612130144</v>
      </c>
      <c r="BI104" s="59">
        <f ca="1">AVERAGE(OFFSET($BH$3,0,0,'Données projet'!$E$11+1,1))-AVERAGE(OFFSET($H$3,0,0,'Données projet'!$E$11+1,1))</f>
        <v>627.65081154031589</v>
      </c>
      <c r="BJ104" s="59">
        <f t="shared" si="92"/>
        <v>288.78083487077618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31.047919994770652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31.047919994770652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8.0470000000000024</v>
      </c>
      <c r="BY104" s="12">
        <f>IF('Données projet'!$A$114&gt;35,BY103+BX104-CG103,IF(A104&lt;'Données projet'!$A$114,$BV$205^A104,IF(A104='Données projet'!$A$114,'Données projet'!$B$114,BY103+BX104-CG103)))</f>
        <v>341.2690000000004</v>
      </c>
      <c r="BZ104" s="13">
        <f>BY104*VLOOKUP('Données projet'!$B$12,Paramètres!$A$1:$I$89,3,0)*VLOOKUP('Données projet'!$B$12,Paramètres!$A$1:$I$89,5,0)</f>
        <v>346.04676600000045</v>
      </c>
      <c r="CA104" s="13">
        <f t="shared" si="93"/>
        <v>80.747961934338676</v>
      </c>
      <c r="CB104" s="20">
        <f t="shared" si="64"/>
        <v>743.33415115230719</v>
      </c>
      <c r="CC104" s="59">
        <f t="shared" si="65"/>
        <v>1021.0145436993816</v>
      </c>
      <c r="CD104" s="59">
        <f ca="1">AVERAGE(OFFSET($CC$3,0,0,'Données projet'!$E$12+1,1))-AVERAGE(OFFSET($H$3,0,0,'Données projet'!$E$12+1,1))</f>
        <v>692.2706942067415</v>
      </c>
      <c r="CE104" s="59">
        <f t="shared" si="94"/>
        <v>316.17529091924803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34.795082752760209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34.795082752760209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5.4</v>
      </c>
      <c r="CT104" s="12">
        <f>IF('Données projet'!$A$140&gt;35,CT103+CS104-DB103,IF(A104&lt;'Données projet'!$A$140,$CQ$205^A104,IF(A104='Données projet'!$A$140,'Données projet'!$B$140,CT103+CS104-DB103)))</f>
        <v>251.39999999999998</v>
      </c>
      <c r="CU104" s="17">
        <f>CT104*VLOOKUP('Données projet'!$B$13,Paramètres!$A$1:$I$89,3,0)*VLOOKUP('Données projet'!$B$13,Paramètres!$A$1:$I$89,5,0)</f>
        <v>239.23223999999999</v>
      </c>
      <c r="CV104" s="13">
        <f t="shared" si="95"/>
        <v>58.274312386610639</v>
      </c>
      <c r="CW104" s="20">
        <f t="shared" si="67"/>
        <v>518.15724540668009</v>
      </c>
      <c r="CX104" s="59">
        <f t="shared" si="68"/>
        <v>795.83763795375444</v>
      </c>
      <c r="CY104" s="59">
        <f ca="1">AVERAGE(OFFSET($CX$3,0,0,'Données projet'!$E$13+1,1))-AVERAGE(OFFSET($H$3,0,0,'Données projet'!$E$13+1,1))</f>
        <v>424.5933338095914</v>
      </c>
      <c r="CZ104" s="59">
        <f t="shared" si="96"/>
        <v>159.28977188196134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47.705304427347862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47.705304427347862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-18.333333333333343</v>
      </c>
      <c r="DU104" s="59">
        <f t="shared" si="98"/>
        <v>-18.333333333333343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-18.333333333333343</v>
      </c>
      <c r="EP104" s="59">
        <f t="shared" si="100"/>
        <v>-18.333333333333343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8.0470000000000024</v>
      </c>
      <c r="FE104" s="12">
        <f>IF('Données projet'!$A$218&gt;35,FE103+FD104-FM103,IF(A104&lt;'Données projet'!$A$218,$FB$205^A104,IF(A104='Données projet'!$A$218,'Données projet'!$B$218,FE103+FD104-FM103)))</f>
        <v>341.2690000000004</v>
      </c>
      <c r="FF104" s="17">
        <f>FE104*VLOOKUP('Données projet'!$B$16,Paramètres!$A$1:$I$89,3,0)*VLOOKUP('Données projet'!$B$16,Paramètres!$A$1:$I$89,5,0)</f>
        <v>330.07537680000041</v>
      </c>
      <c r="FG104" s="13">
        <f t="shared" si="101"/>
        <v>77.445934497848739</v>
      </c>
      <c r="FH104" s="20">
        <f t="shared" si="76"/>
        <v>709.76628384375397</v>
      </c>
      <c r="FI104" s="59">
        <f t="shared" si="77"/>
        <v>987.44667639082832</v>
      </c>
      <c r="FJ104" s="59">
        <f ca="1">AVERAGE(OFFSET($FI$3,0,0,'Données projet'!$E$16+1,1))-AVERAGE(OFFSET($H$3,0,0,'Données projet'!$E$16+1,1))</f>
        <v>664.59451650228573</v>
      </c>
      <c r="FK104" s="59">
        <f t="shared" si="102"/>
        <v>304.44325029106631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33.189155856478962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33.189155856478962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-6.8212102632969618E-13</v>
      </c>
      <c r="O105" s="13">
        <f>N105*VLOOKUP('Données projet'!$B$9,Paramètres!$A$1:$I$89,3,0)*VLOOKUP('Données projet'!$B$9,Paramètres!$A$1:$I$89,5,0)</f>
        <v>-4.0790837374515837E-13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460.88622650237176</v>
      </c>
      <c r="T105" s="59">
        <f t="shared" si="88"/>
        <v>396.05161661639647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151.8904680550929</v>
      </c>
      <c r="AA105" s="21">
        <f>EXP(-LN(2)/25)*AA104+(1-EXP(-LN(2)/25))/(LN(2)/25)*Calculateur!V105*Calculateur!X105*VLOOKUP('Données projet'!$B$9,Paramètres!$A$1:$I$89,3,0)*0.475*44/12</f>
        <v>18.954985251067452</v>
      </c>
      <c r="AB105" s="21">
        <f>EXP(-LN(2)/2)*AB104+(1-EXP(-LN(2)/2))/(LN(2)/2)*V105*Y105*VLOOKUP('Données projet'!$B$9,Paramètres!$A$1:$I$89,3,0)*0.475*44/12</f>
        <v>5.0165312501460118E-3</v>
      </c>
      <c r="AC105" s="22">
        <f t="shared" si="57"/>
        <v>170.85046983741049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8.7210000000000036</v>
      </c>
      <c r="AI105" s="13">
        <f>IF('Données projet'!$A$62&gt;35,AI104+AH105-AQ104,IF(A105&lt;'Données projet'!$A$62,$AF$205^A105,IF(A105='Données projet'!$A$62,'Données projet'!$B$62,AI104+AH105-AQ104)))</f>
        <v>330.51699999999954</v>
      </c>
      <c r="AJ105" s="13">
        <f>AI105*VLOOKUP('Données projet'!$B$10,Paramètres!$A$1:$I$89,3,0)*VLOOKUP('Données projet'!$B$10,Paramètres!$A$1:$I$89,5,0)</f>
        <v>154.68195599999979</v>
      </c>
      <c r="AK105" s="13">
        <f t="shared" si="89"/>
        <v>39.640666164046536</v>
      </c>
      <c r="AL105" s="20">
        <f t="shared" si="58"/>
        <v>338.44523360238071</v>
      </c>
      <c r="AM105" s="59">
        <f t="shared" si="59"/>
        <v>616.39716967736365</v>
      </c>
      <c r="AN105" s="59">
        <f ca="1">AVERAGE(OFFSET($AM$3,0,0,'Données projet'!$E$10+1,1))-AVERAGE(OFFSET($H$3,0,0,'Données projet'!$E$10+1,1))</f>
        <v>387.50901594883317</v>
      </c>
      <c r="AO105" s="59">
        <f t="shared" si="90"/>
        <v>361.3623790401972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139.42883015942203</v>
      </c>
      <c r="AV105" s="21">
        <f>EXP(-LN(2)/25)*AV104+(1-EXP(-LN(2)/25))/(LN(2)/25)*Calculateur!AQ105*Calculateur!AS105*VLOOKUP('Données projet'!$B$10,Paramètres!$A$1:$I$89,3,0)*0.475*44/12</f>
        <v>23.048877166101089</v>
      </c>
      <c r="AW105" s="21">
        <f>EXP(-LN(2)/2)*AW104+(1-EXP(-LN(2)/2))/(LN(2)/2)*AQ105*AT105*VLOOKUP('Données projet'!$B$10,Paramètres!$A$1:$I$89,3,0)*0.475*44/12</f>
        <v>1.1579874516429842</v>
      </c>
      <c r="AX105" s="21">
        <f t="shared" si="60"/>
        <v>163.63569477716609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8.0470000000000024</v>
      </c>
      <c r="BD105" s="12">
        <f>IF('Données projet'!$A$88&gt;35,BD104+BC105-BL104,IF(A105&lt;'Données projet'!$A$88,$BA$205^A105,IF(A105='Données projet'!$A$88,'Données projet'!$B$88,BD104+BC105-BL104)))</f>
        <v>349.31600000000043</v>
      </c>
      <c r="BE105" s="13">
        <f>BD105*VLOOKUP('Données projet'!$B$11,Paramètres!$A$1:$I$89,3,0)*VLOOKUP('Données projet'!$B$11,Paramètres!$A$1:$I$89,5,0)</f>
        <v>316.06111680000038</v>
      </c>
      <c r="BF105" s="13">
        <f t="shared" si="91"/>
        <v>74.533202582557081</v>
      </c>
      <c r="BG105" s="20">
        <f t="shared" si="61"/>
        <v>680.28510625795423</v>
      </c>
      <c r="BH105" s="59">
        <f t="shared" si="62"/>
        <v>958.23704233293711</v>
      </c>
      <c r="BI105" s="59">
        <f ca="1">AVERAGE(OFFSET($BH$3,0,0,'Données projet'!$E$11+1,1))-AVERAGE(OFFSET($H$3,0,0,'Données projet'!$E$11+1,1))</f>
        <v>627.65081154031589</v>
      </c>
      <c r="BJ105" s="59">
        <f t="shared" si="92"/>
        <v>288.78083487077618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30.439089221034486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30.439089221034486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8.0470000000000024</v>
      </c>
      <c r="BY105" s="12">
        <f>IF('Données projet'!$A$114&gt;35,BY104+BX105-CG104,IF(A105&lt;'Données projet'!$A$114,$BV$205^A105,IF(A105='Données projet'!$A$114,'Données projet'!$B$114,BY104+BX105-CG104)))</f>
        <v>349.31600000000043</v>
      </c>
      <c r="BZ105" s="13">
        <f>BY105*VLOOKUP('Données projet'!$B$12,Paramètres!$A$1:$I$89,3,0)*VLOOKUP('Données projet'!$B$12,Paramètres!$A$1:$I$89,5,0)</f>
        <v>354.20642400000042</v>
      </c>
      <c r="CA105" s="13">
        <f t="shared" si="93"/>
        <v>82.42805447614306</v>
      </c>
      <c r="CB105" s="20">
        <f t="shared" si="64"/>
        <v>760.4717166792833</v>
      </c>
      <c r="CC105" s="59">
        <f t="shared" si="65"/>
        <v>1038.4236527542662</v>
      </c>
      <c r="CD105" s="59">
        <f ca="1">AVERAGE(OFFSET($CC$3,0,0,'Données projet'!$E$12+1,1))-AVERAGE(OFFSET($H$3,0,0,'Données projet'!$E$12+1,1))</f>
        <v>692.2706942067415</v>
      </c>
      <c r="CE105" s="59">
        <f t="shared" si="94"/>
        <v>316.17529091924803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34.112772402883472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34.112772402883472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5.4</v>
      </c>
      <c r="CT105" s="12">
        <f>IF('Données projet'!$A$140&gt;35,CT104+CS105-DB104,IF(A105&lt;'Données projet'!$A$140,$CQ$205^A105,IF(A105='Données projet'!$A$140,'Données projet'!$B$140,CT104+CS105-DB104)))</f>
        <v>256.79999999999995</v>
      </c>
      <c r="CU105" s="17">
        <f>CT105*VLOOKUP('Données projet'!$B$13,Paramètres!$A$1:$I$89,3,0)*VLOOKUP('Données projet'!$B$13,Paramètres!$A$1:$I$89,5,0)</f>
        <v>244.37087999999997</v>
      </c>
      <c r="CV105" s="13">
        <f t="shared" si="95"/>
        <v>59.378956514447331</v>
      </c>
      <c r="CW105" s="20">
        <f t="shared" si="67"/>
        <v>529.03096526266233</v>
      </c>
      <c r="CX105" s="59">
        <f t="shared" si="68"/>
        <v>806.98290133764522</v>
      </c>
      <c r="CY105" s="59">
        <f ca="1">AVERAGE(OFFSET($CX$3,0,0,'Données projet'!$E$13+1,1))-AVERAGE(OFFSET($H$3,0,0,'Données projet'!$E$13+1,1))</f>
        <v>424.5933338095914</v>
      </c>
      <c r="CZ105" s="59">
        <f t="shared" si="96"/>
        <v>159.28977188196134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46.769832504890147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46.769832504890147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-18.333333333333343</v>
      </c>
      <c r="DU105" s="59">
        <f t="shared" si="98"/>
        <v>-18.333333333333343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-18.333333333333343</v>
      </c>
      <c r="EP105" s="59">
        <f t="shared" si="100"/>
        <v>-18.333333333333343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8.0470000000000024</v>
      </c>
      <c r="FE105" s="12">
        <f>IF('Données projet'!$A$218&gt;35,FE104+FD105-FM104,IF(A105&lt;'Données projet'!$A$218,$FB$205^A105,IF(A105='Données projet'!$A$218,'Données projet'!$B$218,FE104+FD105-FM104)))</f>
        <v>349.31600000000043</v>
      </c>
      <c r="FF105" s="17">
        <f>FE105*VLOOKUP('Données projet'!$B$16,Paramètres!$A$1:$I$89,3,0)*VLOOKUP('Données projet'!$B$16,Paramètres!$A$1:$I$89,5,0)</f>
        <v>337.85843520000043</v>
      </c>
      <c r="FG105" s="13">
        <f t="shared" si="101"/>
        <v>79.057322993928835</v>
      </c>
      <c r="FH105" s="20">
        <f t="shared" si="76"/>
        <v>726.12827885442675</v>
      </c>
      <c r="FI105" s="59">
        <f t="shared" si="77"/>
        <v>1004.0802149294097</v>
      </c>
      <c r="FJ105" s="59">
        <f ca="1">AVERAGE(OFFSET($FI$3,0,0,'Données projet'!$E$16+1,1))-AVERAGE(OFFSET($H$3,0,0,'Données projet'!$E$16+1,1))</f>
        <v>664.59451650228573</v>
      </c>
      <c r="FK105" s="59">
        <f t="shared" si="102"/>
        <v>304.44325029106631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32.538336753519616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32.538336753519616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-6.8212102632969618E-13</v>
      </c>
      <c r="O106" s="13">
        <f>N106*VLOOKUP('Données projet'!$B$9,Paramètres!$A$1:$I$89,3,0)*VLOOKUP('Données projet'!$B$9,Paramètres!$A$1:$I$89,5,0)</f>
        <v>-4.0790837374515837E-13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460.88622650237176</v>
      </c>
      <c r="T106" s="59">
        <f t="shared" si="88"/>
        <v>396.05161661639647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148.91198862057021</v>
      </c>
      <c r="AA106" s="21">
        <f>EXP(-LN(2)/25)*AA105+(1-EXP(-LN(2)/25))/(LN(2)/25)*Calculateur!V106*Calculateur!X106*VLOOKUP('Données projet'!$B$9,Paramètres!$A$1:$I$89,3,0)*0.475*44/12</f>
        <v>18.436660182577661</v>
      </c>
      <c r="AB106" s="21">
        <f>EXP(-LN(2)/2)*AB105+(1-EXP(-LN(2)/2))/(LN(2)/2)*V106*Y106*VLOOKUP('Données projet'!$B$9,Paramètres!$A$1:$I$89,3,0)*0.475*44/12</f>
        <v>3.5472232650124737E-3</v>
      </c>
      <c r="AC106" s="22">
        <f t="shared" si="57"/>
        <v>167.35219602641288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8.7210000000000036</v>
      </c>
      <c r="AI106" s="13">
        <f>IF('Données projet'!$A$62&gt;35,AI105+AH106-AQ105,IF(A106&lt;'Données projet'!$A$62,$AF$205^A106,IF(A106='Données projet'!$A$62,'Données projet'!$B$62,AI105+AH106-AQ105)))</f>
        <v>339.23799999999954</v>
      </c>
      <c r="AJ106" s="13">
        <f>AI106*VLOOKUP('Données projet'!$B$10,Paramètres!$A$1:$I$89,3,0)*VLOOKUP('Données projet'!$B$10,Paramètres!$A$1:$I$89,5,0)</f>
        <v>158.76338399999977</v>
      </c>
      <c r="AK106" s="13">
        <f t="shared" si="89"/>
        <v>40.563467389228563</v>
      </c>
      <c r="AL106" s="20">
        <f t="shared" si="58"/>
        <v>347.1609328362394</v>
      </c>
      <c r="AM106" s="59">
        <f t="shared" si="59"/>
        <v>625.37970176600209</v>
      </c>
      <c r="AN106" s="59">
        <f ca="1">AVERAGE(OFFSET($AM$3,0,0,'Données projet'!$E$10+1,1))-AVERAGE(OFFSET($H$3,0,0,'Données projet'!$E$10+1,1))</f>
        <v>387.50901594883317</v>
      </c>
      <c r="AO106" s="59">
        <f t="shared" si="90"/>
        <v>361.3623790401972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136.69471584318484</v>
      </c>
      <c r="AV106" s="21">
        <f>EXP(-LN(2)/25)*AV105+(1-EXP(-LN(2)/25))/(LN(2)/25)*Calculateur!AQ106*Calculateur!AS106*VLOOKUP('Données projet'!$B$10,Paramètres!$A$1:$I$89,3,0)*0.475*44/12</f>
        <v>22.418604407906283</v>
      </c>
      <c r="AW106" s="21">
        <f>EXP(-LN(2)/2)*AW105+(1-EXP(-LN(2)/2))/(LN(2)/2)*AQ106*AT106*VLOOKUP('Données projet'!$B$10,Paramètres!$A$1:$I$89,3,0)*0.475*44/12</f>
        <v>0.81882077958568344</v>
      </c>
      <c r="AX106" s="21">
        <f t="shared" si="60"/>
        <v>159.9321410306768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8.0470000000000024</v>
      </c>
      <c r="BD106" s="12">
        <f>IF('Données projet'!$A$88&gt;35,BD105+BC106-BL105,IF(A106&lt;'Données projet'!$A$88,$BA$205^A106,IF(A106='Données projet'!$A$88,'Données projet'!$B$88,BD105+BC106-BL105)))</f>
        <v>357.36300000000045</v>
      </c>
      <c r="BE106" s="13">
        <f>BD106*VLOOKUP('Données projet'!$B$11,Paramètres!$A$1:$I$89,3,0)*VLOOKUP('Données projet'!$B$11,Paramètres!$A$1:$I$89,5,0)</f>
        <v>323.34204240000037</v>
      </c>
      <c r="BF106" s="13">
        <f t="shared" si="91"/>
        <v>76.048309539529996</v>
      </c>
      <c r="BG106" s="20">
        <f t="shared" si="61"/>
        <v>695.60486296134877</v>
      </c>
      <c r="BH106" s="59">
        <f t="shared" si="62"/>
        <v>973.82363189111152</v>
      </c>
      <c r="BI106" s="59">
        <f ca="1">AVERAGE(OFFSET($BH$3,0,0,'Données projet'!$E$11+1,1))-AVERAGE(OFFSET($H$3,0,0,'Données projet'!$E$11+1,1))</f>
        <v>627.65081154031589</v>
      </c>
      <c r="BJ106" s="59">
        <f t="shared" si="92"/>
        <v>288.78083487077618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29.842197247421183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29.842197247421183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8.0470000000000024</v>
      </c>
      <c r="BY106" s="12">
        <f>IF('Données projet'!$A$114&gt;35,BY105+BX106-CG105,IF(A106&lt;'Données projet'!$A$114,$BV$205^A106,IF(A106='Données projet'!$A$114,'Données projet'!$B$114,BY105+BX106-CG105)))</f>
        <v>357.36300000000045</v>
      </c>
      <c r="BZ106" s="13">
        <f>BY106*VLOOKUP('Données projet'!$B$12,Paramètres!$A$1:$I$89,3,0)*VLOOKUP('Données projet'!$B$12,Paramètres!$A$1:$I$89,5,0)</f>
        <v>362.36608200000046</v>
      </c>
      <c r="CA106" s="13">
        <f t="shared" si="93"/>
        <v>84.103647560288479</v>
      </c>
      <c r="CB106" s="20">
        <f t="shared" si="64"/>
        <v>777.60144565083658</v>
      </c>
      <c r="CC106" s="59">
        <f t="shared" si="65"/>
        <v>1055.8202145805992</v>
      </c>
      <c r="CD106" s="59">
        <f ca="1">AVERAGE(OFFSET($CC$3,0,0,'Données projet'!$E$12+1,1))-AVERAGE(OFFSET($H$3,0,0,'Données projet'!$E$12+1,1))</f>
        <v>692.2706942067415</v>
      </c>
      <c r="CE106" s="59">
        <f t="shared" si="94"/>
        <v>316.17529091924803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33.443841742799599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33.443841742799599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5.4</v>
      </c>
      <c r="CT106" s="12">
        <f>IF('Données projet'!$A$140&gt;35,CT105+CS106-DB105,IF(A106&lt;'Données projet'!$A$140,$CQ$205^A106,IF(A106='Données projet'!$A$140,'Données projet'!$B$140,CT105+CS106-DB105)))</f>
        <v>262.19999999999993</v>
      </c>
      <c r="CU106" s="17">
        <f>CT106*VLOOKUP('Données projet'!$B$13,Paramètres!$A$1:$I$89,3,0)*VLOOKUP('Données projet'!$B$13,Paramètres!$A$1:$I$89,5,0)</f>
        <v>249.50951999999992</v>
      </c>
      <c r="CV106" s="13">
        <f t="shared" si="95"/>
        <v>60.48089994102925</v>
      </c>
      <c r="CW106" s="20">
        <f t="shared" si="67"/>
        <v>539.89998139729244</v>
      </c>
      <c r="CX106" s="59">
        <f t="shared" si="68"/>
        <v>818.11875032705507</v>
      </c>
      <c r="CY106" s="59">
        <f ca="1">AVERAGE(OFFSET($CX$3,0,0,'Données projet'!$E$13+1,1))-AVERAGE(OFFSET($H$3,0,0,'Données projet'!$E$13+1,1))</f>
        <v>424.5933338095914</v>
      </c>
      <c r="CZ106" s="59">
        <f t="shared" si="96"/>
        <v>159.28977188196134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45.852704616250293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45.852704616250293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-18.333333333333343</v>
      </c>
      <c r="DU106" s="59">
        <f t="shared" si="98"/>
        <v>-18.333333333333343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-18.333333333333343</v>
      </c>
      <c r="EP106" s="59">
        <f t="shared" si="100"/>
        <v>-18.333333333333343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8.0470000000000024</v>
      </c>
      <c r="FE106" s="12">
        <f>IF('Données projet'!$A$218&gt;35,FE105+FD106-FM105,IF(A106&lt;'Données projet'!$A$218,$FB$205^A106,IF(A106='Données projet'!$A$218,'Données projet'!$B$218,FE105+FD106-FM105)))</f>
        <v>357.36300000000045</v>
      </c>
      <c r="FF106" s="17">
        <f>FE106*VLOOKUP('Données projet'!$B$16,Paramètres!$A$1:$I$89,3,0)*VLOOKUP('Données projet'!$B$16,Paramètres!$A$1:$I$89,5,0)</f>
        <v>345.64149360000044</v>
      </c>
      <c r="FG106" s="13">
        <f t="shared" si="101"/>
        <v>80.664396028729414</v>
      </c>
      <c r="FH106" s="20">
        <f t="shared" si="76"/>
        <v>742.48275777003767</v>
      </c>
      <c r="FI106" s="59">
        <f t="shared" si="77"/>
        <v>1020.7015266998003</v>
      </c>
      <c r="FJ106" s="59">
        <f ca="1">AVERAGE(OFFSET($FI$3,0,0,'Données projet'!$E$16+1,1))-AVERAGE(OFFSET($H$3,0,0,'Données projet'!$E$16+1,1))</f>
        <v>664.59451650228573</v>
      </c>
      <c r="FK106" s="59">
        <f t="shared" si="102"/>
        <v>304.44325029106631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31.900279816208844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31.900279816208844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-6.8212102632969618E-13</v>
      </c>
      <c r="O107" s="13">
        <f>N107*VLOOKUP('Données projet'!$B$9,Paramètres!$A$1:$I$89,3,0)*VLOOKUP('Données projet'!$B$9,Paramètres!$A$1:$I$89,5,0)</f>
        <v>-4.0790837374515837E-13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460.88622650237176</v>
      </c>
      <c r="T107" s="59">
        <f t="shared" si="88"/>
        <v>396.05161661639647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145.99191535106544</v>
      </c>
      <c r="AA107" s="21">
        <f>EXP(-LN(2)/25)*AA106+(1-EXP(-LN(2)/25))/(LN(2)/25)*Calculateur!V107*Calculateur!X107*VLOOKUP('Données projet'!$B$9,Paramètres!$A$1:$I$89,3,0)*0.475*44/12</f>
        <v>17.932508740343252</v>
      </c>
      <c r="AB107" s="21">
        <f>EXP(-LN(2)/2)*AB106+(1-EXP(-LN(2)/2))/(LN(2)/2)*V107*Y107*VLOOKUP('Données projet'!$B$9,Paramètres!$A$1:$I$89,3,0)*0.475*44/12</f>
        <v>2.5082656250730059E-3</v>
      </c>
      <c r="AC107" s="22">
        <f t="shared" si="57"/>
        <v>163.92693235703376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8.7210000000000036</v>
      </c>
      <c r="AI107" s="13">
        <f>IF('Données projet'!$A$62&gt;35,AI106+AH107-AQ106,IF(A107&lt;'Données projet'!$A$62,$AF$205^A107,IF(A107='Données projet'!$A$62,'Données projet'!$B$62,AI106+AH107-AQ106)))</f>
        <v>347.95899999999955</v>
      </c>
      <c r="AJ107" s="13">
        <f>AI107*VLOOKUP('Données projet'!$B$10,Paramètres!$A$1:$I$89,3,0)*VLOOKUP('Données projet'!$B$10,Paramètres!$A$1:$I$89,5,0)</f>
        <v>162.84481199999979</v>
      </c>
      <c r="AK107" s="13">
        <f t="shared" si="89"/>
        <v>41.483511061408436</v>
      </c>
      <c r="AL107" s="20">
        <f t="shared" si="58"/>
        <v>355.87182933195271</v>
      </c>
      <c r="AM107" s="59">
        <f t="shared" si="59"/>
        <v>634.35280216301362</v>
      </c>
      <c r="AN107" s="59">
        <f ca="1">AVERAGE(OFFSET($AM$3,0,0,'Données projet'!$E$10+1,1))-AVERAGE(OFFSET($H$3,0,0,'Données projet'!$E$10+1,1))</f>
        <v>387.50901594883317</v>
      </c>
      <c r="AO107" s="59">
        <f t="shared" si="90"/>
        <v>361.3623790401972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134.01421584104401</v>
      </c>
      <c r="AV107" s="21">
        <f>EXP(-LN(2)/25)*AV106+(1-EXP(-LN(2)/25))/(LN(2)/25)*Calculateur!AQ107*Calculateur!AS107*VLOOKUP('Données projet'!$B$10,Paramètres!$A$1:$I$89,3,0)*0.475*44/12</f>
        <v>21.80556649142892</v>
      </c>
      <c r="AW107" s="21">
        <f>EXP(-LN(2)/2)*AW106+(1-EXP(-LN(2)/2))/(LN(2)/2)*AQ107*AT107*VLOOKUP('Données projet'!$B$10,Paramètres!$A$1:$I$89,3,0)*0.475*44/12</f>
        <v>0.57899372582149211</v>
      </c>
      <c r="AX107" s="21">
        <f t="shared" si="60"/>
        <v>156.39877605829443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365.41</v>
      </c>
      <c r="BB107" s="12">
        <f>VLOOKUP(A107,'Données projet'!$A$87:$I$107,9,0)</f>
        <v>8.0470000000000024</v>
      </c>
      <c r="BC107" s="12">
        <f t="array" ref="BC107">INDEX(BB:BB,MIN(IF(ISNUMBER(BB107:BB303),ROW(BB107:BB303),"")))</f>
        <v>8.0470000000000024</v>
      </c>
      <c r="BD107" s="12">
        <f>IF('Données projet'!$A$88&gt;35,BD106+BC107-BL106,IF(A107&lt;'Données projet'!$A$88,$BA$205^A107,IF(A107='Données projet'!$A$88,'Données projet'!$B$88,BD106+BC107-BL106)))</f>
        <v>365.41000000000048</v>
      </c>
      <c r="BE107" s="13">
        <f>BD107*VLOOKUP('Données projet'!$B$11,Paramètres!$A$1:$I$89,3,0)*VLOOKUP('Données projet'!$B$11,Paramètres!$A$1:$I$89,5,0)</f>
        <v>330.62296800000041</v>
      </c>
      <c r="BF107" s="13">
        <f t="shared" si="91"/>
        <v>77.559450151847827</v>
      </c>
      <c r="BG107" s="20">
        <f t="shared" si="61"/>
        <v>710.91771161446911</v>
      </c>
      <c r="BH107" s="59">
        <f t="shared" si="62"/>
        <v>989.39868444553008</v>
      </c>
      <c r="BI107" s="59">
        <f ca="1">AVERAGE(OFFSET($BH$3,0,0,'Données projet'!$E$11+1,1))-AVERAGE(OFFSET($H$3,0,0,'Données projet'!$E$11+1,1))</f>
        <v>627.65081154031589</v>
      </c>
      <c r="BJ107" s="59">
        <f t="shared" si="92"/>
        <v>288.78083487077618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0.215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42.200831172756061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42.200831172756061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365.41</v>
      </c>
      <c r="BW107" s="12">
        <f>VLOOKUP(A107,'Données projet'!$A$113:$I$133,9,0)</f>
        <v>8.0470000000000024</v>
      </c>
      <c r="BX107" s="12">
        <f t="array" ref="BX107">INDEX(BW:BW,MIN(IF(ISNUMBER(BW107:BW303),ROW(BW107:BW303),"")))</f>
        <v>8.0470000000000024</v>
      </c>
      <c r="BY107" s="12">
        <f>IF('Données projet'!$A$114&gt;35,BY106+BX107-CG106,IF(A107&lt;'Données projet'!$A$114,$BV$205^A107,IF(A107='Données projet'!$A$114,'Données projet'!$B$114,BY106+BX107-CG106)))</f>
        <v>365.41000000000048</v>
      </c>
      <c r="BZ107" s="13">
        <f>BY107*VLOOKUP('Données projet'!$B$12,Paramètres!$A$1:$I$89,3,0)*VLOOKUP('Données projet'!$B$12,Paramètres!$A$1:$I$89,5,0)</f>
        <v>370.5257400000005</v>
      </c>
      <c r="CA107" s="13">
        <f t="shared" si="93"/>
        <v>85.774854168850283</v>
      </c>
      <c r="CB107" s="20">
        <f t="shared" si="64"/>
        <v>794.72353484408177</v>
      </c>
      <c r="CC107" s="59">
        <f t="shared" si="65"/>
        <v>1073.2045076751426</v>
      </c>
      <c r="CD107" s="59">
        <f ca="1">AVERAGE(OFFSET($CC$3,0,0,'Données projet'!$E$12+1,1))-AVERAGE(OFFSET($H$3,0,0,'Données projet'!$E$12+1,1))</f>
        <v>692.2706942067415</v>
      </c>
      <c r="CE107" s="59">
        <f t="shared" si="94"/>
        <v>316.17529091924803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0.215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47.294034934985241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47.294034934985241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5.4</v>
      </c>
      <c r="CT107" s="12">
        <f>IF('Données projet'!$A$140&gt;35,CT106+CS107-DB106,IF(A107&lt;'Données projet'!$A$140,$CQ$205^A107,IF(A107='Données projet'!$A$140,'Données projet'!$B$140,CT106+CS107-DB106)))</f>
        <v>267.59999999999991</v>
      </c>
      <c r="CU107" s="17">
        <f>CT107*VLOOKUP('Données projet'!$B$13,Paramètres!$A$1:$I$89,3,0)*VLOOKUP('Données projet'!$B$13,Paramètres!$A$1:$I$89,5,0)</f>
        <v>254.6481599999999</v>
      </c>
      <c r="CV107" s="13">
        <f t="shared" si="95"/>
        <v>61.580204695956148</v>
      </c>
      <c r="CW107" s="20">
        <f t="shared" si="67"/>
        <v>550.76440184545675</v>
      </c>
      <c r="CX107" s="59">
        <f t="shared" si="68"/>
        <v>829.24537467651771</v>
      </c>
      <c r="CY107" s="59">
        <f ca="1">AVERAGE(OFFSET($CX$3,0,0,'Données projet'!$E$13+1,1))-AVERAGE(OFFSET($H$3,0,0,'Données projet'!$E$13+1,1))</f>
        <v>424.5933338095914</v>
      </c>
      <c r="CZ107" s="59">
        <f t="shared" si="96"/>
        <v>159.28977188196134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44.95356104611389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44.95356104611389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-18.333333333333343</v>
      </c>
      <c r="DU107" s="59">
        <f t="shared" si="98"/>
        <v>-18.333333333333343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-18.333333333333343</v>
      </c>
      <c r="EP107" s="59">
        <f t="shared" si="100"/>
        <v>-18.333333333333343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>
        <f>VLOOKUP(A107,'Données projet'!$A$217:$I$237,2,0)</f>
        <v>365.41</v>
      </c>
      <c r="FC107" s="12">
        <f>VLOOKUP(A107,'Données projet'!$A$217:$I$237,9,0)</f>
        <v>8.0470000000000024</v>
      </c>
      <c r="FD107" s="12">
        <f t="array" ref="FD107">INDEX(FC:FC,MIN(IF(ISNUMBER(FC107:FC303),ROW(FC107:FC303),"")))</f>
        <v>8.0470000000000024</v>
      </c>
      <c r="FE107" s="12">
        <f>IF('Données projet'!$A$218&gt;35,FE106+FD107-FM106,IF(A107&lt;'Données projet'!$A$218,$FB$205^A107,IF(A107='Données projet'!$A$218,'Données projet'!$B$218,FE106+FD107-FM106)))</f>
        <v>365.41000000000048</v>
      </c>
      <c r="FF107" s="17">
        <f>FE107*VLOOKUP('Données projet'!$B$16,Paramètres!$A$1:$I$89,3,0)*VLOOKUP('Données projet'!$B$16,Paramètres!$A$1:$I$89,5,0)</f>
        <v>353.42455200000046</v>
      </c>
      <c r="FG107" s="13">
        <f t="shared" si="101"/>
        <v>82.267261964148275</v>
      </c>
      <c r="FH107" s="20">
        <f t="shared" si="76"/>
        <v>758.8299093208924</v>
      </c>
      <c r="FI107" s="59">
        <f t="shared" si="77"/>
        <v>1037.3108821519534</v>
      </c>
      <c r="FJ107" s="59">
        <f ca="1">AVERAGE(OFFSET($FI$3,0,0,'Données projet'!$E$16+1,1))-AVERAGE(OFFSET($H$3,0,0,'Données projet'!$E$16+1,1))</f>
        <v>664.59451650228573</v>
      </c>
      <c r="FK107" s="59">
        <f t="shared" si="102"/>
        <v>304.44325029106631</v>
      </c>
      <c r="FL107" s="15">
        <f>IF(ISNA(VLOOKUP(A107,'Données projet'!$A$217:$I$237,3,0)),0,VLOOKUP(A107,'Données projet'!$A$217:$I$237,3,0))</f>
        <v>8</v>
      </c>
      <c r="FM107" s="15">
        <f>IF(ISNA(VLOOKUP(A107,'Données projet'!$A$217:$I$237,4,0)),0,VLOOKUP(A107,'Données projet'!$A$217:$I$237,4,0))</f>
        <v>60.19</v>
      </c>
      <c r="FN107" s="16">
        <f>IF(ISNA(VLOOKUP(A107,'Données projet'!$A$217:$I$237,5,0)),0%,VLOOKUP(A107,'Données projet'!$A$217:$I$237,5,0)*VLOOKUP('Données projet'!$B$16,Paramètres!$A$1:$I$89,7,0))</f>
        <v>0.215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45.111233322601294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45.111233322601294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-6.8212102632969618E-13</v>
      </c>
      <c r="O108" s="13">
        <f>N108*VLOOKUP('Données projet'!$B$9,Paramètres!$A$1:$I$89,3,0)*VLOOKUP('Données projet'!$B$9,Paramètres!$A$1:$I$89,5,0)</f>
        <v>-4.0790837374515837E-13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460.88622650237176</v>
      </c>
      <c r="T108" s="59">
        <f t="shared" si="88"/>
        <v>396.05161661639647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143.12910293730681</v>
      </c>
      <c r="AA108" s="21">
        <f>EXP(-LN(2)/25)*AA107+(1-EXP(-LN(2)/25))/(LN(2)/25)*Calculateur!V108*Calculateur!X108*VLOOKUP('Données projet'!$B$9,Paramètres!$A$1:$I$89,3,0)*0.475*44/12</f>
        <v>17.442143345808915</v>
      </c>
      <c r="AB108" s="21">
        <f>EXP(-LN(2)/2)*AB107+(1-EXP(-LN(2)/2))/(LN(2)/2)*V108*Y108*VLOOKUP('Données projet'!$B$9,Paramètres!$A$1:$I$89,3,0)*0.475*44/12</f>
        <v>1.7736116325062369E-3</v>
      </c>
      <c r="AC108" s="22">
        <f t="shared" si="57"/>
        <v>160.57301989474823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356.68</v>
      </c>
      <c r="AG108" s="12">
        <f>VLOOKUP(A108,'Données projet'!$A$61:$I$81,9,0)</f>
        <v>8.7210000000000036</v>
      </c>
      <c r="AH108" s="12">
        <f t="array" ref="AH108">INDEX(AG:AG,MIN(IF(ISNUMBER(AG108:AG304),ROW(AG108:AG304),"")))</f>
        <v>8.7210000000000036</v>
      </c>
      <c r="AI108" s="13">
        <f>IF('Données projet'!$A$62&gt;35,AI107+AH108-AQ107,IF(A108&lt;'Données projet'!$A$62,$AF$205^A108,IF(A108='Données projet'!$A$62,'Données projet'!$B$62,AI107+AH108-AQ107)))</f>
        <v>356.67999999999955</v>
      </c>
      <c r="AJ108" s="13">
        <f>AI108*VLOOKUP('Données projet'!$B$10,Paramètres!$A$1:$I$89,3,0)*VLOOKUP('Données projet'!$B$10,Paramètres!$A$1:$I$89,5,0)</f>
        <v>166.92623999999978</v>
      </c>
      <c r="AK108" s="13">
        <f t="shared" si="89"/>
        <v>42.400874242636554</v>
      </c>
      <c r="AL108" s="20">
        <f t="shared" si="58"/>
        <v>364.57805730592491</v>
      </c>
      <c r="AM108" s="59">
        <f t="shared" si="59"/>
        <v>643.31668538679673</v>
      </c>
      <c r="AN108" s="59">
        <f ca="1">AVERAGE(OFFSET($AM$3,0,0,'Données projet'!$E$10+1,1))-AVERAGE(OFFSET($H$3,0,0,'Données projet'!$E$10+1,1))</f>
        <v>387.50901594883317</v>
      </c>
      <c r="AO108" s="59">
        <f t="shared" si="90"/>
        <v>361.3623790401972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356.68</v>
      </c>
      <c r="AR108" s="16">
        <f>IF(ISNA(VLOOKUP(A108,'Données projet'!$A$61:$I$81,5,0)),0%,VLOOKUP(A108,'Données projet'!$A$61:$I$81,5,0)*VLOOKUP('Données projet'!$B$10,Paramètres!$A$1:$I$89,7,0))</f>
        <v>0.44000000000000006</v>
      </c>
      <c r="AS108" s="16">
        <f>IF(ISNA(VLOOKUP(A108,'Données projet'!$A$61:$I$81,6,0)),0%,VLOOKUP(A108,'Données projet'!$A$61:$I$81,6,0)*VLOOKUP('Données projet'!$B$10,Paramètres!$A$1:$I$89,7,0))</f>
        <v>6.0500000000000005E-2</v>
      </c>
      <c r="AT108" s="16">
        <f>IF(ISNA(VLOOKUP(A108,'Données projet'!$A$61:$I$81,7,0)),0%,VLOOKUP(A108,'Données projet'!$A$61:$I$81,7,0))</f>
        <v>0.09</v>
      </c>
      <c r="AU108" s="21">
        <f>EXP(-LN(2)/35)*AU107+(1-EXP(-LN(2)/35))/(LN(2)/35)*AQ108*AR108*VLOOKUP('Données projet'!$B$10,Paramètres!$A$1:$I$89,3,0)*0.475*44/12</f>
        <v>228.81918214123638</v>
      </c>
      <c r="AV108" s="21">
        <f>EXP(-LN(2)/25)*AV107+(1-EXP(-LN(2)/25))/(LN(2)/25)*Calculateur!AQ108*Calculateur!AS108*VLOOKUP('Données projet'!$B$10,Paramètres!$A$1:$I$89,3,0)*0.475*44/12</f>
        <v>34.55356714822414</v>
      </c>
      <c r="AW108" s="21">
        <f>EXP(-LN(2)/2)*AW107+(1-EXP(-LN(2)/2))/(LN(2)/2)*AQ108*AT108*VLOOKUP('Données projet'!$B$10,Paramètres!$A$1:$I$89,3,0)*0.475*44/12</f>
        <v>17.419345610731725</v>
      </c>
      <c r="AX108" s="21">
        <f t="shared" si="60"/>
        <v>280.79209490019224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7.9349999999999969</v>
      </c>
      <c r="BD108" s="12">
        <f>IF('Données projet'!$A$88&gt;35,BD107+BC108-BL107,IF(A108&lt;'Données projet'!$A$88,$BA$205^A108,IF(A108='Données projet'!$A$88,'Données projet'!$B$88,BD107+BC108-BL107)))</f>
        <v>313.15500000000048</v>
      </c>
      <c r="BE108" s="13">
        <f>BD108*VLOOKUP('Données projet'!$B$11,Paramètres!$A$1:$I$89,3,0)*VLOOKUP('Données projet'!$B$11,Paramètres!$A$1:$I$89,5,0)</f>
        <v>283.34264400000046</v>
      </c>
      <c r="BF108" s="13">
        <f t="shared" si="91"/>
        <v>67.672917015543916</v>
      </c>
      <c r="BG108" s="20">
        <f t="shared" si="61"/>
        <v>611.3521021020731</v>
      </c>
      <c r="BH108" s="59">
        <f t="shared" si="62"/>
        <v>890.09073018294487</v>
      </c>
      <c r="BI108" s="59">
        <f ca="1">AVERAGE(OFFSET($BH$3,0,0,'Données projet'!$E$11+1,1))-AVERAGE(OFFSET($H$3,0,0,'Données projet'!$E$11+1,1))</f>
        <v>627.65081154031589</v>
      </c>
      <c r="BJ108" s="59">
        <f t="shared" si="92"/>
        <v>288.78083487077618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41.373298613423721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41.373298613423721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7.9349999999999969</v>
      </c>
      <c r="BY108" s="12">
        <f>IF('Données projet'!$A$114&gt;35,BY107+BX108-CG107,IF(A108&lt;'Données projet'!$A$114,$BV$205^A108,IF(A108='Données projet'!$A$114,'Données projet'!$B$114,BY107+BX108-CG107)))</f>
        <v>313.15500000000048</v>
      </c>
      <c r="BZ108" s="13">
        <f>BY108*VLOOKUP('Données projet'!$B$12,Paramètres!$A$1:$I$89,3,0)*VLOOKUP('Données projet'!$B$12,Paramètres!$A$1:$I$89,5,0)</f>
        <v>317.53917000000052</v>
      </c>
      <c r="CA108" s="13">
        <f t="shared" si="93"/>
        <v>74.841100302084755</v>
      </c>
      <c r="CB108" s="20">
        <f t="shared" si="64"/>
        <v>683.39563744279849</v>
      </c>
      <c r="CC108" s="59">
        <f t="shared" si="65"/>
        <v>962.13426552367025</v>
      </c>
      <c r="CD108" s="59">
        <f ca="1">AVERAGE(OFFSET($CC$3,0,0,'Données projet'!$E$12+1,1))-AVERAGE(OFFSET($H$3,0,0,'Données projet'!$E$12+1,1))</f>
        <v>692.2706942067415</v>
      </c>
      <c r="CE108" s="59">
        <f t="shared" si="94"/>
        <v>316.17529091924803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46.366627756423135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46.366627756423135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273</v>
      </c>
      <c r="CR108" s="12">
        <f>VLOOKUP(A108,'Données projet'!$A$139:$I$159,9,0)</f>
        <v>5.4</v>
      </c>
      <c r="CS108" s="12">
        <f t="array" ref="CS108">INDEX(CR:CR,MIN(IF(ISNUMBER(CR108:CR304),ROW(CR108:CR304),"")))</f>
        <v>5.4</v>
      </c>
      <c r="CT108" s="12">
        <f>IF('Données projet'!$A$140&gt;35,CT107+CS108-DB107,IF(A108&lt;'Données projet'!$A$140,$CQ$205^A108,IF(A108='Données projet'!$A$140,'Données projet'!$B$140,CT107+CS108-DB107)))</f>
        <v>272.99999999999989</v>
      </c>
      <c r="CU108" s="17">
        <f>CT108*VLOOKUP('Données projet'!$B$13,Paramètres!$A$1:$I$89,3,0)*VLOOKUP('Données projet'!$B$13,Paramètres!$A$1:$I$89,5,0)</f>
        <v>259.78679999999986</v>
      </c>
      <c r="CV108" s="13">
        <f t="shared" si="95"/>
        <v>62.676930162260682</v>
      </c>
      <c r="CW108" s="20">
        <f t="shared" si="67"/>
        <v>561.62433003260378</v>
      </c>
      <c r="CX108" s="59">
        <f t="shared" si="68"/>
        <v>840.36295811347554</v>
      </c>
      <c r="CY108" s="59">
        <f ca="1">AVERAGE(OFFSET($CX$3,0,0,'Données projet'!$E$13+1,1))-AVERAGE(OFFSET($H$3,0,0,'Données projet'!$E$13+1,1))</f>
        <v>424.5933338095914</v>
      </c>
      <c r="CZ108" s="59">
        <f t="shared" si="96"/>
        <v>159.28977188196134</v>
      </c>
      <c r="DA108" s="15">
        <f>IF(ISNA(VLOOKUP(A108,'Données projet'!$A$139:$I$159,3,0)),0,VLOOKUP(A108,'Données projet'!$A$139:$I$159,3,0))</f>
        <v>15</v>
      </c>
      <c r="DB108" s="15">
        <f>IF(ISNA(VLOOKUP(A108,'Données projet'!$A$139:$I$159,4,0)),0,VLOOKUP(A108,'Données projet'!$A$139:$I$159,4,0))</f>
        <v>25</v>
      </c>
      <c r="DC108" s="16">
        <f>IF(ISNA(VLOOKUP(A108,'Données projet'!$A$139:$I$159,5,0)),0%,VLOOKUP(A108,'Données projet'!$A$139:$I$159,5,0)*VLOOKUP('Données projet'!$B$13,Paramètres!$A$1:$I$89,7,0))</f>
        <v>0.30099999999999999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51.988090372020189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51.988090372020189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-18.333333333333343</v>
      </c>
      <c r="DU108" s="59">
        <f t="shared" si="98"/>
        <v>-18.333333333333343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-18.333333333333343</v>
      </c>
      <c r="EP108" s="59">
        <f t="shared" si="100"/>
        <v>-18.333333333333343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7.9349999999999969</v>
      </c>
      <c r="FE108" s="12">
        <f>IF('Données projet'!$A$218&gt;35,FE107+FD108-FM107,IF(A108&lt;'Données projet'!$A$218,$FB$205^A108,IF(A108='Données projet'!$A$218,'Données projet'!$B$218,FE107+FD108-FM107)))</f>
        <v>313.15500000000048</v>
      </c>
      <c r="FF108" s="17">
        <f>FE108*VLOOKUP('Données projet'!$B$16,Paramètres!$A$1:$I$89,3,0)*VLOOKUP('Données projet'!$B$16,Paramètres!$A$1:$I$89,5,0)</f>
        <v>302.88351600000044</v>
      </c>
      <c r="FG108" s="13">
        <f t="shared" si="101"/>
        <v>71.780622233603793</v>
      </c>
      <c r="FH108" s="20">
        <f t="shared" si="76"/>
        <v>652.54004075686078</v>
      </c>
      <c r="FI108" s="59">
        <f t="shared" si="77"/>
        <v>931.27866883773254</v>
      </c>
      <c r="FJ108" s="59">
        <f ca="1">AVERAGE(OFFSET($FI$3,0,0,'Données projet'!$E$16+1,1))-AVERAGE(OFFSET($H$3,0,0,'Données projet'!$E$16+1,1))</f>
        <v>664.59451650228573</v>
      </c>
      <c r="FK108" s="59">
        <f t="shared" si="102"/>
        <v>304.44325029106631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44.226629552280514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44.226629552280514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-6.8212102632969618E-13</v>
      </c>
      <c r="O109" s="13">
        <f>N109*VLOOKUP('Données projet'!$B$9,Paramètres!$A$1:$I$89,3,0)*VLOOKUP('Données projet'!$B$9,Paramètres!$A$1:$I$89,5,0)</f>
        <v>-4.0790837374515837E-13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460.88622650237176</v>
      </c>
      <c r="T109" s="59">
        <f t="shared" si="88"/>
        <v>396.05161661639647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140.32242852883886</v>
      </c>
      <c r="AA109" s="21">
        <f>EXP(-LN(2)/25)*AA108+(1-EXP(-LN(2)/25))/(LN(2)/25)*Calculateur!V109*Calculateur!X109*VLOOKUP('Données projet'!$B$9,Paramètres!$A$1:$I$89,3,0)*0.475*44/12</f>
        <v>16.965187018775318</v>
      </c>
      <c r="AB109" s="21">
        <f>EXP(-LN(2)/2)*AB108+(1-EXP(-LN(2)/2))/(LN(2)/2)*V109*Y109*VLOOKUP('Données projet'!$B$9,Paramètres!$A$1:$I$89,3,0)*0.475*44/12</f>
        <v>1.254132812536503E-3</v>
      </c>
      <c r="AC109" s="22">
        <f t="shared" si="57"/>
        <v>157.2888696804267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-4.5474735088646412E-13</v>
      </c>
      <c r="AJ109" s="13">
        <f>AI109*VLOOKUP('Données projet'!$B$10,Paramètres!$A$1:$I$89,3,0)*VLOOKUP('Données projet'!$B$10,Paramètres!$A$1:$I$89,5,0)</f>
        <v>-2.1282176021486519E-13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387.50901594883317</v>
      </c>
      <c r="AO109" s="59">
        <f t="shared" si="90"/>
        <v>361.3623790401972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224.33217754536685</v>
      </c>
      <c r="AV109" s="21">
        <f>EXP(-LN(2)/25)*AV108+(1-EXP(-LN(2)/25))/(LN(2)/25)*Calculateur!AQ109*Calculateur!AS109*VLOOKUP('Données projet'!$B$10,Paramètres!$A$1:$I$89,3,0)*0.475*44/12</f>
        <v>33.60869803746283</v>
      </c>
      <c r="AW109" s="21">
        <f>EXP(-LN(2)/2)*AW108+(1-EXP(-LN(2)/2))/(LN(2)/2)*AQ109*AT109*VLOOKUP('Données projet'!$B$10,Paramètres!$A$1:$I$89,3,0)*0.475*44/12</f>
        <v>12.317337405180526</v>
      </c>
      <c r="AX109" s="21">
        <f t="shared" si="60"/>
        <v>270.2582129880102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7.9349999999999969</v>
      </c>
      <c r="BD109" s="12">
        <f>IF('Données projet'!$A$88&gt;35,BD108+BC109-BL108,IF(A109&lt;'Données projet'!$A$88,$BA$205^A109,IF(A109='Données projet'!$A$88,'Données projet'!$B$88,BD108+BC109-BL108)))</f>
        <v>321.09000000000049</v>
      </c>
      <c r="BE109" s="13">
        <f>BD109*VLOOKUP('Données projet'!$B$11,Paramètres!$A$1:$I$89,3,0)*VLOOKUP('Données projet'!$B$11,Paramètres!$A$1:$I$89,5,0)</f>
        <v>290.52223200000043</v>
      </c>
      <c r="BF109" s="13">
        <f t="shared" si="91"/>
        <v>69.185862279978352</v>
      </c>
      <c r="BG109" s="20">
        <f t="shared" si="61"/>
        <v>626.49159753762979</v>
      </c>
      <c r="BH109" s="59">
        <f t="shared" si="62"/>
        <v>905.48341112575895</v>
      </c>
      <c r="BI109" s="59">
        <f ca="1">AVERAGE(OFFSET($BH$3,0,0,'Données projet'!$E$11+1,1))-AVERAGE(OFFSET($H$3,0,0,'Données projet'!$E$11+1,1))</f>
        <v>627.65081154031589</v>
      </c>
      <c r="BJ109" s="59">
        <f t="shared" si="92"/>
        <v>288.78083487077618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40.561993462834863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40.561993462834863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7.9349999999999969</v>
      </c>
      <c r="BY109" s="12">
        <f>IF('Données projet'!$A$114&gt;35,BY108+BX109-CG108,IF(A109&lt;'Données projet'!$A$114,$BV$205^A109,IF(A109='Données projet'!$A$114,'Données projet'!$B$114,BY108+BX109-CG108)))</f>
        <v>321.09000000000049</v>
      </c>
      <c r="BZ109" s="13">
        <f>BY109*VLOOKUP('Données projet'!$B$12,Paramètres!$A$1:$I$89,3,0)*VLOOKUP('Données projet'!$B$12,Paramètres!$A$1:$I$89,5,0)</f>
        <v>325.58526000000052</v>
      </c>
      <c r="CA109" s="13">
        <f t="shared" si="93"/>
        <v>76.514302718659977</v>
      </c>
      <c r="CB109" s="20">
        <f t="shared" si="64"/>
        <v>700.32340506833361</v>
      </c>
      <c r="CC109" s="59">
        <f t="shared" si="65"/>
        <v>979.31521865646278</v>
      </c>
      <c r="CD109" s="59">
        <f ca="1">AVERAGE(OFFSET($CC$3,0,0,'Données projet'!$E$12+1,1))-AVERAGE(OFFSET($H$3,0,0,'Données projet'!$E$12+1,1))</f>
        <v>692.2706942067415</v>
      </c>
      <c r="CE109" s="59">
        <f t="shared" si="94"/>
        <v>316.17529091924803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45.457406466970106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45.457406466970106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5.6</v>
      </c>
      <c r="CT109" s="12">
        <f>IF('Données projet'!$A$140&gt;35,CT108+CS109-DB108,IF(A109&lt;'Données projet'!$A$140,$CQ$205^A109,IF(A109='Données projet'!$A$140,'Données projet'!$B$140,CT108+CS109-DB108)))</f>
        <v>253.59999999999991</v>
      </c>
      <c r="CU109" s="17">
        <f>CT109*VLOOKUP('Données projet'!$B$13,Paramètres!$A$1:$I$89,3,0)*VLOOKUP('Données projet'!$B$13,Paramètres!$A$1:$I$89,5,0)</f>
        <v>241.32575999999992</v>
      </c>
      <c r="CV109" s="13">
        <f t="shared" si="95"/>
        <v>58.724682687532763</v>
      </c>
      <c r="CW109" s="20">
        <f t="shared" si="67"/>
        <v>522.58785434745266</v>
      </c>
      <c r="CX109" s="59">
        <f t="shared" si="68"/>
        <v>801.57966793558171</v>
      </c>
      <c r="CY109" s="59">
        <f ca="1">AVERAGE(OFFSET($CX$3,0,0,'Données projet'!$E$13+1,1))-AVERAGE(OFFSET($H$3,0,0,'Données projet'!$E$13+1,1))</f>
        <v>424.5933338095914</v>
      </c>
      <c r="CZ109" s="59">
        <f t="shared" si="96"/>
        <v>159.28977188196134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50.968635629428938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50.968635629428938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-18.333333333333343</v>
      </c>
      <c r="DU109" s="59">
        <f t="shared" si="98"/>
        <v>-18.333333333333343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-18.333333333333343</v>
      </c>
      <c r="EP109" s="59">
        <f t="shared" si="100"/>
        <v>-18.333333333333343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7.9349999999999969</v>
      </c>
      <c r="FE109" s="12">
        <f>IF('Données projet'!$A$218&gt;35,FE108+FD109-FM108,IF(A109&lt;'Données projet'!$A$218,$FB$205^A109,IF(A109='Données projet'!$A$218,'Données projet'!$B$218,FE108+FD109-FM108)))</f>
        <v>321.09000000000049</v>
      </c>
      <c r="FF109" s="17">
        <f>FE109*VLOOKUP('Données projet'!$B$16,Paramètres!$A$1:$I$89,3,0)*VLOOKUP('Données projet'!$B$16,Paramètres!$A$1:$I$89,5,0)</f>
        <v>310.5582480000005</v>
      </c>
      <c r="FG109" s="13">
        <f t="shared" si="101"/>
        <v>73.385402362433595</v>
      </c>
      <c r="FH109" s="20">
        <f t="shared" si="76"/>
        <v>668.70185771457261</v>
      </c>
      <c r="FI109" s="59">
        <f t="shared" si="77"/>
        <v>947.69367130270166</v>
      </c>
      <c r="FJ109" s="59">
        <f ca="1">AVERAGE(OFFSET($FI$3,0,0,'Données projet'!$E$16+1,1))-AVERAGE(OFFSET($H$3,0,0,'Données projet'!$E$16+1,1))</f>
        <v>664.59451650228573</v>
      </c>
      <c r="FK109" s="59">
        <f t="shared" si="102"/>
        <v>304.44325029106631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43.359372322340704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43.359372322340704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-6.8212102632969618E-13</v>
      </c>
      <c r="O110" s="13">
        <f>N110*VLOOKUP('Données projet'!$B$9,Paramètres!$A$1:$I$89,3,0)*VLOOKUP('Données projet'!$B$9,Paramètres!$A$1:$I$89,5,0)</f>
        <v>-4.0790837374515837E-13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460.88622650237176</v>
      </c>
      <c r="T110" s="59">
        <f t="shared" si="88"/>
        <v>396.05161661639647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137.57079129361858</v>
      </c>
      <c r="AA110" s="21">
        <f>EXP(-LN(2)/25)*AA109+(1-EXP(-LN(2)/25))/(LN(2)/25)*Calculateur!V110*Calculateur!X110*VLOOKUP('Données projet'!$B$9,Paramètres!$A$1:$I$89,3,0)*0.475*44/12</f>
        <v>16.501273087586494</v>
      </c>
      <c r="AB110" s="21">
        <f>EXP(-LN(2)/2)*AB109+(1-EXP(-LN(2)/2))/(LN(2)/2)*V110*Y110*VLOOKUP('Données projet'!$B$9,Paramètres!$A$1:$I$89,3,0)*0.475*44/12</f>
        <v>8.8680581625311843E-4</v>
      </c>
      <c r="AC110" s="22">
        <f t="shared" si="57"/>
        <v>154.07295118702135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-4.5474735088646412E-13</v>
      </c>
      <c r="AJ110" s="13">
        <f>AI110*VLOOKUP('Données projet'!$B$10,Paramètres!$A$1:$I$89,3,0)*VLOOKUP('Données projet'!$B$10,Paramètres!$A$1:$I$89,5,0)</f>
        <v>-2.1282176021486519E-13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387.50901594883317</v>
      </c>
      <c r="AO110" s="59">
        <f t="shared" si="90"/>
        <v>361.3623790401972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219.93316037281974</v>
      </c>
      <c r="AV110" s="21">
        <f>EXP(-LN(2)/25)*AV109+(1-EXP(-LN(2)/25))/(LN(2)/25)*Calculateur!AQ110*Calculateur!AS110*VLOOKUP('Données projet'!$B$10,Paramètres!$A$1:$I$89,3,0)*0.475*44/12</f>
        <v>32.689666422223794</v>
      </c>
      <c r="AW110" s="21">
        <f>EXP(-LN(2)/2)*AW109+(1-EXP(-LN(2)/2))/(LN(2)/2)*AQ110*AT110*VLOOKUP('Données projet'!$B$10,Paramètres!$A$1:$I$89,3,0)*0.475*44/12</f>
        <v>8.7096728053658641</v>
      </c>
      <c r="AX110" s="21">
        <f t="shared" si="60"/>
        <v>261.33249960040939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7.9349999999999969</v>
      </c>
      <c r="BD110" s="12">
        <f>IF('Données projet'!$A$88&gt;35,BD109+BC110-BL109,IF(A110&lt;'Données projet'!$A$88,$BA$205^A110,IF(A110='Données projet'!$A$88,'Données projet'!$B$88,BD109+BC110-BL109)))</f>
        <v>329.02500000000049</v>
      </c>
      <c r="BE110" s="13">
        <f>BD110*VLOOKUP('Données projet'!$B$11,Paramètres!$A$1:$I$89,3,0)*VLOOKUP('Données projet'!$B$11,Paramètres!$A$1:$I$89,5,0)</f>
        <v>297.70182000000045</v>
      </c>
      <c r="BF110" s="13">
        <f t="shared" si="91"/>
        <v>70.69446125561177</v>
      </c>
      <c r="BG110" s="20">
        <f t="shared" si="61"/>
        <v>641.62352318685794</v>
      </c>
      <c r="BH110" s="59">
        <f t="shared" si="62"/>
        <v>920.86413007973158</v>
      </c>
      <c r="BI110" s="59">
        <f ca="1">AVERAGE(OFFSET($BH$3,0,0,'Données projet'!$E$11+1,1))-AVERAGE(OFFSET($H$3,0,0,'Données projet'!$E$11+1,1))</f>
        <v>627.65081154031589</v>
      </c>
      <c r="BJ110" s="59">
        <f t="shared" si="92"/>
        <v>288.78083487077618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39.766597511401777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39.766597511401777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7.9349999999999969</v>
      </c>
      <c r="BY110" s="12">
        <f>IF('Données projet'!$A$114&gt;35,BY109+BX110-CG109,IF(A110&lt;'Données projet'!$A$114,$BV$205^A110,IF(A110='Données projet'!$A$114,'Données projet'!$B$114,BY109+BX110-CG109)))</f>
        <v>329.02500000000049</v>
      </c>
      <c r="BZ110" s="13">
        <f>BY110*VLOOKUP('Données projet'!$B$12,Paramètres!$A$1:$I$89,3,0)*VLOOKUP('Données projet'!$B$12,Paramètres!$A$1:$I$89,5,0)</f>
        <v>333.63135000000051</v>
      </c>
      <c r="CA110" s="13">
        <f t="shared" si="93"/>
        <v>78.182698470317533</v>
      </c>
      <c r="CB110" s="20">
        <f t="shared" si="64"/>
        <v>717.24280108580388</v>
      </c>
      <c r="CC110" s="59">
        <f t="shared" si="65"/>
        <v>996.48340797867752</v>
      </c>
      <c r="CD110" s="59">
        <f ca="1">AVERAGE(OFFSET($CC$3,0,0,'Données projet'!$E$12+1,1))-AVERAGE(OFFSET($H$3,0,0,'Données projet'!$E$12+1,1))</f>
        <v>692.2706942067415</v>
      </c>
      <c r="CE110" s="59">
        <f t="shared" si="94"/>
        <v>316.17529091924803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44.566014452433024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44.566014452433024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5.6</v>
      </c>
      <c r="CT110" s="12">
        <f>IF('Données projet'!$A$140&gt;35,CT109+CS110-DB109,IF(A110&lt;'Données projet'!$A$140,$CQ$205^A110,IF(A110='Données projet'!$A$140,'Données projet'!$B$140,CT109+CS110-DB109)))</f>
        <v>259.19999999999993</v>
      </c>
      <c r="CU110" s="17">
        <f>CT110*VLOOKUP('Données projet'!$B$13,Paramètres!$A$1:$I$89,3,0)*VLOOKUP('Données projet'!$B$13,Paramètres!$A$1:$I$89,5,0)</f>
        <v>246.65471999999997</v>
      </c>
      <c r="CV110" s="13">
        <f t="shared" si="95"/>
        <v>59.869038818016229</v>
      </c>
      <c r="CW110" s="20">
        <f t="shared" si="67"/>
        <v>533.86221327471151</v>
      </c>
      <c r="CX110" s="59">
        <f t="shared" si="68"/>
        <v>813.10282016758515</v>
      </c>
      <c r="CY110" s="59">
        <f ca="1">AVERAGE(OFFSET($CX$3,0,0,'Données projet'!$E$13+1,1))-AVERAGE(OFFSET($H$3,0,0,'Données projet'!$E$13+1,1))</f>
        <v>424.5933338095914</v>
      </c>
      <c r="CZ110" s="59">
        <f t="shared" si="96"/>
        <v>159.28977188196134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49.969171772533905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49.969171772533905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-18.333333333333343</v>
      </c>
      <c r="DU110" s="59">
        <f t="shared" si="98"/>
        <v>-18.333333333333343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-18.333333333333343</v>
      </c>
      <c r="EP110" s="59">
        <f t="shared" si="100"/>
        <v>-18.333333333333343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7.9349999999999969</v>
      </c>
      <c r="FE110" s="12">
        <f>IF('Données projet'!$A$218&gt;35,FE109+FD110-FM109,IF(A110&lt;'Données projet'!$A$218,$FB$205^A110,IF(A110='Données projet'!$A$218,'Données projet'!$B$218,FE109+FD110-FM109)))</f>
        <v>329.02500000000049</v>
      </c>
      <c r="FF110" s="17">
        <f>FE110*VLOOKUP('Données projet'!$B$16,Paramètres!$A$1:$I$89,3,0)*VLOOKUP('Données projet'!$B$16,Paramètres!$A$1:$I$89,5,0)</f>
        <v>318.23298000000051</v>
      </c>
      <c r="FG110" s="13">
        <f t="shared" si="101"/>
        <v>74.985572385355411</v>
      </c>
      <c r="FH110" s="20">
        <f t="shared" si="76"/>
        <v>684.85564540449479</v>
      </c>
      <c r="FI110" s="59">
        <f t="shared" si="77"/>
        <v>964.09625229736844</v>
      </c>
      <c r="FJ110" s="59">
        <f ca="1">AVERAGE(OFFSET($FI$3,0,0,'Données projet'!$E$16+1,1))-AVERAGE(OFFSET($H$3,0,0,'Données projet'!$E$16+1,1))</f>
        <v>664.59451650228573</v>
      </c>
      <c r="FK110" s="59">
        <f t="shared" si="102"/>
        <v>304.44325029106631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42.509121477705335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42.509121477705335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-6.8212102632969618E-13</v>
      </c>
      <c r="O111" s="13">
        <f>N111*VLOOKUP('Données projet'!$B$9,Paramètres!$A$1:$I$89,3,0)*VLOOKUP('Données projet'!$B$9,Paramètres!$A$1:$I$89,5,0)</f>
        <v>-4.0790837374515837E-13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460.88622650237176</v>
      </c>
      <c r="T111" s="59">
        <f t="shared" si="88"/>
        <v>396.05161661639647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134.87311198624801</v>
      </c>
      <c r="AA111" s="21">
        <f>EXP(-LN(2)/25)*AA110+(1-EXP(-LN(2)/25))/(LN(2)/25)*Calculateur!V111*Calculateur!X111*VLOOKUP('Données projet'!$B$9,Paramètres!$A$1:$I$89,3,0)*0.475*44/12</f>
        <v>16.050044907242203</v>
      </c>
      <c r="AB111" s="21">
        <f>EXP(-LN(2)/2)*AB110+(1-EXP(-LN(2)/2))/(LN(2)/2)*V111*Y111*VLOOKUP('Données projet'!$B$9,Paramètres!$A$1:$I$89,3,0)*0.475*44/12</f>
        <v>6.2706640626825148E-4</v>
      </c>
      <c r="AC111" s="22">
        <f t="shared" si="57"/>
        <v>150.9237839598965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-4.5474735088646412E-13</v>
      </c>
      <c r="AJ111" s="13">
        <f>AI111*VLOOKUP('Données projet'!$B$10,Paramètres!$A$1:$I$89,3,0)*VLOOKUP('Données projet'!$B$10,Paramètres!$A$1:$I$89,5,0)</f>
        <v>-2.1282176021486519E-13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387.50901594883317</v>
      </c>
      <c r="AO111" s="59">
        <f t="shared" si="90"/>
        <v>361.3623790401972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215.62040524389076</v>
      </c>
      <c r="AV111" s="21">
        <f>EXP(-LN(2)/25)*AV110+(1-EXP(-LN(2)/25))/(LN(2)/25)*Calculateur!AQ111*Calculateur!AS111*VLOOKUP('Données projet'!$B$10,Paramètres!$A$1:$I$89,3,0)*0.475*44/12</f>
        <v>31.795765774833242</v>
      </c>
      <c r="AW111" s="21">
        <f>EXP(-LN(2)/2)*AW110+(1-EXP(-LN(2)/2))/(LN(2)/2)*AQ111*AT111*VLOOKUP('Données projet'!$B$10,Paramètres!$A$1:$I$89,3,0)*0.475*44/12</f>
        <v>6.1586687025902638</v>
      </c>
      <c r="AX111" s="21">
        <f t="shared" si="60"/>
        <v>253.57483972131428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7.9349999999999969</v>
      </c>
      <c r="BD111" s="12">
        <f>IF('Données projet'!$A$88&gt;35,BD110+BC111-BL110,IF(A111&lt;'Données projet'!$A$88,$BA$205^A111,IF(A111='Données projet'!$A$88,'Données projet'!$B$88,BD110+BC111-BL110)))</f>
        <v>336.96000000000049</v>
      </c>
      <c r="BE111" s="13">
        <f>BD111*VLOOKUP('Données projet'!$B$11,Paramètres!$A$1:$I$89,3,0)*VLOOKUP('Données projet'!$B$11,Paramètres!$A$1:$I$89,5,0)</f>
        <v>304.88140800000042</v>
      </c>
      <c r="BF111" s="13">
        <f t="shared" si="91"/>
        <v>72.198830820277394</v>
      </c>
      <c r="BG111" s="20">
        <f t="shared" si="61"/>
        <v>656.74808261198393</v>
      </c>
      <c r="BH111" s="59">
        <f t="shared" si="62"/>
        <v>936.23316680198332</v>
      </c>
      <c r="BI111" s="59">
        <f ca="1">AVERAGE(OFFSET($BH$3,0,0,'Données projet'!$E$11+1,1))-AVERAGE(OFFSET($H$3,0,0,'Données projet'!$E$11+1,1))</f>
        <v>627.65081154031589</v>
      </c>
      <c r="BJ111" s="59">
        <f t="shared" si="92"/>
        <v>288.78083487077618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38.986798789432662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38.986798789432662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7.9349999999999969</v>
      </c>
      <c r="BY111" s="12">
        <f>IF('Données projet'!$A$114&gt;35,BY110+BX111-CG110,IF(A111&lt;'Données projet'!$A$114,$BV$205^A111,IF(A111='Données projet'!$A$114,'Données projet'!$B$114,BY110+BX111-CG110)))</f>
        <v>336.96000000000049</v>
      </c>
      <c r="BZ111" s="13">
        <f>BY111*VLOOKUP('Données projet'!$B$12,Paramètres!$A$1:$I$89,3,0)*VLOOKUP('Données projet'!$B$12,Paramètres!$A$1:$I$89,5,0)</f>
        <v>341.6774400000005</v>
      </c>
      <c r="CA111" s="13">
        <f t="shared" si="93"/>
        <v>79.846416815053246</v>
      </c>
      <c r="CB111" s="20">
        <f t="shared" si="64"/>
        <v>734.15405061955198</v>
      </c>
      <c r="CC111" s="59">
        <f t="shared" si="65"/>
        <v>1013.6391348095513</v>
      </c>
      <c r="CD111" s="59">
        <f ca="1">AVERAGE(OFFSET($CC$3,0,0,'Données projet'!$E$12+1,1))-AVERAGE(OFFSET($H$3,0,0,'Données projet'!$E$12+1,1))</f>
        <v>692.2706942067415</v>
      </c>
      <c r="CE111" s="59">
        <f t="shared" si="94"/>
        <v>316.17529091924803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43.69210209160557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43.69210209160557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5.6</v>
      </c>
      <c r="CT111" s="12">
        <f>IF('Données projet'!$A$140&gt;35,CT110+CS111-DB110,IF(A111&lt;'Données projet'!$A$140,$CQ$205^A111,IF(A111='Données projet'!$A$140,'Données projet'!$B$140,CT110+CS111-DB110)))</f>
        <v>264.79999999999995</v>
      </c>
      <c r="CU111" s="17">
        <f>CT111*VLOOKUP('Données projet'!$B$13,Paramètres!$A$1:$I$89,3,0)*VLOOKUP('Données projet'!$B$13,Paramètres!$A$1:$I$89,5,0)</f>
        <v>251.98367999999996</v>
      </c>
      <c r="CV111" s="13">
        <f t="shared" si="95"/>
        <v>61.010520483975299</v>
      </c>
      <c r="CW111" s="20">
        <f t="shared" si="67"/>
        <v>545.13156584292358</v>
      </c>
      <c r="CX111" s="59">
        <f t="shared" si="68"/>
        <v>824.61665003292296</v>
      </c>
      <c r="CY111" s="59">
        <f ca="1">AVERAGE(OFFSET($CX$3,0,0,'Données projet'!$E$13+1,1))-AVERAGE(OFFSET($H$3,0,0,'Données projet'!$E$13+1,1))</f>
        <v>424.5933338095914</v>
      </c>
      <c r="CZ111" s="59">
        <f t="shared" si="96"/>
        <v>159.28977188196134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48.989306792259825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48.989306792259825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-18.333333333333343</v>
      </c>
      <c r="DU111" s="59">
        <f t="shared" si="98"/>
        <v>-18.333333333333343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-18.333333333333343</v>
      </c>
      <c r="EP111" s="59">
        <f t="shared" si="100"/>
        <v>-18.333333333333343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7.9349999999999969</v>
      </c>
      <c r="FE111" s="12">
        <f>IF('Données projet'!$A$218&gt;35,FE110+FD111-FM110,IF(A111&lt;'Données projet'!$A$218,$FB$205^A111,IF(A111='Données projet'!$A$218,'Données projet'!$B$218,FE110+FD111-FM110)))</f>
        <v>336.96000000000049</v>
      </c>
      <c r="FF111" s="17">
        <f>FE111*VLOOKUP('Données projet'!$B$16,Paramètres!$A$1:$I$89,3,0)*VLOOKUP('Données projet'!$B$16,Paramètres!$A$1:$I$89,5,0)</f>
        <v>325.90771200000052</v>
      </c>
      <c r="FG111" s="13">
        <f t="shared" si="101"/>
        <v>76.581256274616251</v>
      </c>
      <c r="FH111" s="20">
        <f t="shared" si="76"/>
        <v>701.00161974495734</v>
      </c>
      <c r="FI111" s="59">
        <f t="shared" si="77"/>
        <v>980.48670393495672</v>
      </c>
      <c r="FJ111" s="59">
        <f ca="1">AVERAGE(OFFSET($FI$3,0,0,'Données projet'!$E$16+1,1))-AVERAGE(OFFSET($H$3,0,0,'Données projet'!$E$16+1,1))</f>
        <v>664.59451650228573</v>
      </c>
      <c r="FK111" s="59">
        <f t="shared" si="102"/>
        <v>304.44325029106631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41.67554353353146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41.67554353353146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-6.8212102632969618E-13</v>
      </c>
      <c r="O112" s="13">
        <f>N112*VLOOKUP('Données projet'!$B$9,Paramètres!$A$1:$I$89,3,0)*VLOOKUP('Données projet'!$B$9,Paramètres!$A$1:$I$89,5,0)</f>
        <v>-4.0790837374515837E-13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460.88622650237176</v>
      </c>
      <c r="T112" s="59">
        <f t="shared" si="88"/>
        <v>396.05161661639647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132.22833252467305</v>
      </c>
      <c r="AA112" s="21">
        <f>EXP(-LN(2)/25)*AA111+(1-EXP(-LN(2)/25))/(LN(2)/25)*Calculateur!V112*Calculateur!X112*VLOOKUP('Données projet'!$B$9,Paramètres!$A$1:$I$89,3,0)*0.475*44/12</f>
        <v>15.611155585218485</v>
      </c>
      <c r="AB112" s="21">
        <f>EXP(-LN(2)/2)*AB111+(1-EXP(-LN(2)/2))/(LN(2)/2)*V112*Y112*VLOOKUP('Données projet'!$B$9,Paramètres!$A$1:$I$89,3,0)*0.475*44/12</f>
        <v>4.4340290812655922E-4</v>
      </c>
      <c r="AC112" s="22">
        <f t="shared" si="57"/>
        <v>147.83993151279967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-4.5474735088646412E-13</v>
      </c>
      <c r="AJ112" s="13">
        <f>AI112*VLOOKUP('Données projet'!$B$10,Paramètres!$A$1:$I$89,3,0)*VLOOKUP('Données projet'!$B$10,Paramètres!$A$1:$I$89,5,0)</f>
        <v>-2.1282176021486519E-13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387.50901594883317</v>
      </c>
      <c r="AO112" s="59">
        <f t="shared" si="90"/>
        <v>361.3623790401972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211.3922206125192</v>
      </c>
      <c r="AV112" s="21">
        <f>EXP(-LN(2)/25)*AV111+(1-EXP(-LN(2)/25))/(LN(2)/25)*Calculateur!AQ112*Calculateur!AS112*VLOOKUP('Données projet'!$B$10,Paramètres!$A$1:$I$89,3,0)*0.475*44/12</f>
        <v>30.926308887653775</v>
      </c>
      <c r="AW112" s="21">
        <f>EXP(-LN(2)/2)*AW111+(1-EXP(-LN(2)/2))/(LN(2)/2)*AQ112*AT112*VLOOKUP('Données projet'!$B$10,Paramètres!$A$1:$I$89,3,0)*0.475*44/12</f>
        <v>4.354836402682932</v>
      </c>
      <c r="AX112" s="21">
        <f t="shared" si="60"/>
        <v>246.67336590285592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7.9349999999999969</v>
      </c>
      <c r="BD112" s="12">
        <f>IF('Données projet'!$A$88&gt;35,BD111+BC112-BL111,IF(A112&lt;'Données projet'!$A$88,$BA$205^A112,IF(A112='Données projet'!$A$88,'Données projet'!$B$88,BD111+BC112-BL111)))</f>
        <v>344.89500000000049</v>
      </c>
      <c r="BE112" s="13">
        <f>BD112*VLOOKUP('Données projet'!$B$11,Paramètres!$A$1:$I$89,3,0)*VLOOKUP('Données projet'!$B$11,Paramètres!$A$1:$I$89,5,0)</f>
        <v>312.06099600000044</v>
      </c>
      <c r="BF112" s="13">
        <f t="shared" si="91"/>
        <v>73.699082033131035</v>
      </c>
      <c r="BG112" s="20">
        <f t="shared" si="61"/>
        <v>671.86546924103743</v>
      </c>
      <c r="BH112" s="59">
        <f t="shared" si="62"/>
        <v>951.59078959362671</v>
      </c>
      <c r="BI112" s="59">
        <f ca="1">AVERAGE(OFFSET($BH$3,0,0,'Données projet'!$E$11+1,1))-AVERAGE(OFFSET($H$3,0,0,'Données projet'!$E$11+1,1))</f>
        <v>627.65081154031589</v>
      </c>
      <c r="BJ112" s="59">
        <f t="shared" si="92"/>
        <v>288.78083487077618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38.222291444771109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38.222291444771109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7.9349999999999969</v>
      </c>
      <c r="BY112" s="12">
        <f>IF('Données projet'!$A$114&gt;35,BY111+BX112-CG111,IF(A112&lt;'Données projet'!$A$114,$BV$205^A112,IF(A112='Données projet'!$A$114,'Données projet'!$B$114,BY111+BX112-CG111)))</f>
        <v>344.89500000000049</v>
      </c>
      <c r="BZ112" s="13">
        <f>BY112*VLOOKUP('Données projet'!$B$12,Paramètres!$A$1:$I$89,3,0)*VLOOKUP('Données projet'!$B$12,Paramètres!$A$1:$I$89,5,0)</f>
        <v>349.72353000000055</v>
      </c>
      <c r="CA112" s="13">
        <f t="shared" si="93"/>
        <v>81.505580575848711</v>
      </c>
      <c r="CB112" s="20">
        <f t="shared" si="64"/>
        <v>751.05736758627074</v>
      </c>
      <c r="CC112" s="59">
        <f t="shared" si="65"/>
        <v>1030.7826879388599</v>
      </c>
      <c r="CD112" s="59">
        <f ca="1">AVERAGE(OFFSET($CC$3,0,0,'Données projet'!$E$12+1,1))-AVERAGE(OFFSET($H$3,0,0,'Données projet'!$E$12+1,1))</f>
        <v>692.2706942067415</v>
      </c>
      <c r="CE112" s="59">
        <f t="shared" si="94"/>
        <v>316.17529091924803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42.835326619140034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42.835326619140034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5.6</v>
      </c>
      <c r="CT112" s="12">
        <f>IF('Données projet'!$A$140&gt;35,CT111+CS112-DB111,IF(A112&lt;'Données projet'!$A$140,$CQ$205^A112,IF(A112='Données projet'!$A$140,'Données projet'!$B$140,CT111+CS112-DB111)))</f>
        <v>270.39999999999998</v>
      </c>
      <c r="CU112" s="17">
        <f>CT112*VLOOKUP('Données projet'!$B$13,Paramètres!$A$1:$I$89,3,0)*VLOOKUP('Données projet'!$B$13,Paramètres!$A$1:$I$89,5,0)</f>
        <v>257.31263999999999</v>
      </c>
      <c r="CV112" s="13">
        <f t="shared" si="95"/>
        <v>62.14919547730517</v>
      </c>
      <c r="CW112" s="20">
        <f t="shared" si="67"/>
        <v>556.39603012297312</v>
      </c>
      <c r="CX112" s="59">
        <f t="shared" si="68"/>
        <v>836.12135047556239</v>
      </c>
      <c r="CY112" s="59">
        <f ca="1">AVERAGE(OFFSET($CX$3,0,0,'Données projet'!$E$13+1,1))-AVERAGE(OFFSET($H$3,0,0,'Données projet'!$E$13+1,1))</f>
        <v>424.5933338095914</v>
      </c>
      <c r="CZ112" s="59">
        <f t="shared" si="96"/>
        <v>159.28977188196134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48.028656366590297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48.028656366590297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-18.333333333333343</v>
      </c>
      <c r="DU112" s="59">
        <f t="shared" si="98"/>
        <v>-18.333333333333343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-18.333333333333343</v>
      </c>
      <c r="EP112" s="59">
        <f t="shared" si="100"/>
        <v>-18.333333333333343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7.9349999999999969</v>
      </c>
      <c r="FE112" s="12">
        <f>IF('Données projet'!$A$218&gt;35,FE111+FD112-FM111,IF(A112&lt;'Données projet'!$A$218,$FB$205^A112,IF(A112='Données projet'!$A$218,'Données projet'!$B$218,FE111+FD112-FM111)))</f>
        <v>344.89500000000049</v>
      </c>
      <c r="FF112" s="17">
        <f>FE112*VLOOKUP('Données projet'!$B$16,Paramètres!$A$1:$I$89,3,0)*VLOOKUP('Données projet'!$B$16,Paramètres!$A$1:$I$89,5,0)</f>
        <v>333.58244400000052</v>
      </c>
      <c r="FG112" s="13">
        <f t="shared" si="101"/>
        <v>78.172571830595942</v>
      </c>
      <c r="FH112" s="20">
        <f t="shared" si="76"/>
        <v>717.13998590495532</v>
      </c>
      <c r="FI112" s="59">
        <f t="shared" si="77"/>
        <v>996.8653062575446</v>
      </c>
      <c r="FJ112" s="59">
        <f ca="1">AVERAGE(OFFSET($FI$3,0,0,'Données projet'!$E$16+1,1))-AVERAGE(OFFSET($H$3,0,0,'Données projet'!$E$16+1,1))</f>
        <v>664.59451650228573</v>
      </c>
      <c r="FK112" s="59">
        <f t="shared" si="102"/>
        <v>304.44325029106631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40.858311544410491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40.858311544410491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-6.8212102632969618E-13</v>
      </c>
      <c r="O113" s="13">
        <f>N113*VLOOKUP('Données projet'!$B$9,Paramètres!$A$1:$I$89,3,0)*VLOOKUP('Données projet'!$B$9,Paramètres!$A$1:$I$89,5,0)</f>
        <v>-4.0790837374515837E-13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460.88622650237176</v>
      </c>
      <c r="T113" s="59">
        <f t="shared" si="88"/>
        <v>396.05161661639647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129.6354155751834</v>
      </c>
      <c r="AA113" s="21">
        <f>EXP(-LN(2)/25)*AA112+(1-EXP(-LN(2)/25))/(LN(2)/25)*Calculateur!V113*Calculateur!X113*VLOOKUP('Données projet'!$B$9,Paramètres!$A$1:$I$89,3,0)*0.475*44/12</f>
        <v>15.184267714785694</v>
      </c>
      <c r="AB113" s="21">
        <f>EXP(-LN(2)/2)*AB112+(1-EXP(-LN(2)/2))/(LN(2)/2)*V113*Y113*VLOOKUP('Données projet'!$B$9,Paramètres!$A$1:$I$89,3,0)*0.475*44/12</f>
        <v>3.1353320313412574E-4</v>
      </c>
      <c r="AC113" s="22">
        <f t="shared" si="57"/>
        <v>144.81999682317223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-4.5474735088646412E-13</v>
      </c>
      <c r="AJ113" s="13">
        <f>AI113*VLOOKUP('Données projet'!$B$10,Paramètres!$A$1:$I$89,3,0)*VLOOKUP('Données projet'!$B$10,Paramètres!$A$1:$I$89,5,0)</f>
        <v>-2.1282176021486519E-13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387.50901594883317</v>
      </c>
      <c r="AO113" s="59">
        <f t="shared" si="90"/>
        <v>361.3623790401972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207.24694810283086</v>
      </c>
      <c r="AV113" s="21">
        <f>EXP(-LN(2)/25)*AV112+(1-EXP(-LN(2)/25))/(LN(2)/25)*Calculateur!AQ113*Calculateur!AS113*VLOOKUP('Données projet'!$B$10,Paramètres!$A$1:$I$89,3,0)*0.475*44/12</f>
        <v>30.080627344776982</v>
      </c>
      <c r="AW113" s="21">
        <f>EXP(-LN(2)/2)*AW112+(1-EXP(-LN(2)/2))/(LN(2)/2)*AQ113*AT113*VLOOKUP('Données projet'!$B$10,Paramètres!$A$1:$I$89,3,0)*0.475*44/12</f>
        <v>3.0793343512951319</v>
      </c>
      <c r="AX113" s="21">
        <f t="shared" si="60"/>
        <v>240.40690979890297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7.9349999999999969</v>
      </c>
      <c r="BD113" s="12">
        <f>IF('Données projet'!$A$88&gt;35,BD112+BC113-BL112,IF(A113&lt;'Données projet'!$A$88,$BA$205^A113,IF(A113='Données projet'!$A$88,'Données projet'!$B$88,BD112+BC113-BL112)))</f>
        <v>352.8300000000005</v>
      </c>
      <c r="BE113" s="13">
        <f>BD113*VLOOKUP('Données projet'!$B$11,Paramètres!$A$1:$I$89,3,0)*VLOOKUP('Données projet'!$B$11,Paramètres!$A$1:$I$89,5,0)</f>
        <v>319.24058400000041</v>
      </c>
      <c r="BF113" s="13">
        <f t="shared" si="91"/>
        <v>75.195320551435159</v>
      </c>
      <c r="BG113" s="20">
        <f t="shared" si="61"/>
        <v>686.97586709375025</v>
      </c>
      <c r="BH113" s="59">
        <f t="shared" si="62"/>
        <v>966.93725604859605</v>
      </c>
      <c r="BI113" s="59">
        <f ca="1">AVERAGE(OFFSET($BH$3,0,0,'Données projet'!$E$11+1,1))-AVERAGE(OFFSET($H$3,0,0,'Données projet'!$E$11+1,1))</f>
        <v>627.65081154031589</v>
      </c>
      <c r="BJ113" s="59">
        <f t="shared" si="92"/>
        <v>288.78083487077618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37.472775622834931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37.472775622834931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7.9349999999999969</v>
      </c>
      <c r="BY113" s="12">
        <f>IF('Données projet'!$A$114&gt;35,BY112+BX113-CG112,IF(A113&lt;'Données projet'!$A$114,$BV$205^A113,IF(A113='Données projet'!$A$114,'Données projet'!$B$114,BY112+BX113-CG112)))</f>
        <v>352.8300000000005</v>
      </c>
      <c r="BZ113" s="13">
        <f>BY113*VLOOKUP('Données projet'!$B$12,Paramètres!$A$1:$I$89,3,0)*VLOOKUP('Données projet'!$B$12,Paramètres!$A$1:$I$89,5,0)</f>
        <v>357.76962000000054</v>
      </c>
      <c r="CA113" s="13">
        <f t="shared" si="93"/>
        <v>83.160306601601619</v>
      </c>
      <c r="CB113" s="20">
        <f t="shared" si="64"/>
        <v>767.95295549779041</v>
      </c>
      <c r="CC113" s="59">
        <f t="shared" si="65"/>
        <v>1047.9143444526362</v>
      </c>
      <c r="CD113" s="59">
        <f ca="1">AVERAGE(OFFSET($CC$3,0,0,'Données projet'!$E$12+1,1))-AVERAGE(OFFSET($H$3,0,0,'Données projet'!$E$12+1,1))</f>
        <v>692.2706942067415</v>
      </c>
      <c r="CE113" s="59">
        <f t="shared" si="94"/>
        <v>316.17529091924803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41.995351991108109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41.995351991108109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276</v>
      </c>
      <c r="CR113" s="12">
        <f>VLOOKUP(A113,'Données projet'!$A$139:$I$159,9,0)</f>
        <v>5.6</v>
      </c>
      <c r="CS113" s="12">
        <f t="array" ref="CS113">INDEX(CR:CR,MIN(IF(ISNUMBER(CR113:CR309),ROW(CR113:CR309),"")))</f>
        <v>5.6</v>
      </c>
      <c r="CT113" s="12">
        <f>IF('Données projet'!$A$140&gt;35,CT112+CS113-DB112,IF(A113&lt;'Données projet'!$A$140,$CQ$205^A113,IF(A113='Données projet'!$A$140,'Données projet'!$B$140,CT112+CS113-DB112)))</f>
        <v>276</v>
      </c>
      <c r="CU113" s="17">
        <f>CT113*VLOOKUP('Données projet'!$B$13,Paramètres!$A$1:$I$89,3,0)*VLOOKUP('Données projet'!$B$13,Paramètres!$A$1:$I$89,5,0)</f>
        <v>262.64159999999998</v>
      </c>
      <c r="CV113" s="13">
        <f t="shared" si="95"/>
        <v>63.285128621471941</v>
      </c>
      <c r="CW113" s="20">
        <f t="shared" si="67"/>
        <v>567.65571901573026</v>
      </c>
      <c r="CX113" s="59">
        <f t="shared" si="68"/>
        <v>847.61710797057617</v>
      </c>
      <c r="CY113" s="59">
        <f ca="1">AVERAGE(OFFSET($CX$3,0,0,'Données projet'!$E$13+1,1))-AVERAGE(OFFSET($H$3,0,0,'Données projet'!$E$13+1,1))</f>
        <v>424.5933338095914</v>
      </c>
      <c r="CZ113" s="59">
        <f t="shared" si="96"/>
        <v>159.28977188196134</v>
      </c>
      <c r="DA113" s="15">
        <f>IF(ISNA(VLOOKUP(A113,'Données projet'!$A$139:$I$159,3,0)),0,VLOOKUP(A113,'Données projet'!$A$139:$I$159,3,0))</f>
        <v>16</v>
      </c>
      <c r="DB113" s="15">
        <f>IF(ISNA(VLOOKUP(A113,'Données projet'!$A$139:$I$159,4,0)),0,VLOOKUP(A113,'Données projet'!$A$139:$I$159,4,0))</f>
        <v>24</v>
      </c>
      <c r="DC113" s="16">
        <f>IF(ISNA(VLOOKUP(A113,'Données projet'!$A$139:$I$159,5,0)),0%,VLOOKUP(A113,'Données projet'!$A$139:$I$159,5,0)*VLOOKUP('Données projet'!$B$13,Paramètres!$A$1:$I$89,7,0))</f>
        <v>0.30099999999999999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54.686243299322769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54.686243299322769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-18.333333333333343</v>
      </c>
      <c r="DU113" s="59">
        <f t="shared" si="98"/>
        <v>-18.333333333333343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-18.333333333333343</v>
      </c>
      <c r="EP113" s="59">
        <f t="shared" si="100"/>
        <v>-18.333333333333343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7.9349999999999969</v>
      </c>
      <c r="FE113" s="12">
        <f>IF('Données projet'!$A$218&gt;35,FE112+FD113-FM112,IF(A113&lt;'Données projet'!$A$218,$FB$205^A113,IF(A113='Données projet'!$A$218,'Données projet'!$B$218,FE112+FD113-FM112)))</f>
        <v>352.8300000000005</v>
      </c>
      <c r="FF113" s="17">
        <f>FE113*VLOOKUP('Données projet'!$B$16,Paramètres!$A$1:$I$89,3,0)*VLOOKUP('Données projet'!$B$16,Paramètres!$A$1:$I$89,5,0)</f>
        <v>341.25717600000047</v>
      </c>
      <c r="FG113" s="13">
        <f t="shared" si="101"/>
        <v>79.759631123888809</v>
      </c>
      <c r="FH113" s="20">
        <f t="shared" si="76"/>
        <v>733.2709390741071</v>
      </c>
      <c r="FI113" s="59">
        <f t="shared" si="77"/>
        <v>1013.2323280289529</v>
      </c>
      <c r="FJ113" s="59">
        <f ca="1">AVERAGE(OFFSET($FI$3,0,0,'Données projet'!$E$16+1,1))-AVERAGE(OFFSET($H$3,0,0,'Données projet'!$E$16+1,1))</f>
        <v>664.59451650228573</v>
      </c>
      <c r="FK113" s="59">
        <f t="shared" si="102"/>
        <v>304.44325029106631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40.057104976133886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40.057104976133886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-6.8212102632969618E-13</v>
      </c>
      <c r="O114" s="13">
        <f>N114*VLOOKUP('Données projet'!$B$9,Paramètres!$A$1:$I$89,3,0)*VLOOKUP('Données projet'!$B$9,Paramètres!$A$1:$I$89,5,0)</f>
        <v>-4.0790837374515837E-13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460.88622650237176</v>
      </c>
      <c r="T114" s="59">
        <f t="shared" si="88"/>
        <v>396.05161661639647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127.09334414555006</v>
      </c>
      <c r="AA114" s="21">
        <f>EXP(-LN(2)/25)*AA113+(1-EXP(-LN(2)/25))/(LN(2)/25)*Calculateur!V114*Calculateur!X114*VLOOKUP('Données projet'!$B$9,Paramètres!$A$1:$I$89,3,0)*0.475*44/12</f>
        <v>14.769053115618943</v>
      </c>
      <c r="AB114" s="21">
        <f>EXP(-LN(2)/2)*AB113+(1-EXP(-LN(2)/2))/(LN(2)/2)*V114*Y114*VLOOKUP('Données projet'!$B$9,Paramètres!$A$1:$I$89,3,0)*0.475*44/12</f>
        <v>2.2170145406327961E-4</v>
      </c>
      <c r="AC114" s="22">
        <f t="shared" si="57"/>
        <v>141.86261896262306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-4.5474735088646412E-13</v>
      </c>
      <c r="AJ114" s="13">
        <f>AI114*VLOOKUP('Données projet'!$B$10,Paramètres!$A$1:$I$89,3,0)*VLOOKUP('Données projet'!$B$10,Paramètres!$A$1:$I$89,5,0)</f>
        <v>-2.1282176021486519E-13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387.50901594883317</v>
      </c>
      <c r="AO114" s="59">
        <f t="shared" si="90"/>
        <v>361.3623790401972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203.18296185869093</v>
      </c>
      <c r="AV114" s="21">
        <f>EXP(-LN(2)/25)*AV113+(1-EXP(-LN(2)/25))/(LN(2)/25)*Calculateur!AQ114*Calculateur!AS114*VLOOKUP('Données projet'!$B$10,Paramètres!$A$1:$I$89,3,0)*0.475*44/12</f>
        <v>29.258071008162613</v>
      </c>
      <c r="AW114" s="21">
        <f>EXP(-LN(2)/2)*AW113+(1-EXP(-LN(2)/2))/(LN(2)/2)*AQ114*AT114*VLOOKUP('Données projet'!$B$10,Paramètres!$A$1:$I$89,3,0)*0.475*44/12</f>
        <v>2.177418201341466</v>
      </c>
      <c r="AX114" s="21">
        <f t="shared" si="60"/>
        <v>234.61845106819499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7.9349999999999969</v>
      </c>
      <c r="BD114" s="12">
        <f>IF('Données projet'!$A$88&gt;35,BD113+BC114-BL113,IF(A114&lt;'Données projet'!$A$88,$BA$205^A114,IF(A114='Données projet'!$A$88,'Données projet'!$B$88,BD113+BC114-BL113)))</f>
        <v>360.7650000000005</v>
      </c>
      <c r="BE114" s="13">
        <f>BD114*VLOOKUP('Données projet'!$B$11,Paramètres!$A$1:$I$89,3,0)*VLOOKUP('Données projet'!$B$11,Paramètres!$A$1:$I$89,5,0)</f>
        <v>326.42017200000043</v>
      </c>
      <c r="BF114" s="13">
        <f t="shared" si="91"/>
        <v>76.687647008791089</v>
      </c>
      <c r="BG114" s="20">
        <f t="shared" si="61"/>
        <v>702.07945144031191</v>
      </c>
      <c r="BH114" s="59">
        <f t="shared" si="62"/>
        <v>982.27281373493543</v>
      </c>
      <c r="BI114" s="59">
        <f ca="1">AVERAGE(OFFSET($BH$3,0,0,'Données projet'!$E$11+1,1))-AVERAGE(OFFSET($H$3,0,0,'Données projet'!$E$11+1,1))</f>
        <v>627.65081154031589</v>
      </c>
      <c r="BJ114" s="59">
        <f t="shared" si="92"/>
        <v>288.78083487077618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36.737957349007409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36.737957349007409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7.9349999999999969</v>
      </c>
      <c r="BY114" s="12">
        <f>IF('Données projet'!$A$114&gt;35,BY113+BX114-CG113,IF(A114&lt;'Données projet'!$A$114,$BV$205^A114,IF(A114='Données projet'!$A$114,'Données projet'!$B$114,BY113+BX114-CG113)))</f>
        <v>360.7650000000005</v>
      </c>
      <c r="BZ114" s="13">
        <f>BY114*VLOOKUP('Données projet'!$B$12,Paramètres!$A$1:$I$89,3,0)*VLOOKUP('Données projet'!$B$12,Paramètres!$A$1:$I$89,5,0)</f>
        <v>365.81571000000054</v>
      </c>
      <c r="CA114" s="13">
        <f t="shared" si="93"/>
        <v>84.810706185422944</v>
      </c>
      <c r="CB114" s="20">
        <f t="shared" si="64"/>
        <v>784.84100818961235</v>
      </c>
      <c r="CC114" s="59">
        <f t="shared" si="65"/>
        <v>1065.034370484236</v>
      </c>
      <c r="CD114" s="59">
        <f ca="1">AVERAGE(OFFSET($CC$3,0,0,'Données projet'!$E$12+1,1))-AVERAGE(OFFSET($H$3,0,0,'Données projet'!$E$12+1,1))</f>
        <v>692.2706942067415</v>
      </c>
      <c r="CE114" s="59">
        <f t="shared" si="94"/>
        <v>316.17529091924803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41.171848753197956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41.171848753197956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5.2</v>
      </c>
      <c r="CT114" s="12">
        <f>IF('Données projet'!$A$140&gt;35,CT113+CS114-DB113,IF(A114&lt;'Données projet'!$A$140,$CQ$205^A114,IF(A114='Données projet'!$A$140,'Données projet'!$B$140,CT113+CS114-DB113)))</f>
        <v>257.2</v>
      </c>
      <c r="CU114" s="17">
        <f>CT114*VLOOKUP('Données projet'!$B$13,Paramètres!$A$1:$I$89,3,0)*VLOOKUP('Données projet'!$B$13,Paramètres!$A$1:$I$89,5,0)</f>
        <v>244.75152</v>
      </c>
      <c r="CV114" s="13">
        <f t="shared" si="95"/>
        <v>59.460673792257886</v>
      </c>
      <c r="CW114" s="20">
        <f t="shared" si="67"/>
        <v>529.83623752151573</v>
      </c>
      <c r="CX114" s="59">
        <f t="shared" si="68"/>
        <v>810.02959981613935</v>
      </c>
      <c r="CY114" s="59">
        <f ca="1">AVERAGE(OFFSET($CX$3,0,0,'Données projet'!$E$13+1,1))-AVERAGE(OFFSET($H$3,0,0,'Données projet'!$E$13+1,1))</f>
        <v>424.5933338095914</v>
      </c>
      <c r="CZ114" s="59">
        <f t="shared" si="96"/>
        <v>159.28977188196134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53.613879423537895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53.613879423537895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-18.333333333333343</v>
      </c>
      <c r="DU114" s="59">
        <f t="shared" si="98"/>
        <v>-18.333333333333343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-18.333333333333343</v>
      </c>
      <c r="EP114" s="59">
        <f t="shared" si="100"/>
        <v>-18.333333333333343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7.9349999999999969</v>
      </c>
      <c r="FE114" s="12">
        <f>IF('Données projet'!$A$218&gt;35,FE113+FD114-FM113,IF(A114&lt;'Données projet'!$A$218,$FB$205^A114,IF(A114='Données projet'!$A$218,'Données projet'!$B$218,FE113+FD114-FM113)))</f>
        <v>360.7650000000005</v>
      </c>
      <c r="FF114" s="17">
        <f>FE114*VLOOKUP('Données projet'!$B$16,Paramètres!$A$1:$I$89,3,0)*VLOOKUP('Données projet'!$B$16,Paramètres!$A$1:$I$89,5,0)</f>
        <v>348.93190800000048</v>
      </c>
      <c r="FG114" s="13">
        <f t="shared" si="101"/>
        <v>81.342540896495009</v>
      </c>
      <c r="FH114" s="20">
        <f t="shared" si="76"/>
        <v>749.39466516139635</v>
      </c>
      <c r="FI114" s="59">
        <f t="shared" si="77"/>
        <v>1029.58802745602</v>
      </c>
      <c r="FJ114" s="59">
        <f ca="1">AVERAGE(OFFSET($FI$3,0,0,'Données projet'!$E$16+1,1))-AVERAGE(OFFSET($H$3,0,0,'Données projet'!$E$16+1,1))</f>
        <v>664.59451650228573</v>
      </c>
      <c r="FK114" s="59">
        <f t="shared" si="102"/>
        <v>304.44325029106631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39.271609579973436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39.271609579973436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-6.8212102632969618E-13</v>
      </c>
      <c r="O115" s="13">
        <f>N115*VLOOKUP('Données projet'!$B$9,Paramètres!$A$1:$I$89,3,0)*VLOOKUP('Données projet'!$B$9,Paramètres!$A$1:$I$89,5,0)</f>
        <v>-4.0790837374515837E-13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460.88622650237176</v>
      </c>
      <c r="T115" s="59">
        <f t="shared" si="88"/>
        <v>396.05161661639647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124.60112118614136</v>
      </c>
      <c r="AA115" s="21">
        <f>EXP(-LN(2)/25)*AA114+(1-EXP(-LN(2)/25))/(LN(2)/25)*Calculateur!V115*Calculateur!X115*VLOOKUP('Données projet'!$B$9,Paramètres!$A$1:$I$89,3,0)*0.475*44/12</f>
        <v>14.365192581501596</v>
      </c>
      <c r="AB115" s="21">
        <f>EXP(-LN(2)/2)*AB114+(1-EXP(-LN(2)/2))/(LN(2)/2)*V115*Y115*VLOOKUP('Données projet'!$B$9,Paramètres!$A$1:$I$89,3,0)*0.475*44/12</f>
        <v>1.5676660156706287E-4</v>
      </c>
      <c r="AC115" s="22">
        <f t="shared" si="57"/>
        <v>138.96647053424454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-4.5474735088646412E-13</v>
      </c>
      <c r="AJ115" s="13">
        <f>AI115*VLOOKUP('Données projet'!$B$10,Paramètres!$A$1:$I$89,3,0)*VLOOKUP('Données projet'!$B$10,Paramètres!$A$1:$I$89,5,0)</f>
        <v>-2.1282176021486519E-13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387.50901594883317</v>
      </c>
      <c r="AO115" s="59">
        <f t="shared" si="90"/>
        <v>361.3623790401972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199.19866790601174</v>
      </c>
      <c r="AV115" s="21">
        <f>EXP(-LN(2)/25)*AV114+(1-EXP(-LN(2)/25))/(LN(2)/25)*Calculateur!AQ115*Calculateur!AS115*VLOOKUP('Données projet'!$B$10,Paramètres!$A$1:$I$89,3,0)*0.475*44/12</f>
        <v>28.458007517829323</v>
      </c>
      <c r="AW115" s="21">
        <f>EXP(-LN(2)/2)*AW114+(1-EXP(-LN(2)/2))/(LN(2)/2)*AQ115*AT115*VLOOKUP('Données projet'!$B$10,Paramètres!$A$1:$I$89,3,0)*0.475*44/12</f>
        <v>1.5396671756475659</v>
      </c>
      <c r="AX115" s="21">
        <f t="shared" si="60"/>
        <v>229.19634259948862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7.9349999999999969</v>
      </c>
      <c r="BD115" s="12">
        <f>IF('Données projet'!$A$88&gt;35,BD114+BC115-BL114,IF(A115&lt;'Données projet'!$A$88,$BA$205^A115,IF(A115='Données projet'!$A$88,'Données projet'!$B$88,BD114+BC115-BL114)))</f>
        <v>368.7000000000005</v>
      </c>
      <c r="BE115" s="13">
        <f>BD115*VLOOKUP('Données projet'!$B$11,Paramètres!$A$1:$I$89,3,0)*VLOOKUP('Données projet'!$B$11,Paramètres!$A$1:$I$89,5,0)</f>
        <v>333.59976000000046</v>
      </c>
      <c r="BF115" s="13">
        <f t="shared" si="91"/>
        <v>78.17615735915706</v>
      </c>
      <c r="BG115" s="20">
        <f t="shared" si="61"/>
        <v>717.17638940053257</v>
      </c>
      <c r="BH115" s="59">
        <f t="shared" si="62"/>
        <v>997.5977008161035</v>
      </c>
      <c r="BI115" s="59">
        <f ca="1">AVERAGE(OFFSET($BH$3,0,0,'Données projet'!$E$11+1,1))-AVERAGE(OFFSET($H$3,0,0,'Données projet'!$E$11+1,1))</f>
        <v>627.65081154031589</v>
      </c>
      <c r="BJ115" s="59">
        <f t="shared" si="92"/>
        <v>288.78083487077618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36.017548413334758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36.017548413334758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7.9349999999999969</v>
      </c>
      <c r="BY115" s="12">
        <f>IF('Données projet'!$A$114&gt;35,BY114+BX115-CG114,IF(A115&lt;'Données projet'!$A$114,$BV$205^A115,IF(A115='Données projet'!$A$114,'Données projet'!$B$114,BY114+BX115-CG114)))</f>
        <v>368.7000000000005</v>
      </c>
      <c r="BZ115" s="13">
        <f>BY115*VLOOKUP('Données projet'!$B$12,Paramètres!$A$1:$I$89,3,0)*VLOOKUP('Données projet'!$B$12,Paramètres!$A$1:$I$89,5,0)</f>
        <v>373.86180000000053</v>
      </c>
      <c r="CA115" s="13">
        <f t="shared" si="93"/>
        <v>86.456885445094045</v>
      </c>
      <c r="CB115" s="20">
        <f t="shared" si="64"/>
        <v>801.7217104835396</v>
      </c>
      <c r="CC115" s="59">
        <f t="shared" si="65"/>
        <v>1082.1430218991104</v>
      </c>
      <c r="CD115" s="59">
        <f ca="1">AVERAGE(OFFSET($CC$3,0,0,'Données projet'!$E$12+1,1))-AVERAGE(OFFSET($H$3,0,0,'Données projet'!$E$12+1,1))</f>
        <v>692.2706942067415</v>
      </c>
      <c r="CE115" s="59">
        <f t="shared" si="94"/>
        <v>316.17529091924803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40.364493911495842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40.364493911495842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5.2</v>
      </c>
      <c r="CT115" s="12">
        <f>IF('Données projet'!$A$140&gt;35,CT114+CS115-DB114,IF(A115&lt;'Données projet'!$A$140,$CQ$205^A115,IF(A115='Données projet'!$A$140,'Données projet'!$B$140,CT114+CS115-DB114)))</f>
        <v>262.39999999999998</v>
      </c>
      <c r="CU115" s="17">
        <f>CT115*VLOOKUP('Données projet'!$B$13,Paramètres!$A$1:$I$89,3,0)*VLOOKUP('Données projet'!$B$13,Paramètres!$A$1:$I$89,5,0)</f>
        <v>249.69983999999999</v>
      </c>
      <c r="CV115" s="13">
        <f t="shared" si="95"/>
        <v>60.521661612597903</v>
      </c>
      <c r="CW115" s="20">
        <f t="shared" si="67"/>
        <v>540.30244864194128</v>
      </c>
      <c r="CX115" s="59">
        <f t="shared" si="68"/>
        <v>820.72376005751221</v>
      </c>
      <c r="CY115" s="59">
        <f ca="1">AVERAGE(OFFSET($CX$3,0,0,'Données projet'!$E$13+1,1))-AVERAGE(OFFSET($H$3,0,0,'Données projet'!$E$13+1,1))</f>
        <v>424.5933338095914</v>
      </c>
      <c r="CZ115" s="59">
        <f t="shared" si="96"/>
        <v>159.28977188196134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52.562543949279785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52.562543949279785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-18.333333333333343</v>
      </c>
      <c r="DU115" s="59">
        <f t="shared" si="98"/>
        <v>-18.333333333333343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-18.333333333333343</v>
      </c>
      <c r="EP115" s="59">
        <f t="shared" si="100"/>
        <v>-18.333333333333343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7.9349999999999969</v>
      </c>
      <c r="FE115" s="12">
        <f>IF('Données projet'!$A$218&gt;35,FE114+FD115-FM114,IF(A115&lt;'Données projet'!$A$218,$FB$205^A115,IF(A115='Données projet'!$A$218,'Données projet'!$B$218,FE114+FD115-FM114)))</f>
        <v>368.7000000000005</v>
      </c>
      <c r="FF115" s="17">
        <f>FE115*VLOOKUP('Données projet'!$B$16,Paramètres!$A$1:$I$89,3,0)*VLOOKUP('Données projet'!$B$16,Paramètres!$A$1:$I$89,5,0)</f>
        <v>356.60664000000048</v>
      </c>
      <c r="FG115" s="13">
        <f t="shared" si="101"/>
        <v>82.921402926720376</v>
      </c>
      <c r="FH115" s="20">
        <f t="shared" si="76"/>
        <v>765.51134143070556</v>
      </c>
      <c r="FI115" s="59">
        <f t="shared" si="77"/>
        <v>1045.9326528462764</v>
      </c>
      <c r="FJ115" s="59">
        <f ca="1">AVERAGE(OFFSET($FI$3,0,0,'Données projet'!$E$16+1,1))-AVERAGE(OFFSET($H$3,0,0,'Données projet'!$E$16+1,1))</f>
        <v>664.59451650228573</v>
      </c>
      <c r="FK115" s="59">
        <f t="shared" si="102"/>
        <v>304.44325029106631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38.501517269426806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38.501517269426806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-6.8212102632969618E-13</v>
      </c>
      <c r="O116" s="13">
        <f>N116*VLOOKUP('Données projet'!$B$9,Paramètres!$A$1:$I$89,3,0)*VLOOKUP('Données projet'!$B$9,Paramètres!$A$1:$I$89,5,0)</f>
        <v>-4.0790837374515837E-13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460.88622650237176</v>
      </c>
      <c r="T116" s="59">
        <f t="shared" si="88"/>
        <v>396.05161661639647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122.15776919886075</v>
      </c>
      <c r="AA116" s="21">
        <f>EXP(-LN(2)/25)*AA115+(1-EXP(-LN(2)/25))/(LN(2)/25)*Calculateur!V116*Calculateur!X116*VLOOKUP('Données projet'!$B$9,Paramètres!$A$1:$I$89,3,0)*0.475*44/12</f>
        <v>13.972375634927788</v>
      </c>
      <c r="AB116" s="21">
        <f>EXP(-LN(2)/2)*AB115+(1-EXP(-LN(2)/2))/(LN(2)/2)*V116*Y116*VLOOKUP('Données projet'!$B$9,Paramètres!$A$1:$I$89,3,0)*0.475*44/12</f>
        <v>1.108507270316398E-4</v>
      </c>
      <c r="AC116" s="22">
        <f t="shared" si="57"/>
        <v>136.13025568451556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-4.5474735088646412E-13</v>
      </c>
      <c r="AJ116" s="13">
        <f>AI116*VLOOKUP('Données projet'!$B$10,Paramètres!$A$1:$I$89,3,0)*VLOOKUP('Données projet'!$B$10,Paramètres!$A$1:$I$89,5,0)</f>
        <v>-2.1282176021486519E-13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387.50901594883317</v>
      </c>
      <c r="AO116" s="59">
        <f t="shared" si="90"/>
        <v>361.3623790401972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195.29250352756523</v>
      </c>
      <c r="AV116" s="21">
        <f>EXP(-LN(2)/25)*AV115+(1-EXP(-LN(2)/25))/(LN(2)/25)*Calculateur!AQ116*Calculateur!AS116*VLOOKUP('Données projet'!$B$10,Paramètres!$A$1:$I$89,3,0)*0.475*44/12</f>
        <v>27.679821805712706</v>
      </c>
      <c r="AW116" s="21">
        <f>EXP(-LN(2)/2)*AW115+(1-EXP(-LN(2)/2))/(LN(2)/2)*AQ116*AT116*VLOOKUP('Données projet'!$B$10,Paramètres!$A$1:$I$89,3,0)*0.475*44/12</f>
        <v>1.088709100670733</v>
      </c>
      <c r="AX116" s="21">
        <f t="shared" si="60"/>
        <v>224.06103443394866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7.9349999999999969</v>
      </c>
      <c r="BD116" s="12">
        <f>IF('Données projet'!$A$88&gt;35,BD115+BC116-BL115,IF(A116&lt;'Données projet'!$A$88,$BA$205^A116,IF(A116='Données projet'!$A$88,'Données projet'!$B$88,BD115+BC116-BL115)))</f>
        <v>376.6350000000005</v>
      </c>
      <c r="BE116" s="13">
        <f>BD116*VLOOKUP('Données projet'!$B$11,Paramètres!$A$1:$I$89,3,0)*VLOOKUP('Données projet'!$B$11,Paramètres!$A$1:$I$89,5,0)</f>
        <v>340.77934800000043</v>
      </c>
      <c r="BF116" s="13">
        <f t="shared" si="91"/>
        <v>79.660943190415296</v>
      </c>
      <c r="BG116" s="20">
        <f t="shared" si="61"/>
        <v>732.26684048997402</v>
      </c>
      <c r="BH116" s="59">
        <f t="shared" si="62"/>
        <v>1012.9121466188617</v>
      </c>
      <c r="BI116" s="59">
        <f ca="1">AVERAGE(OFFSET($BH$3,0,0,'Données projet'!$E$11+1,1))-AVERAGE(OFFSET($H$3,0,0,'Données projet'!$E$11+1,1))</f>
        <v>627.65081154031589</v>
      </c>
      <c r="BJ116" s="59">
        <f t="shared" si="92"/>
        <v>288.78083487077618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35.311266257484583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35.311266257484583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7.9349999999999969</v>
      </c>
      <c r="BY116" s="12">
        <f>IF('Données projet'!$A$114&gt;35,BY115+BX116-CG115,IF(A116&lt;'Données projet'!$A$114,$BV$205^A116,IF(A116='Données projet'!$A$114,'Données projet'!$B$114,BY115+BX116-CG115)))</f>
        <v>376.6350000000005</v>
      </c>
      <c r="BZ116" s="13">
        <f>BY116*VLOOKUP('Données projet'!$B$12,Paramètres!$A$1:$I$89,3,0)*VLOOKUP('Données projet'!$B$12,Paramètres!$A$1:$I$89,5,0)</f>
        <v>381.90789000000052</v>
      </c>
      <c r="CA116" s="13">
        <f t="shared" si="93"/>
        <v>88.098945669848248</v>
      </c>
      <c r="CB116" s="20">
        <f t="shared" si="64"/>
        <v>818.59523879165329</v>
      </c>
      <c r="CC116" s="59">
        <f t="shared" si="65"/>
        <v>1099.240544920541</v>
      </c>
      <c r="CD116" s="59">
        <f ca="1">AVERAGE(OFFSET($CC$3,0,0,'Données projet'!$E$12+1,1))-AVERAGE(OFFSET($H$3,0,0,'Données projet'!$E$12+1,1))</f>
        <v>692.2706942067415</v>
      </c>
      <c r="CE116" s="59">
        <f t="shared" si="94"/>
        <v>316.17529091924803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39.572970805801681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39.572970805801681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5.2</v>
      </c>
      <c r="CT116" s="12">
        <f>IF('Données projet'!$A$140&gt;35,CT115+CS116-DB115,IF(A116&lt;'Données projet'!$A$140,$CQ$205^A116,IF(A116='Données projet'!$A$140,'Données projet'!$B$140,CT115+CS116-DB115)))</f>
        <v>267.59999999999997</v>
      </c>
      <c r="CU116" s="17">
        <f>CT116*VLOOKUP('Données projet'!$B$13,Paramètres!$A$1:$I$89,3,0)*VLOOKUP('Données projet'!$B$13,Paramètres!$A$1:$I$89,5,0)</f>
        <v>254.64815999999996</v>
      </c>
      <c r="CV116" s="13">
        <f t="shared" si="95"/>
        <v>61.580204695956148</v>
      </c>
      <c r="CW116" s="20">
        <f t="shared" si="67"/>
        <v>550.76440184545675</v>
      </c>
      <c r="CX116" s="59">
        <f t="shared" si="68"/>
        <v>831.40970797434443</v>
      </c>
      <c r="CY116" s="59">
        <f ca="1">AVERAGE(OFFSET($CX$3,0,0,'Données projet'!$E$13+1,1))-AVERAGE(OFFSET($H$3,0,0,'Données projet'!$E$13+1,1))</f>
        <v>424.5933338095914</v>
      </c>
      <c r="CZ116" s="59">
        <f t="shared" si="96"/>
        <v>159.28977188196134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51.531824522420557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51.531824522420557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-18.333333333333343</v>
      </c>
      <c r="DU116" s="59">
        <f t="shared" si="98"/>
        <v>-18.333333333333343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-18.333333333333343</v>
      </c>
      <c r="EP116" s="59">
        <f t="shared" si="100"/>
        <v>-18.333333333333343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7.9349999999999969</v>
      </c>
      <c r="FE116" s="12">
        <f>IF('Données projet'!$A$218&gt;35,FE115+FD116-FM115,IF(A116&lt;'Données projet'!$A$218,$FB$205^A116,IF(A116='Données projet'!$A$218,'Données projet'!$B$218,FE115+FD116-FM115)))</f>
        <v>376.6350000000005</v>
      </c>
      <c r="FF116" s="17">
        <f>FE116*VLOOKUP('Données projet'!$B$16,Paramètres!$A$1:$I$89,3,0)*VLOOKUP('Données projet'!$B$16,Paramètres!$A$1:$I$89,5,0)</f>
        <v>364.28137200000049</v>
      </c>
      <c r="FG116" s="13">
        <f t="shared" si="101"/>
        <v>84.496314361776058</v>
      </c>
      <c r="FH116" s="20">
        <f t="shared" si="76"/>
        <v>781.62113708009417</v>
      </c>
      <c r="FI116" s="59">
        <f t="shared" si="77"/>
        <v>1062.2664432089819</v>
      </c>
      <c r="FJ116" s="59">
        <f ca="1">AVERAGE(OFFSET($FI$3,0,0,'Données projet'!$E$16+1,1))-AVERAGE(OFFSET($H$3,0,0,'Données projet'!$E$16+1,1))</f>
        <v>664.59451650228573</v>
      </c>
      <c r="FK116" s="59">
        <f t="shared" si="102"/>
        <v>304.44325029106631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37.746525999380069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37.746525999380069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-6.8212102632969618E-13</v>
      </c>
      <c r="O117" s="13">
        <f>N117*VLOOKUP('Données projet'!$B$9,Paramètres!$A$1:$I$89,3,0)*VLOOKUP('Données projet'!$B$9,Paramètres!$A$1:$I$89,5,0)</f>
        <v>-4.0790837374515837E-13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460.88622650237176</v>
      </c>
      <c r="T117" s="59">
        <f t="shared" si="88"/>
        <v>396.05161661639647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119.76232985375316</v>
      </c>
      <c r="AA117" s="21">
        <f>EXP(-LN(2)/25)*AA116+(1-EXP(-LN(2)/25))/(LN(2)/25)*Calculateur!V117*Calculateur!X117*VLOOKUP('Données projet'!$B$9,Paramètres!$A$1:$I$89,3,0)*0.475*44/12</f>
        <v>13.590300288415387</v>
      </c>
      <c r="AB117" s="21">
        <f>EXP(-LN(2)/2)*AB116+(1-EXP(-LN(2)/2))/(LN(2)/2)*V117*Y117*VLOOKUP('Données projet'!$B$9,Paramètres!$A$1:$I$89,3,0)*0.475*44/12</f>
        <v>7.8383300783531435E-5</v>
      </c>
      <c r="AC117" s="22">
        <f t="shared" si="57"/>
        <v>133.35270852546932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-4.5474735088646412E-13</v>
      </c>
      <c r="AJ117" s="13">
        <f>AI117*VLOOKUP('Données projet'!$B$10,Paramètres!$A$1:$I$89,3,0)*VLOOKUP('Données projet'!$B$10,Paramètres!$A$1:$I$89,5,0)</f>
        <v>-2.1282176021486519E-13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387.50901594883317</v>
      </c>
      <c r="AO117" s="59">
        <f t="shared" si="90"/>
        <v>361.3623790401972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191.46293665005504</v>
      </c>
      <c r="AV117" s="21">
        <f>EXP(-LN(2)/25)*AV116+(1-EXP(-LN(2)/25))/(LN(2)/25)*Calculateur!AQ117*Calculateur!AS117*VLOOKUP('Données projet'!$B$10,Paramètres!$A$1:$I$89,3,0)*0.475*44/12</f>
        <v>26.922915622816927</v>
      </c>
      <c r="AW117" s="21">
        <f>EXP(-LN(2)/2)*AW116+(1-EXP(-LN(2)/2))/(LN(2)/2)*AQ117*AT117*VLOOKUP('Données projet'!$B$10,Paramètres!$A$1:$I$89,3,0)*0.475*44/12</f>
        <v>0.76983358782378297</v>
      </c>
      <c r="AX117" s="21">
        <f t="shared" si="60"/>
        <v>219.15568586069577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384.57</v>
      </c>
      <c r="BB117" s="12">
        <f>VLOOKUP(A117,'Données projet'!$A$87:$I$107,9,0)</f>
        <v>7.9349999999999969</v>
      </c>
      <c r="BC117" s="12">
        <f t="array" ref="BC117">INDEX(BB:BB,MIN(IF(ISNUMBER(BB117:BB313),ROW(BB117:BB313),"")))</f>
        <v>7.9349999999999969</v>
      </c>
      <c r="BD117" s="12">
        <f>IF('Données projet'!$A$88&gt;35,BD116+BC117-BL116,IF(A117&lt;'Données projet'!$A$88,$BA$205^A117,IF(A117='Données projet'!$A$88,'Données projet'!$B$88,BD116+BC117-BL116)))</f>
        <v>384.5700000000005</v>
      </c>
      <c r="BE117" s="13">
        <f>BD117*VLOOKUP('Données projet'!$B$11,Paramètres!$A$1:$I$89,3,0)*VLOOKUP('Données projet'!$B$11,Paramètres!$A$1:$I$89,5,0)</f>
        <v>347.95893600000045</v>
      </c>
      <c r="BF117" s="13">
        <f t="shared" si="91"/>
        <v>81.142092010767954</v>
      </c>
      <c r="BG117" s="20">
        <f t="shared" si="61"/>
        <v>747.35095711875499</v>
      </c>
      <c r="BH117" s="59">
        <f t="shared" si="62"/>
        <v>1028.2163721534605</v>
      </c>
      <c r="BI117" s="59">
        <f ca="1">AVERAGE(OFFSET($BH$3,0,0,'Données projet'!$E$11+1,1))-AVERAGE(OFFSET($H$3,0,0,'Données projet'!$E$11+1,1))</f>
        <v>627.65081154031589</v>
      </c>
      <c r="BJ117" s="59">
        <f t="shared" si="92"/>
        <v>288.78083487077618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0.25800000000000001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49.088215262637867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49.088215262637867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384.57</v>
      </c>
      <c r="BW117" s="12">
        <f>VLOOKUP(A117,'Données projet'!$A$113:$I$133,9,0)</f>
        <v>7.9349999999999969</v>
      </c>
      <c r="BX117" s="12">
        <f t="array" ref="BX117">INDEX(BW:BW,MIN(IF(ISNUMBER(BW117:BW313),ROW(BW117:BW313),"")))</f>
        <v>7.9349999999999969</v>
      </c>
      <c r="BY117" s="12">
        <f>IF('Données projet'!$A$114&gt;35,BY116+BX117-CG116,IF(A117&lt;'Données projet'!$A$114,$BV$205^A117,IF(A117='Données projet'!$A$114,'Données projet'!$B$114,BY116+BX117-CG116)))</f>
        <v>384.5700000000005</v>
      </c>
      <c r="BZ117" s="13">
        <f>BY117*VLOOKUP('Données projet'!$B$12,Paramètres!$A$1:$I$89,3,0)*VLOOKUP('Données projet'!$B$12,Paramètres!$A$1:$I$89,5,0)</f>
        <v>389.95398000000051</v>
      </c>
      <c r="CA117" s="13">
        <f t="shared" si="93"/>
        <v>89.736983637102725</v>
      </c>
      <c r="CB117" s="20">
        <f t="shared" si="64"/>
        <v>835.46176166795476</v>
      </c>
      <c r="CC117" s="59">
        <f t="shared" si="65"/>
        <v>1116.3271767026602</v>
      </c>
      <c r="CD117" s="59">
        <f ca="1">AVERAGE(OFFSET($CC$3,0,0,'Données projet'!$E$12+1,1))-AVERAGE(OFFSET($H$3,0,0,'Données projet'!$E$12+1,1))</f>
        <v>692.2706942067415</v>
      </c>
      <c r="CE117" s="59">
        <f t="shared" si="94"/>
        <v>316.17529091924803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0.25800000000000001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55.012655035714843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55.012655035714843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5.2</v>
      </c>
      <c r="CT117" s="12">
        <f>IF('Données projet'!$A$140&gt;35,CT116+CS117-DB116,IF(A117&lt;'Données projet'!$A$140,$CQ$205^A117,IF(A117='Données projet'!$A$140,'Données projet'!$B$140,CT116+CS117-DB116)))</f>
        <v>272.79999999999995</v>
      </c>
      <c r="CU117" s="17">
        <f>CT117*VLOOKUP('Données projet'!$B$13,Paramètres!$A$1:$I$89,3,0)*VLOOKUP('Données projet'!$B$13,Paramètres!$A$1:$I$89,5,0)</f>
        <v>259.59647999999993</v>
      </c>
      <c r="CV117" s="13">
        <f t="shared" si="95"/>
        <v>62.636356024935033</v>
      </c>
      <c r="CW117" s="20">
        <f t="shared" si="67"/>
        <v>561.22218941009498</v>
      </c>
      <c r="CX117" s="59">
        <f t="shared" si="68"/>
        <v>842.08760444480049</v>
      </c>
      <c r="CY117" s="59">
        <f ca="1">AVERAGE(OFFSET($CX$3,0,0,'Données projet'!$E$13+1,1))-AVERAGE(OFFSET($H$3,0,0,'Données projet'!$E$13+1,1))</f>
        <v>424.5933338095914</v>
      </c>
      <c r="CZ117" s="59">
        <f t="shared" si="96"/>
        <v>159.28977188196134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50.521316874845262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50.521316874845262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-18.333333333333343</v>
      </c>
      <c r="DU117" s="59">
        <f t="shared" si="98"/>
        <v>-18.333333333333343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-18.333333333333343</v>
      </c>
      <c r="EP117" s="59">
        <f t="shared" si="100"/>
        <v>-18.333333333333343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>
        <f>VLOOKUP(A117,'Données projet'!$A$217:$I$237,2,0)</f>
        <v>384.57</v>
      </c>
      <c r="FC117" s="12">
        <f>VLOOKUP(A117,'Données projet'!$A$217:$I$237,9,0)</f>
        <v>7.9349999999999969</v>
      </c>
      <c r="FD117" s="12">
        <f t="array" ref="FD117">INDEX(FC:FC,MIN(IF(ISNUMBER(FC117:FC313),ROW(FC117:FC313),"")))</f>
        <v>7.9349999999999969</v>
      </c>
      <c r="FE117" s="12">
        <f>IF('Données projet'!$A$218&gt;35,FE116+FD117-FM116,IF(A117&lt;'Données projet'!$A$218,$FB$205^A117,IF(A117='Données projet'!$A$218,'Données projet'!$B$218,FE116+FD117-FM116)))</f>
        <v>384.5700000000005</v>
      </c>
      <c r="FF117" s="17">
        <f>FE117*VLOOKUP('Données projet'!$B$16,Paramètres!$A$1:$I$89,3,0)*VLOOKUP('Données projet'!$B$16,Paramètres!$A$1:$I$89,5,0)</f>
        <v>371.95610400000049</v>
      </c>
      <c r="FG117" s="13">
        <f t="shared" si="101"/>
        <v>86.067368021559375</v>
      </c>
      <c r="FH117" s="20">
        <f t="shared" si="76"/>
        <v>797.72421377088347</v>
      </c>
      <c r="FI117" s="59">
        <f t="shared" si="77"/>
        <v>1078.589628805589</v>
      </c>
      <c r="FJ117" s="59">
        <f ca="1">AVERAGE(OFFSET($FI$3,0,0,'Données projet'!$E$16+1,1))-AVERAGE(OFFSET($H$3,0,0,'Données projet'!$E$16+1,1))</f>
        <v>664.59451650228573</v>
      </c>
      <c r="FK117" s="59">
        <f t="shared" si="102"/>
        <v>304.44325029106631</v>
      </c>
      <c r="FL117" s="15">
        <f>IF(ISNA(VLOOKUP(A117,'Données projet'!$A$217:$I$237,3,0)),0,VLOOKUP(A117,'Données projet'!$A$217:$I$237,3,0))</f>
        <v>9</v>
      </c>
      <c r="FM117" s="15">
        <f>IF(ISNA(VLOOKUP(A117,'Données projet'!$A$217:$I$237,4,0)),0,VLOOKUP(A117,'Données projet'!$A$217:$I$237,4,0))</f>
        <v>56.07</v>
      </c>
      <c r="FN117" s="16">
        <f>IF(ISNA(VLOOKUP(A117,'Données projet'!$A$217:$I$237,5,0)),0%,VLOOKUP(A117,'Données projet'!$A$217:$I$237,5,0)*VLOOKUP('Données projet'!$B$16,Paramètres!$A$1:$I$89,7,0))</f>
        <v>0.25800000000000001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52.473609418681846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52.473609418681846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-6.8212102632969618E-13</v>
      </c>
      <c r="O118" s="13">
        <f>N118*VLOOKUP('Données projet'!$B$9,Paramètres!$A$1:$I$89,3,0)*VLOOKUP('Données projet'!$B$9,Paramètres!$A$1:$I$89,5,0)</f>
        <v>-4.0790837374515837E-13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460.88622650237176</v>
      </c>
      <c r="T118" s="59">
        <f t="shared" si="88"/>
        <v>396.05161661639647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117.41386361312939</v>
      </c>
      <c r="AA118" s="21">
        <f>EXP(-LN(2)/25)*AA117+(1-EXP(-LN(2)/25))/(LN(2)/25)*Calculateur!V118*Calculateur!X118*VLOOKUP('Données projet'!$B$9,Paramètres!$A$1:$I$89,3,0)*0.475*44/12</f>
        <v>13.218672812345837</v>
      </c>
      <c r="AB118" s="21">
        <f>EXP(-LN(2)/2)*AB117+(1-EXP(-LN(2)/2))/(LN(2)/2)*V118*Y118*VLOOKUP('Données projet'!$B$9,Paramètres!$A$1:$I$89,3,0)*0.475*44/12</f>
        <v>5.5425363515819902E-5</v>
      </c>
      <c r="AC118" s="22">
        <f t="shared" si="57"/>
        <v>130.63259185083874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-4.5474735088646412E-13</v>
      </c>
      <c r="AJ118" s="13">
        <f>AI118*VLOOKUP('Données projet'!$B$10,Paramètres!$A$1:$I$89,3,0)*VLOOKUP('Données projet'!$B$10,Paramètres!$A$1:$I$89,5,0)</f>
        <v>-2.1282176021486519E-13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387.50901594883317</v>
      </c>
      <c r="AO118" s="59">
        <f t="shared" si="90"/>
        <v>361.3623790401972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187.70846524320766</v>
      </c>
      <c r="AV118" s="21">
        <f>EXP(-LN(2)/25)*AV117+(1-EXP(-LN(2)/25))/(LN(2)/25)*Calculateur!AQ118*Calculateur!AS118*VLOOKUP('Données projet'!$B$10,Paramètres!$A$1:$I$89,3,0)*0.475*44/12</f>
        <v>26.186707079296397</v>
      </c>
      <c r="AW118" s="21">
        <f>EXP(-LN(2)/2)*AW117+(1-EXP(-LN(2)/2))/(LN(2)/2)*AQ118*AT118*VLOOKUP('Données projet'!$B$10,Paramètres!$A$1:$I$89,3,0)*0.475*44/12</f>
        <v>0.5443545503353665</v>
      </c>
      <c r="AX118" s="21">
        <f t="shared" si="60"/>
        <v>214.43952687283939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7.9920000000000018</v>
      </c>
      <c r="BD118" s="12">
        <f>IF('Données projet'!$A$88&gt;35,BD117+BC118-BL117,IF(A118&lt;'Données projet'!$A$88,$BA$205^A118,IF(A118='Données projet'!$A$88,'Données projet'!$B$88,BD117+BC118-BL117)))</f>
        <v>336.49200000000053</v>
      </c>
      <c r="BE118" s="13">
        <f>BD118*VLOOKUP('Données projet'!$B$11,Paramètres!$A$1:$I$89,3,0)*VLOOKUP('Données projet'!$B$11,Paramètres!$A$1:$I$89,5,0)</f>
        <v>304.45796160000049</v>
      </c>
      <c r="BF118" s="13">
        <f t="shared" si="91"/>
        <v>72.11021964481435</v>
      </c>
      <c r="BG118" s="20">
        <f t="shared" si="61"/>
        <v>655.85624900138566</v>
      </c>
      <c r="BH118" s="59">
        <f t="shared" si="62"/>
        <v>936.93795454448286</v>
      </c>
      <c r="BI118" s="59">
        <f ca="1">AVERAGE(OFFSET($BH$3,0,0,'Données projet'!$E$11+1,1))-AVERAGE(OFFSET($H$3,0,0,'Données projet'!$E$11+1,1))</f>
        <v>627.65081154031589</v>
      </c>
      <c r="BJ118" s="59">
        <f t="shared" si="92"/>
        <v>288.78083487077618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48.125625302192432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48.125625302192432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7.9920000000000018</v>
      </c>
      <c r="BY118" s="12">
        <f>IF('Données projet'!$A$114&gt;35,BY117+BX118-CG117,IF(A118&lt;'Données projet'!$A$114,$BV$205^A118,IF(A118='Données projet'!$A$114,'Données projet'!$B$114,BY117+BX118-CG117)))</f>
        <v>336.49200000000053</v>
      </c>
      <c r="BZ118" s="13">
        <f>BY118*VLOOKUP('Données projet'!$B$12,Paramètres!$A$1:$I$89,3,0)*VLOOKUP('Données projet'!$B$12,Paramètres!$A$1:$I$89,5,0)</f>
        <v>341.2028880000006</v>
      </c>
      <c r="CA118" s="13">
        <f t="shared" si="93"/>
        <v>79.748419593074587</v>
      </c>
      <c r="CB118" s="20">
        <f t="shared" si="64"/>
        <v>733.15686072460585</v>
      </c>
      <c r="CC118" s="59">
        <f t="shared" si="65"/>
        <v>1014.2385662677032</v>
      </c>
      <c r="CD118" s="59">
        <f ca="1">AVERAGE(OFFSET($CC$3,0,0,'Données projet'!$E$12+1,1))-AVERAGE(OFFSET($H$3,0,0,'Données projet'!$E$12+1,1))</f>
        <v>692.2706942067415</v>
      </c>
      <c r="CE118" s="59">
        <f t="shared" si="94"/>
        <v>316.17529091924803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53.933890424870825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53.933890424870825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278</v>
      </c>
      <c r="CR118" s="12">
        <f>VLOOKUP(A118,'Données projet'!$A$139:$I$159,9,0)</f>
        <v>5.2</v>
      </c>
      <c r="CS118" s="12">
        <f t="array" ref="CS118">INDEX(CR:CR,MIN(IF(ISNUMBER(CR118:CR314),ROW(CR118:CR314),"")))</f>
        <v>5.2</v>
      </c>
      <c r="CT118" s="12">
        <f>IF('Données projet'!$A$140&gt;35,CT117+CS118-DB117,IF(A118&lt;'Données projet'!$A$140,$CQ$205^A118,IF(A118='Données projet'!$A$140,'Données projet'!$B$140,CT117+CS118-DB117)))</f>
        <v>277.99999999999994</v>
      </c>
      <c r="CU118" s="17">
        <f>CT118*VLOOKUP('Données projet'!$B$13,Paramètres!$A$1:$I$89,3,0)*VLOOKUP('Données projet'!$B$13,Paramètres!$A$1:$I$89,5,0)</f>
        <v>264.54479999999995</v>
      </c>
      <c r="CV118" s="13">
        <f t="shared" si="95"/>
        <v>63.690166446698356</v>
      </c>
      <c r="CW118" s="20">
        <f t="shared" si="67"/>
        <v>571.67589989466626</v>
      </c>
      <c r="CX118" s="59">
        <f t="shared" si="68"/>
        <v>852.75760543776346</v>
      </c>
      <c r="CY118" s="59">
        <f ca="1">AVERAGE(OFFSET($CX$3,0,0,'Données projet'!$E$13+1,1))-AVERAGE(OFFSET($H$3,0,0,'Données projet'!$E$13+1,1))</f>
        <v>424.5933338095914</v>
      </c>
      <c r="CZ118" s="59">
        <f t="shared" si="96"/>
        <v>159.28977188196134</v>
      </c>
      <c r="DA118" s="15">
        <f>IF(ISNA(VLOOKUP(A118,'Données projet'!$A$139:$I$159,3,0)),0,VLOOKUP(A118,'Données projet'!$A$139:$I$159,3,0))</f>
        <v>17</v>
      </c>
      <c r="DB118" s="15">
        <f>IF(ISNA(VLOOKUP(A118,'Données projet'!$A$139:$I$159,4,0)),0,VLOOKUP(A118,'Données projet'!$A$139:$I$159,4,0))</f>
        <v>23</v>
      </c>
      <c r="DC118" s="16">
        <f>IF(ISNA(VLOOKUP(A118,'Données projet'!$A$139:$I$159,5,0)),0%,VLOOKUP(A118,'Données projet'!$A$139:$I$159,5,0)*VLOOKUP('Données projet'!$B$13,Paramètres!$A$1:$I$89,7,0))</f>
        <v>0.34400000000000003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57.85377659724017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57.85377659724017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-18.333333333333343</v>
      </c>
      <c r="DU118" s="59">
        <f t="shared" si="98"/>
        <v>-18.333333333333343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-18.333333333333343</v>
      </c>
      <c r="EP118" s="59">
        <f t="shared" si="100"/>
        <v>-18.333333333333343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7.9920000000000018</v>
      </c>
      <c r="FE118" s="12">
        <f>IF('Données projet'!$A$218&gt;35,FE117+FD118-FM117,IF(A118&lt;'Données projet'!$A$218,$FB$205^A118,IF(A118='Données projet'!$A$218,'Données projet'!$B$218,FE117+FD118-FM117)))</f>
        <v>336.49200000000053</v>
      </c>
      <c r="FF118" s="17">
        <f>FE118*VLOOKUP('Données projet'!$B$16,Paramètres!$A$1:$I$89,3,0)*VLOOKUP('Données projet'!$B$16,Paramètres!$A$1:$I$89,5,0)</f>
        <v>325.45506240000054</v>
      </c>
      <c r="FG118" s="13">
        <f t="shared" si="101"/>
        <v>76.487266454284907</v>
      </c>
      <c r="FH118" s="20">
        <f t="shared" si="76"/>
        <v>700.04955608788043</v>
      </c>
      <c r="FI118" s="59">
        <f t="shared" si="77"/>
        <v>981.13126163097763</v>
      </c>
      <c r="FJ118" s="59">
        <f ca="1">AVERAGE(OFFSET($FI$3,0,0,'Données projet'!$E$16+1,1))-AVERAGE(OFFSET($H$3,0,0,'Données projet'!$E$16+1,1))</f>
        <v>664.59451650228573</v>
      </c>
      <c r="FK118" s="59">
        <f t="shared" si="102"/>
        <v>304.44325029106631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51.444633943722934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51.444633943722934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-6.8212102632969618E-13</v>
      </c>
      <c r="O119" s="13">
        <f>N119*VLOOKUP('Données projet'!$B$9,Paramètres!$A$1:$I$89,3,0)*VLOOKUP('Données projet'!$B$9,Paramètres!$A$1:$I$89,5,0)</f>
        <v>-4.0790837374515837E-13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460.88622650237176</v>
      </c>
      <c r="T119" s="59">
        <f t="shared" si="88"/>
        <v>396.05161661639647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115.1114493630613</v>
      </c>
      <c r="AA119" s="21">
        <f>EXP(-LN(2)/25)*AA118+(1-EXP(-LN(2)/25))/(LN(2)/25)*Calculateur!V119*Calculateur!X119*VLOOKUP('Données projet'!$B$9,Paramètres!$A$1:$I$89,3,0)*0.475*44/12</f>
        <v>12.857207509152449</v>
      </c>
      <c r="AB119" s="21">
        <f>EXP(-LN(2)/2)*AB118+(1-EXP(-LN(2)/2))/(LN(2)/2)*V119*Y119*VLOOKUP('Données projet'!$B$9,Paramètres!$A$1:$I$89,3,0)*0.475*44/12</f>
        <v>3.9191650391765717E-5</v>
      </c>
      <c r="AC119" s="22">
        <f t="shared" si="57"/>
        <v>127.96869606386413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-4.5474735088646412E-13</v>
      </c>
      <c r="AJ119" s="13">
        <f>AI119*VLOOKUP('Données projet'!$B$10,Paramètres!$A$1:$I$89,3,0)*VLOOKUP('Données projet'!$B$10,Paramètres!$A$1:$I$89,5,0)</f>
        <v>-2.1282176021486519E-13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387.50901594883317</v>
      </c>
      <c r="AO119" s="59">
        <f t="shared" si="90"/>
        <v>361.3623790401972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184.02761673064711</v>
      </c>
      <c r="AV119" s="21">
        <f>EXP(-LN(2)/25)*AV118+(1-EXP(-LN(2)/25))/(LN(2)/25)*Calculateur!AQ119*Calculateur!AS119*VLOOKUP('Données projet'!$B$10,Paramètres!$A$1:$I$89,3,0)*0.475*44/12</f>
        <v>25.470630197113962</v>
      </c>
      <c r="AW119" s="21">
        <f>EXP(-LN(2)/2)*AW118+(1-EXP(-LN(2)/2))/(LN(2)/2)*AQ119*AT119*VLOOKUP('Données projet'!$B$10,Paramètres!$A$1:$I$89,3,0)*0.475*44/12</f>
        <v>0.38491679391189149</v>
      </c>
      <c r="AX119" s="21">
        <f t="shared" si="60"/>
        <v>209.88316372167296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7.9920000000000018</v>
      </c>
      <c r="BD119" s="12">
        <f>IF('Données projet'!$A$88&gt;35,BD118+BC119-BL118,IF(A119&lt;'Données projet'!$A$88,$BA$205^A119,IF(A119='Données projet'!$A$88,'Données projet'!$B$88,BD118+BC119-BL118)))</f>
        <v>344.48400000000055</v>
      </c>
      <c r="BE119" s="13">
        <f>BD119*VLOOKUP('Données projet'!$B$11,Paramètres!$A$1:$I$89,3,0)*VLOOKUP('Données projet'!$B$11,Paramètres!$A$1:$I$89,5,0)</f>
        <v>311.68912320000049</v>
      </c>
      <c r="BF119" s="13">
        <f t="shared" si="91"/>
        <v>73.621474685301479</v>
      </c>
      <c r="BG119" s="20">
        <f t="shared" si="61"/>
        <v>671.08262465023415</v>
      </c>
      <c r="BH119" s="59">
        <f t="shared" si="62"/>
        <v>952.37686854495564</v>
      </c>
      <c r="BI119" s="59">
        <f ca="1">AVERAGE(OFFSET($BH$3,0,0,'Données projet'!$E$11+1,1))-AVERAGE(OFFSET($H$3,0,0,'Données projet'!$E$11+1,1))</f>
        <v>627.65081154031589</v>
      </c>
      <c r="BJ119" s="59">
        <f t="shared" si="92"/>
        <v>288.78083487077618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47.181911143749431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47.181911143749431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7.9920000000000018</v>
      </c>
      <c r="BY119" s="12">
        <f>IF('Données projet'!$A$114&gt;35,BY118+BX119-CG118,IF(A119&lt;'Données projet'!$A$114,$BV$205^A119,IF(A119='Données projet'!$A$114,'Données projet'!$B$114,BY118+BX119-CG118)))</f>
        <v>344.48400000000055</v>
      </c>
      <c r="BZ119" s="13">
        <f>BY119*VLOOKUP('Données projet'!$B$12,Paramètres!$A$1:$I$89,3,0)*VLOOKUP('Données projet'!$B$12,Paramètres!$A$1:$I$89,5,0)</f>
        <v>349.30677600000058</v>
      </c>
      <c r="CA119" s="13">
        <f t="shared" si="93"/>
        <v>81.419752750490431</v>
      </c>
      <c r="CB119" s="20">
        <f t="shared" si="64"/>
        <v>750.18203757377194</v>
      </c>
      <c r="CC119" s="59">
        <f t="shared" si="65"/>
        <v>1031.4762814684934</v>
      </c>
      <c r="CD119" s="59">
        <f ca="1">AVERAGE(OFFSET($CC$3,0,0,'Données projet'!$E$12+1,1))-AVERAGE(OFFSET($H$3,0,0,'Données projet'!$E$12+1,1))</f>
        <v>692.2706942067415</v>
      </c>
      <c r="CE119" s="59">
        <f t="shared" si="94"/>
        <v>316.17529091924803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52.876279730064013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52.876279730064013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4.8</v>
      </c>
      <c r="CT119" s="12">
        <f>IF('Données projet'!$A$140&gt;35,CT118+CS119-DB118,IF(A119&lt;'Données projet'!$A$140,$CQ$205^A119,IF(A119='Données projet'!$A$140,'Données projet'!$B$140,CT118+CS119-DB118)))</f>
        <v>259.79999999999995</v>
      </c>
      <c r="CU119" s="17">
        <f>CT119*VLOOKUP('Données projet'!$B$13,Paramètres!$A$1:$I$89,3,0)*VLOOKUP('Données projet'!$B$13,Paramètres!$A$1:$I$89,5,0)</f>
        <v>247.22567999999998</v>
      </c>
      <c r="CV119" s="13">
        <f t="shared" si="95"/>
        <v>59.991476692987675</v>
      </c>
      <c r="CW119" s="20">
        <f t="shared" si="67"/>
        <v>535.06988124028692</v>
      </c>
      <c r="CX119" s="59">
        <f t="shared" si="68"/>
        <v>816.36412513500841</v>
      </c>
      <c r="CY119" s="59">
        <f ca="1">AVERAGE(OFFSET($CX$3,0,0,'Données projet'!$E$13+1,1))-AVERAGE(OFFSET($H$3,0,0,'Données projet'!$E$13+1,1))</f>
        <v>424.5933338095914</v>
      </c>
      <c r="CZ119" s="59">
        <f t="shared" si="96"/>
        <v>159.28977188196134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56.719299325487682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56.719299325487682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-18.333333333333343</v>
      </c>
      <c r="DU119" s="59">
        <f t="shared" si="98"/>
        <v>-18.333333333333343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-18.333333333333343</v>
      </c>
      <c r="EP119" s="59">
        <f t="shared" si="100"/>
        <v>-18.333333333333343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7.9920000000000018</v>
      </c>
      <c r="FE119" s="12">
        <f>IF('Données projet'!$A$218&gt;35,FE118+FD119-FM118,IF(A119&lt;'Données projet'!$A$218,$FB$205^A119,IF(A119='Données projet'!$A$218,'Données projet'!$B$218,FE118+FD119-FM118)))</f>
        <v>344.48400000000055</v>
      </c>
      <c r="FF119" s="17">
        <f>FE119*VLOOKUP('Données projet'!$B$16,Paramètres!$A$1:$I$89,3,0)*VLOOKUP('Données projet'!$B$16,Paramètres!$A$1:$I$89,5,0)</f>
        <v>333.18492480000054</v>
      </c>
      <c r="FG119" s="13">
        <f t="shared" si="101"/>
        <v>78.090253763593893</v>
      </c>
      <c r="FH119" s="20">
        <f t="shared" si="76"/>
        <v>716.30426933159345</v>
      </c>
      <c r="FI119" s="59">
        <f t="shared" si="77"/>
        <v>997.59851322631494</v>
      </c>
      <c r="FJ119" s="59">
        <f ca="1">AVERAGE(OFFSET($FI$3,0,0,'Données projet'!$E$16+1,1))-AVERAGE(OFFSET($H$3,0,0,'Données projet'!$E$16+1,1))</f>
        <v>664.59451650228573</v>
      </c>
      <c r="FK119" s="59">
        <f t="shared" si="102"/>
        <v>304.44325029106631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50.435836050214903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50.435836050214903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-6.8212102632969618E-13</v>
      </c>
      <c r="O120" s="13">
        <f>N120*VLOOKUP('Données projet'!$B$9,Paramètres!$A$1:$I$89,3,0)*VLOOKUP('Données projet'!$B$9,Paramètres!$A$1:$I$89,5,0)</f>
        <v>-4.0790837374515837E-13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460.88622650237176</v>
      </c>
      <c r="T120" s="59">
        <f t="shared" si="88"/>
        <v>396.05161661639647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112.85418405210301</v>
      </c>
      <c r="AA120" s="21">
        <f>EXP(-LN(2)/25)*AA119+(1-EXP(-LN(2)/25))/(LN(2)/25)*Calculateur!V120*Calculateur!X120*VLOOKUP('Données projet'!$B$9,Paramètres!$A$1:$I$89,3,0)*0.475*44/12</f>
        <v>12.505626493683518</v>
      </c>
      <c r="AB120" s="21">
        <f>EXP(-LN(2)/2)*AB119+(1-EXP(-LN(2)/2))/(LN(2)/2)*V120*Y120*VLOOKUP('Données projet'!$B$9,Paramètres!$A$1:$I$89,3,0)*0.475*44/12</f>
        <v>2.7712681757909951E-5</v>
      </c>
      <c r="AC120" s="22">
        <f t="shared" si="57"/>
        <v>125.35983825846829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-4.5474735088646412E-13</v>
      </c>
      <c r="AJ120" s="13">
        <f>AI120*VLOOKUP('Données projet'!$B$10,Paramètres!$A$1:$I$89,3,0)*VLOOKUP('Données projet'!$B$10,Paramètres!$A$1:$I$89,5,0)</f>
        <v>-2.1282176021486519E-13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387.50901594883317</v>
      </c>
      <c r="AO120" s="59">
        <f t="shared" si="90"/>
        <v>361.3623790401972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180.41894741232198</v>
      </c>
      <c r="AV120" s="21">
        <f>EXP(-LN(2)/25)*AV119+(1-EXP(-LN(2)/25))/(LN(2)/25)*Calculateur!AQ120*Calculateur!AS120*VLOOKUP('Données projet'!$B$10,Paramètres!$A$1:$I$89,3,0)*0.475*44/12</f>
        <v>24.774134474931653</v>
      </c>
      <c r="AW120" s="21">
        <f>EXP(-LN(2)/2)*AW119+(1-EXP(-LN(2)/2))/(LN(2)/2)*AQ120*AT120*VLOOKUP('Données projet'!$B$10,Paramètres!$A$1:$I$89,3,0)*0.475*44/12</f>
        <v>0.27217727516768325</v>
      </c>
      <c r="AX120" s="21">
        <f t="shared" si="60"/>
        <v>205.46525916242132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7.9920000000000018</v>
      </c>
      <c r="BD120" s="12">
        <f>IF('Données projet'!$A$88&gt;35,BD119+BC120-BL119,IF(A120&lt;'Données projet'!$A$88,$BA$205^A120,IF(A120='Données projet'!$A$88,'Données projet'!$B$88,BD119+BC120-BL119)))</f>
        <v>352.47600000000057</v>
      </c>
      <c r="BE120" s="13">
        <f>BD120*VLOOKUP('Données projet'!$B$11,Paramètres!$A$1:$I$89,3,0)*VLOOKUP('Données projet'!$B$11,Paramètres!$A$1:$I$89,5,0)</f>
        <v>318.9202848000005</v>
      </c>
      <c r="BF120" s="13">
        <f t="shared" si="91"/>
        <v>75.128653745521831</v>
      </c>
      <c r="BG120" s="20">
        <f t="shared" si="61"/>
        <v>686.30190130011806</v>
      </c>
      <c r="BH120" s="59">
        <f t="shared" si="62"/>
        <v>967.8049964812277</v>
      </c>
      <c r="BI120" s="59">
        <f ca="1">AVERAGE(OFFSET($BH$3,0,0,'Données projet'!$E$11+1,1))-AVERAGE(OFFSET($H$3,0,0,'Données projet'!$E$11+1,1))</f>
        <v>627.65081154031589</v>
      </c>
      <c r="BJ120" s="59">
        <f t="shared" si="92"/>
        <v>288.78083487077618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46.256702644344699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46.256702644344699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7.9920000000000018</v>
      </c>
      <c r="BY120" s="12">
        <f>IF('Données projet'!$A$114&gt;35,BY119+BX120-CG119,IF(A120&lt;'Données projet'!$A$114,$BV$205^A120,IF(A120='Données projet'!$A$114,'Données projet'!$B$114,BY119+BX120-CG119)))</f>
        <v>352.47600000000057</v>
      </c>
      <c r="BZ120" s="13">
        <f>BY120*VLOOKUP('Données projet'!$B$12,Paramètres!$A$1:$I$89,3,0)*VLOOKUP('Données projet'!$B$12,Paramètres!$A$1:$I$89,5,0)</f>
        <v>357.41066400000057</v>
      </c>
      <c r="CA120" s="13">
        <f t="shared" si="93"/>
        <v>83.086578183672941</v>
      </c>
      <c r="CB120" s="20">
        <f t="shared" si="64"/>
        <v>767.199363469898</v>
      </c>
      <c r="CC120" s="59">
        <f t="shared" si="65"/>
        <v>1048.7024586510076</v>
      </c>
      <c r="CD120" s="59">
        <f ca="1">AVERAGE(OFFSET($CC$3,0,0,'Données projet'!$E$12+1,1))-AVERAGE(OFFSET($H$3,0,0,'Données projet'!$E$12+1,1))</f>
        <v>692.2706942067415</v>
      </c>
      <c r="CE120" s="59">
        <f t="shared" si="94"/>
        <v>316.17529091924803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51.83940813590354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51.83940813590354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4.8</v>
      </c>
      <c r="CT120" s="12">
        <f>IF('Données projet'!$A$140&gt;35,CT119+CS120-DB119,IF(A120&lt;'Données projet'!$A$140,$CQ$205^A120,IF(A120='Données projet'!$A$140,'Données projet'!$B$140,CT119+CS120-DB119)))</f>
        <v>264.59999999999997</v>
      </c>
      <c r="CU120" s="17">
        <f>CT120*VLOOKUP('Données projet'!$B$13,Paramètres!$A$1:$I$89,3,0)*VLOOKUP('Données projet'!$B$13,Paramètres!$A$1:$I$89,5,0)</f>
        <v>251.79335999999998</v>
      </c>
      <c r="CV120" s="13">
        <f t="shared" si="95"/>
        <v>60.96980200491388</v>
      </c>
      <c r="CW120" s="20">
        <f t="shared" si="67"/>
        <v>544.72917382522485</v>
      </c>
      <c r="CX120" s="59">
        <f t="shared" si="68"/>
        <v>826.23226900633449</v>
      </c>
      <c r="CY120" s="59">
        <f ca="1">AVERAGE(OFFSET($CX$3,0,0,'Données projet'!$E$13+1,1))-AVERAGE(OFFSET($H$3,0,0,'Données projet'!$E$13+1,1))</f>
        <v>424.5933338095914</v>
      </c>
      <c r="CZ120" s="59">
        <f t="shared" si="96"/>
        <v>159.28977188196134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55.607068461071449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55.607068461071449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-18.333333333333343</v>
      </c>
      <c r="DU120" s="59">
        <f t="shared" si="98"/>
        <v>-18.333333333333343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-18.333333333333343</v>
      </c>
      <c r="EP120" s="59">
        <f t="shared" si="100"/>
        <v>-18.333333333333343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7.9920000000000018</v>
      </c>
      <c r="FE120" s="12">
        <f>IF('Données projet'!$A$218&gt;35,FE119+FD120-FM119,IF(A120&lt;'Données projet'!$A$218,$FB$205^A120,IF(A120='Données projet'!$A$218,'Données projet'!$B$218,FE119+FD120-FM119)))</f>
        <v>352.47600000000057</v>
      </c>
      <c r="FF120" s="17">
        <f>FE120*VLOOKUP('Données projet'!$B$16,Paramètres!$A$1:$I$89,3,0)*VLOOKUP('Données projet'!$B$16,Paramètres!$A$1:$I$89,5,0)</f>
        <v>340.91478720000055</v>
      </c>
      <c r="FG120" s="13">
        <f t="shared" si="101"/>
        <v>79.68891768309399</v>
      </c>
      <c r="FH120" s="20">
        <f t="shared" si="76"/>
        <v>732.55145267138971</v>
      </c>
      <c r="FI120" s="59">
        <f t="shared" si="77"/>
        <v>1014.0545478524994</v>
      </c>
      <c r="FJ120" s="59">
        <f ca="1">AVERAGE(OFFSET($FI$3,0,0,'Données projet'!$E$16+1,1))-AVERAGE(OFFSET($H$3,0,0,'Données projet'!$E$16+1,1))</f>
        <v>664.59451650228573</v>
      </c>
      <c r="FK120" s="59">
        <f t="shared" si="102"/>
        <v>304.44325029106631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49.446820068092606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49.446820068092606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-6.8212102632969618E-13</v>
      </c>
      <c r="O121" s="13">
        <f>N121*VLOOKUP('Données projet'!$B$9,Paramètres!$A$1:$I$89,3,0)*VLOOKUP('Données projet'!$B$9,Paramètres!$A$1:$I$89,5,0)</f>
        <v>-4.0790837374515837E-13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460.88622650237176</v>
      </c>
      <c r="T121" s="59">
        <f t="shared" si="88"/>
        <v>396.05161661639647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110.64118233709672</v>
      </c>
      <c r="AA121" s="21">
        <f>EXP(-LN(2)/25)*AA120+(1-EXP(-LN(2)/25))/(LN(2)/25)*Calculateur!V121*Calculateur!X121*VLOOKUP('Données projet'!$B$9,Paramètres!$A$1:$I$89,3,0)*0.475*44/12</f>
        <v>12.163659479571427</v>
      </c>
      <c r="AB121" s="21">
        <f>EXP(-LN(2)/2)*AB120+(1-EXP(-LN(2)/2))/(LN(2)/2)*V121*Y121*VLOOKUP('Données projet'!$B$9,Paramètres!$A$1:$I$89,3,0)*0.475*44/12</f>
        <v>1.9595825195882859E-5</v>
      </c>
      <c r="AC121" s="22">
        <f t="shared" si="57"/>
        <v>122.80486141249334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-4.5474735088646412E-13</v>
      </c>
      <c r="AJ121" s="13">
        <f>AI121*VLOOKUP('Données projet'!$B$10,Paramètres!$A$1:$I$89,3,0)*VLOOKUP('Données projet'!$B$10,Paramètres!$A$1:$I$89,5,0)</f>
        <v>-2.1282176021486519E-13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387.50901594883317</v>
      </c>
      <c r="AO121" s="59">
        <f t="shared" si="90"/>
        <v>361.3623790401972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176.88104189825827</v>
      </c>
      <c r="AV121" s="21">
        <f>EXP(-LN(2)/25)*AV120+(1-EXP(-LN(2)/25))/(LN(2)/25)*Calculateur!AQ121*Calculateur!AS121*VLOOKUP('Données projet'!$B$10,Paramètres!$A$1:$I$89,3,0)*0.475*44/12</f>
        <v>24.096684464899536</v>
      </c>
      <c r="AW121" s="21">
        <f>EXP(-LN(2)/2)*AW120+(1-EXP(-LN(2)/2))/(LN(2)/2)*AQ121*AT121*VLOOKUP('Données projet'!$B$10,Paramètres!$A$1:$I$89,3,0)*0.475*44/12</f>
        <v>0.19245839695594574</v>
      </c>
      <c r="AX121" s="21">
        <f t="shared" si="60"/>
        <v>201.17018476011376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7.9920000000000018</v>
      </c>
      <c r="BD121" s="12">
        <f>IF('Données projet'!$A$88&gt;35,BD120+BC121-BL120,IF(A121&lt;'Données projet'!$A$88,$BA$205^A121,IF(A121='Données projet'!$A$88,'Données projet'!$B$88,BD120+BC121-BL120)))</f>
        <v>360.46800000000059</v>
      </c>
      <c r="BE121" s="13">
        <f>BD121*VLOOKUP('Données projet'!$B$11,Paramètres!$A$1:$I$89,3,0)*VLOOKUP('Données projet'!$B$11,Paramètres!$A$1:$I$89,5,0)</f>
        <v>326.15144640000051</v>
      </c>
      <c r="BF121" s="13">
        <f t="shared" si="91"/>
        <v>76.631859883081802</v>
      </c>
      <c r="BG121" s="20">
        <f t="shared" si="61"/>
        <v>701.51425844303503</v>
      </c>
      <c r="BH121" s="59">
        <f t="shared" si="62"/>
        <v>983.22258180763538</v>
      </c>
      <c r="BI121" s="59">
        <f ca="1">AVERAGE(OFFSET($BH$3,0,0,'Données projet'!$E$11+1,1))-AVERAGE(OFFSET($H$3,0,0,'Données projet'!$E$11+1,1))</f>
        <v>627.65081154031589</v>
      </c>
      <c r="BJ121" s="59">
        <f t="shared" si="92"/>
        <v>288.78083487077618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45.349636919291832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45.349636919291832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7.9920000000000018</v>
      </c>
      <c r="BY121" s="12">
        <f>IF('Données projet'!$A$114&gt;35,BY120+BX121-CG120,IF(A121&lt;'Données projet'!$A$114,$BV$205^A121,IF(A121='Données projet'!$A$114,'Données projet'!$B$114,BY120+BX121-CG120)))</f>
        <v>360.46800000000059</v>
      </c>
      <c r="BZ121" s="13">
        <f>BY121*VLOOKUP('Données projet'!$B$12,Paramètres!$A$1:$I$89,3,0)*VLOOKUP('Données projet'!$B$12,Paramètres!$A$1:$I$89,5,0)</f>
        <v>365.51455200000061</v>
      </c>
      <c r="CA121" s="13">
        <f t="shared" si="93"/>
        <v>84.749009866498071</v>
      </c>
      <c r="CB121" s="20">
        <f t="shared" si="64"/>
        <v>784.20903691748515</v>
      </c>
      <c r="CC121" s="59">
        <f t="shared" si="65"/>
        <v>1065.9173602820856</v>
      </c>
      <c r="CD121" s="59">
        <f ca="1">AVERAGE(OFFSET($CC$3,0,0,'Données projet'!$E$12+1,1))-AVERAGE(OFFSET($H$3,0,0,'Données projet'!$E$12+1,1))</f>
        <v>692.2706942067415</v>
      </c>
      <c r="CE121" s="59">
        <f t="shared" si="94"/>
        <v>316.17529091924803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50.822868961275326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50.822868961275326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4.8</v>
      </c>
      <c r="CT121" s="12">
        <f>IF('Données projet'!$A$140&gt;35,CT120+CS121-DB120,IF(A121&lt;'Données projet'!$A$140,$CQ$205^A121,IF(A121='Données projet'!$A$140,'Données projet'!$B$140,CT120+CS121-DB120)))</f>
        <v>269.39999999999998</v>
      </c>
      <c r="CU121" s="17">
        <f>CT121*VLOOKUP('Données projet'!$B$13,Paramètres!$A$1:$I$89,3,0)*VLOOKUP('Données projet'!$B$13,Paramètres!$A$1:$I$89,5,0)</f>
        <v>256.36103999999995</v>
      </c>
      <c r="CV121" s="13">
        <f t="shared" si="95"/>
        <v>61.946063579556444</v>
      </c>
      <c r="CW121" s="20">
        <f t="shared" si="67"/>
        <v>554.38487206772731</v>
      </c>
      <c r="CX121" s="59">
        <f t="shared" si="68"/>
        <v>836.09319543232778</v>
      </c>
      <c r="CY121" s="59">
        <f ca="1">AVERAGE(OFFSET($CX$3,0,0,'Données projet'!$E$13+1,1))-AVERAGE(OFFSET($H$3,0,0,'Données projet'!$E$13+1,1))</f>
        <v>424.5933338095914</v>
      </c>
      <c r="CZ121" s="59">
        <f t="shared" si="96"/>
        <v>159.28977188196134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54.51664776551258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54.51664776551258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-18.333333333333343</v>
      </c>
      <c r="DU121" s="59">
        <f t="shared" si="98"/>
        <v>-18.333333333333343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-18.333333333333343</v>
      </c>
      <c r="EP121" s="59">
        <f t="shared" si="100"/>
        <v>-18.333333333333343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7.9920000000000018</v>
      </c>
      <c r="FE121" s="12">
        <f>IF('Données projet'!$A$218&gt;35,FE120+FD121-FM120,IF(A121&lt;'Données projet'!$A$218,$FB$205^A121,IF(A121='Données projet'!$A$218,'Données projet'!$B$218,FE120+FD121-FM120)))</f>
        <v>360.46800000000059</v>
      </c>
      <c r="FF121" s="17">
        <f>FE121*VLOOKUP('Données projet'!$B$16,Paramètres!$A$1:$I$89,3,0)*VLOOKUP('Données projet'!$B$16,Paramètres!$A$1:$I$89,5,0)</f>
        <v>348.64464960000061</v>
      </c>
      <c r="FG121" s="13">
        <f t="shared" si="101"/>
        <v>81.283367525926224</v>
      </c>
      <c r="FH121" s="20">
        <f t="shared" si="76"/>
        <v>748.79129649432252</v>
      </c>
      <c r="FI121" s="59">
        <f t="shared" si="77"/>
        <v>1030.4996198589229</v>
      </c>
      <c r="FJ121" s="59">
        <f ca="1">AVERAGE(OFFSET($FI$3,0,0,'Données projet'!$E$16+1,1))-AVERAGE(OFFSET($H$3,0,0,'Données projet'!$E$16+1,1))</f>
        <v>664.59451650228573</v>
      </c>
      <c r="FK121" s="59">
        <f t="shared" si="102"/>
        <v>304.44325029106631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48.477198086139538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48.477198086139538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-6.8212102632969618E-13</v>
      </c>
      <c r="O122" s="13">
        <f>N122*VLOOKUP('Données projet'!$B$9,Paramètres!$A$1:$I$89,3,0)*VLOOKUP('Données projet'!$B$9,Paramètres!$A$1:$I$89,5,0)</f>
        <v>-4.0790837374515837E-13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460.88622650237176</v>
      </c>
      <c r="T122" s="59">
        <f t="shared" si="88"/>
        <v>396.05161661639647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108.47157623592395</v>
      </c>
      <c r="AA122" s="21">
        <f>EXP(-LN(2)/25)*AA121+(1-EXP(-LN(2)/25))/(LN(2)/25)*Calculateur!V122*Calculateur!X122*VLOOKUP('Données projet'!$B$9,Paramètres!$A$1:$I$89,3,0)*0.475*44/12</f>
        <v>11.831043571443494</v>
      </c>
      <c r="AB122" s="21">
        <f>EXP(-LN(2)/2)*AB121+(1-EXP(-LN(2)/2))/(LN(2)/2)*V122*Y122*VLOOKUP('Données projet'!$B$9,Paramètres!$A$1:$I$89,3,0)*0.475*44/12</f>
        <v>1.3856340878954975E-5</v>
      </c>
      <c r="AC122" s="22">
        <f t="shared" si="57"/>
        <v>120.30263366370833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-4.5474735088646412E-13</v>
      </c>
      <c r="AJ122" s="13">
        <f>AI122*VLOOKUP('Données projet'!$B$10,Paramètres!$A$1:$I$89,3,0)*VLOOKUP('Données projet'!$B$10,Paramètres!$A$1:$I$89,5,0)</f>
        <v>-2.1282176021486519E-13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387.50901594883317</v>
      </c>
      <c r="AO122" s="59">
        <f t="shared" si="90"/>
        <v>361.3623790401972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173.41251255341606</v>
      </c>
      <c r="AV122" s="21">
        <f>EXP(-LN(2)/25)*AV121+(1-EXP(-LN(2)/25))/(LN(2)/25)*Calculateur!AQ122*Calculateur!AS122*VLOOKUP('Données projet'!$B$10,Paramètres!$A$1:$I$89,3,0)*0.475*44/12</f>
        <v>23.437759361017296</v>
      </c>
      <c r="AW122" s="21">
        <f>EXP(-LN(2)/2)*AW121+(1-EXP(-LN(2)/2))/(LN(2)/2)*AQ122*AT122*VLOOKUP('Données projet'!$B$10,Paramètres!$A$1:$I$89,3,0)*0.475*44/12</f>
        <v>0.13608863758384163</v>
      </c>
      <c r="AX122" s="21">
        <f t="shared" si="60"/>
        <v>196.9863605520172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7.9920000000000018</v>
      </c>
      <c r="BD122" s="12">
        <f>IF('Données projet'!$A$88&gt;35,BD121+BC122-BL121,IF(A122&lt;'Données projet'!$A$88,$BA$205^A122,IF(A122='Données projet'!$A$88,'Données projet'!$B$88,BD121+BC122-BL121)))</f>
        <v>368.4600000000006</v>
      </c>
      <c r="BE122" s="13">
        <f>BD122*VLOOKUP('Données projet'!$B$11,Paramètres!$A$1:$I$89,3,0)*VLOOKUP('Données projet'!$B$11,Paramètres!$A$1:$I$89,5,0)</f>
        <v>333.38260800000052</v>
      </c>
      <c r="BF122" s="13">
        <f t="shared" si="91"/>
        <v>78.13119132485231</v>
      </c>
      <c r="BG122" s="20">
        <f t="shared" si="61"/>
        <v>716.71986715745197</v>
      </c>
      <c r="BH122" s="59">
        <f t="shared" si="62"/>
        <v>998.62985845538105</v>
      </c>
      <c r="BI122" s="59">
        <f ca="1">AVERAGE(OFFSET($BH$3,0,0,'Données projet'!$E$11+1,1))-AVERAGE(OFFSET($H$3,0,0,'Données projet'!$E$11+1,1))</f>
        <v>627.65081154031589</v>
      </c>
      <c r="BJ122" s="59">
        <f t="shared" si="92"/>
        <v>288.78083487077618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44.46035819985179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44.46035819985179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7.9920000000000018</v>
      </c>
      <c r="BY122" s="12">
        <f>IF('Données projet'!$A$114&gt;35,BY121+BX122-CG121,IF(A122&lt;'Données projet'!$A$114,$BV$205^A122,IF(A122='Données projet'!$A$114,'Données projet'!$B$114,BY121+BX122-CG121)))</f>
        <v>368.4600000000006</v>
      </c>
      <c r="BZ122" s="13">
        <f>BY122*VLOOKUP('Données projet'!$B$12,Paramètres!$A$1:$I$89,3,0)*VLOOKUP('Données projet'!$B$12,Paramètres!$A$1:$I$89,5,0)</f>
        <v>373.61844000000065</v>
      </c>
      <c r="CA122" s="13">
        <f t="shared" si="93"/>
        <v>86.407156430415824</v>
      </c>
      <c r="CB122" s="20">
        <f t="shared" si="64"/>
        <v>801.21124711630875</v>
      </c>
      <c r="CC122" s="59">
        <f t="shared" si="65"/>
        <v>1083.121238414238</v>
      </c>
      <c r="CD122" s="59">
        <f ca="1">AVERAGE(OFFSET($CC$3,0,0,'Données projet'!$E$12+1,1))-AVERAGE(OFFSET($H$3,0,0,'Données projet'!$E$12+1,1))</f>
        <v>692.2706942067415</v>
      </c>
      <c r="CE122" s="59">
        <f t="shared" si="94"/>
        <v>316.17529091924803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49.8262634998339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49.8262634998339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4.8</v>
      </c>
      <c r="CT122" s="12">
        <f>IF('Données projet'!$A$140&gt;35,CT121+CS122-DB121,IF(A122&lt;'Données projet'!$A$140,$CQ$205^A122,IF(A122='Données projet'!$A$140,'Données projet'!$B$140,CT121+CS122-DB121)))</f>
        <v>274.2</v>
      </c>
      <c r="CU122" s="17">
        <f>CT122*VLOOKUP('Données projet'!$B$13,Paramètres!$A$1:$I$89,3,0)*VLOOKUP('Données projet'!$B$13,Paramètres!$A$1:$I$89,5,0)</f>
        <v>260.92872</v>
      </c>
      <c r="CV122" s="13">
        <f t="shared" si="95"/>
        <v>62.920302429198031</v>
      </c>
      <c r="CW122" s="20">
        <f t="shared" si="67"/>
        <v>564.03704739751993</v>
      </c>
      <c r="CX122" s="59">
        <f t="shared" si="68"/>
        <v>845.94703869544901</v>
      </c>
      <c r="CY122" s="59">
        <f ca="1">AVERAGE(OFFSET($CX$3,0,0,'Données projet'!$E$13+1,1))-AVERAGE(OFFSET($H$3,0,0,'Données projet'!$E$13+1,1))</f>
        <v>424.5933338095914</v>
      </c>
      <c r="CZ122" s="59">
        <f t="shared" si="96"/>
        <v>159.28977188196134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53.447609554702666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53.447609554702666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-18.333333333333343</v>
      </c>
      <c r="DU122" s="59">
        <f t="shared" si="98"/>
        <v>-18.333333333333343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-18.333333333333343</v>
      </c>
      <c r="EP122" s="59">
        <f t="shared" si="100"/>
        <v>-18.333333333333343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7.9920000000000018</v>
      </c>
      <c r="FE122" s="12">
        <f>IF('Données projet'!$A$218&gt;35,FE121+FD122-FM121,IF(A122&lt;'Données projet'!$A$218,$FB$205^A122,IF(A122='Données projet'!$A$218,'Données projet'!$B$218,FE121+FD122-FM121)))</f>
        <v>368.4600000000006</v>
      </c>
      <c r="FF122" s="17">
        <f>FE122*VLOOKUP('Données projet'!$B$16,Paramètres!$A$1:$I$89,3,0)*VLOOKUP('Données projet'!$B$16,Paramètres!$A$1:$I$89,5,0)</f>
        <v>356.37451200000061</v>
      </c>
      <c r="FG122" s="13">
        <f t="shared" si="101"/>
        <v>82.873707481273101</v>
      </c>
      <c r="FH122" s="20">
        <f t="shared" si="76"/>
        <v>765.02398226321839</v>
      </c>
      <c r="FI122" s="59">
        <f t="shared" si="77"/>
        <v>1046.9339735611475</v>
      </c>
      <c r="FJ122" s="59">
        <f ca="1">AVERAGE(OFFSET($FI$3,0,0,'Données projet'!$E$16+1,1))-AVERAGE(OFFSET($H$3,0,0,'Données projet'!$E$16+1,1))</f>
        <v>664.59451650228573</v>
      </c>
      <c r="FK122" s="59">
        <f t="shared" si="102"/>
        <v>304.44325029106631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47.52658979984156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47.52658979984156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-6.8212102632969618E-13</v>
      </c>
      <c r="O123" s="13">
        <f>N123*VLOOKUP('Données projet'!$B$9,Paramètres!$A$1:$I$89,3,0)*VLOOKUP('Données projet'!$B$9,Paramètres!$A$1:$I$89,5,0)</f>
        <v>-4.0790837374515837E-13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460.88622650237176</v>
      </c>
      <c r="T123" s="59">
        <f t="shared" si="88"/>
        <v>396.05161661639647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106.34451478706612</v>
      </c>
      <c r="AA123" s="21">
        <f>EXP(-LN(2)/25)*AA122+(1-EXP(-LN(2)/25))/(LN(2)/25)*Calculateur!V123*Calculateur!X123*VLOOKUP('Données projet'!$B$9,Paramètres!$A$1:$I$89,3,0)*0.475*44/12</f>
        <v>11.507523062814832</v>
      </c>
      <c r="AB123" s="21">
        <f>EXP(-LN(2)/2)*AB122+(1-EXP(-LN(2)/2))/(LN(2)/2)*V123*Y123*VLOOKUP('Données projet'!$B$9,Paramètres!$A$1:$I$89,3,0)*0.475*44/12</f>
        <v>9.7979125979414294E-6</v>
      </c>
      <c r="AC123" s="22">
        <f t="shared" si="57"/>
        <v>117.85204764779354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-4.5474735088646412E-13</v>
      </c>
      <c r="AJ123" s="13">
        <f>AI123*VLOOKUP('Données projet'!$B$10,Paramètres!$A$1:$I$89,3,0)*VLOOKUP('Données projet'!$B$10,Paramètres!$A$1:$I$89,5,0)</f>
        <v>-2.1282176021486519E-13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387.50901594883317</v>
      </c>
      <c r="AO123" s="59">
        <f t="shared" si="90"/>
        <v>361.3623790401972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170.0119989534322</v>
      </c>
      <c r="AV123" s="21">
        <f>EXP(-LN(2)/25)*AV122+(1-EXP(-LN(2)/25))/(LN(2)/25)*Calculateur!AQ123*Calculateur!AS123*VLOOKUP('Données projet'!$B$10,Paramètres!$A$1:$I$89,3,0)*0.475*44/12</f>
        <v>22.796852598752082</v>
      </c>
      <c r="AW123" s="21">
        <f>EXP(-LN(2)/2)*AW122+(1-EXP(-LN(2)/2))/(LN(2)/2)*AQ123*AT123*VLOOKUP('Données projet'!$B$10,Paramètres!$A$1:$I$89,3,0)*0.475*44/12</f>
        <v>9.6229198477972872E-2</v>
      </c>
      <c r="AX123" s="21">
        <f t="shared" si="60"/>
        <v>192.90508075066225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7.9920000000000018</v>
      </c>
      <c r="BD123" s="12">
        <f>IF('Données projet'!$A$88&gt;35,BD122+BC123-BL122,IF(A123&lt;'Données projet'!$A$88,$BA$205^A123,IF(A123='Données projet'!$A$88,'Données projet'!$B$88,BD122+BC123-BL122)))</f>
        <v>376.45200000000062</v>
      </c>
      <c r="BE123" s="13">
        <f>BD123*VLOOKUP('Données projet'!$B$11,Paramètres!$A$1:$I$89,3,0)*VLOOKUP('Données projet'!$B$11,Paramètres!$A$1:$I$89,5,0)</f>
        <v>340.61376960000058</v>
      </c>
      <c r="BF123" s="13">
        <f t="shared" si="91"/>
        <v>79.626741793195919</v>
      </c>
      <c r="BG123" s="20">
        <f t="shared" si="61"/>
        <v>731.9188906764839</v>
      </c>
      <c r="BH123" s="59">
        <f t="shared" si="62"/>
        <v>1014.0270514199606</v>
      </c>
      <c r="BI123" s="59">
        <f ca="1">AVERAGE(OFFSET($BH$3,0,0,'Données projet'!$E$11+1,1))-AVERAGE(OFFSET($H$3,0,0,'Données projet'!$E$11+1,1))</f>
        <v>627.65081154031589</v>
      </c>
      <c r="BJ123" s="59">
        <f t="shared" si="92"/>
        <v>288.78083487077618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43.588517693693504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43.588517693693504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7.9920000000000018</v>
      </c>
      <c r="BY123" s="12">
        <f>IF('Données projet'!$A$114&gt;35,BY122+BX123-CG122,IF(A123&lt;'Données projet'!$A$114,$BV$205^A123,IF(A123='Données projet'!$A$114,'Données projet'!$B$114,BY122+BX123-CG122)))</f>
        <v>376.45200000000062</v>
      </c>
      <c r="BZ123" s="13">
        <f>BY123*VLOOKUP('Données projet'!$B$12,Paramètres!$A$1:$I$89,3,0)*VLOOKUP('Données projet'!$B$12,Paramètres!$A$1:$I$89,5,0)</f>
        <v>381.72232800000063</v>
      </c>
      <c r="CA123" s="13">
        <f t="shared" si="93"/>
        <v>88.061121525232409</v>
      </c>
      <c r="CB123" s="20">
        <f t="shared" si="64"/>
        <v>818.20617458978086</v>
      </c>
      <c r="CC123" s="59">
        <f t="shared" si="65"/>
        <v>1100.3143353332575</v>
      </c>
      <c r="CD123" s="59">
        <f ca="1">AVERAGE(OFFSET($CC$3,0,0,'Données projet'!$E$12+1,1))-AVERAGE(OFFSET($H$3,0,0,'Données projet'!$E$12+1,1))</f>
        <v>692.2706942067415</v>
      </c>
      <c r="CE123" s="59">
        <f t="shared" si="94"/>
        <v>316.17529091924803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48.849200863622031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48.849200863622031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279</v>
      </c>
      <c r="CR123" s="12">
        <f>VLOOKUP(A123,'Données projet'!$A$139:$I$159,9,0)</f>
        <v>4.8</v>
      </c>
      <c r="CS123" s="12">
        <f t="array" ref="CS123">INDEX(CR:CR,MIN(IF(ISNUMBER(CR123:CR319),ROW(CR123:CR319),"")))</f>
        <v>4.8</v>
      </c>
      <c r="CT123" s="12">
        <f>IF('Données projet'!$A$140&gt;35,CT122+CS123-DB122,IF(A123&lt;'Données projet'!$A$140,$CQ$205^A123,IF(A123='Données projet'!$A$140,'Données projet'!$B$140,CT122+CS123-DB122)))</f>
        <v>279</v>
      </c>
      <c r="CU123" s="17">
        <f>CT123*VLOOKUP('Données projet'!$B$13,Paramètres!$A$1:$I$89,3,0)*VLOOKUP('Données projet'!$B$13,Paramètres!$A$1:$I$89,5,0)</f>
        <v>265.49639999999999</v>
      </c>
      <c r="CV123" s="13">
        <f t="shared" si="95"/>
        <v>63.892558047989588</v>
      </c>
      <c r="CW123" s="20">
        <f t="shared" si="67"/>
        <v>573.68576860024848</v>
      </c>
      <c r="CX123" s="59">
        <f t="shared" si="68"/>
        <v>855.79392934372504</v>
      </c>
      <c r="CY123" s="59">
        <f ca="1">AVERAGE(OFFSET($CX$3,0,0,'Données projet'!$E$13+1,1))-AVERAGE(OFFSET($H$3,0,0,'Données projet'!$E$13+1,1))</f>
        <v>424.5933338095914</v>
      </c>
      <c r="CZ123" s="59">
        <f t="shared" si="96"/>
        <v>159.28977188196134</v>
      </c>
      <c r="DA123" s="15">
        <f>IF(ISNA(VLOOKUP(A123,'Données projet'!$A$139:$I$159,3,0)),0,VLOOKUP(A123,'Données projet'!$A$139:$I$159,3,0))</f>
        <v>18</v>
      </c>
      <c r="DB123" s="15">
        <f>IF(ISNA(VLOOKUP(A123,'Données projet'!$A$139:$I$159,4,0)),0,VLOOKUP(A123,'Données projet'!$A$139:$I$159,4,0))</f>
        <v>23</v>
      </c>
      <c r="DC123" s="16">
        <f>IF(ISNA(VLOOKUP(A123,'Données projet'!$A$139:$I$159,5,0)),0%,VLOOKUP(A123,'Données projet'!$A$139:$I$159,5,0)*VLOOKUP('Données projet'!$B$13,Paramètres!$A$1:$I$89,7,0))</f>
        <v>0.34400000000000003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60.722686462507866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60.722686462507866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-18.333333333333343</v>
      </c>
      <c r="DU123" s="59">
        <f t="shared" si="98"/>
        <v>-18.333333333333343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-18.333333333333343</v>
      </c>
      <c r="EP123" s="59">
        <f t="shared" si="100"/>
        <v>-18.333333333333343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7.9920000000000018</v>
      </c>
      <c r="FE123" s="12">
        <f>IF('Données projet'!$A$218&gt;35,FE122+FD123-FM122,IF(A123&lt;'Données projet'!$A$218,$FB$205^A123,IF(A123='Données projet'!$A$218,'Données projet'!$B$218,FE122+FD123-FM122)))</f>
        <v>376.45200000000062</v>
      </c>
      <c r="FF123" s="17">
        <f>FE123*VLOOKUP('Données projet'!$B$16,Paramètres!$A$1:$I$89,3,0)*VLOOKUP('Données projet'!$B$16,Paramètres!$A$1:$I$89,5,0)</f>
        <v>364.10437440000061</v>
      </c>
      <c r="FG123" s="13">
        <f t="shared" si="101"/>
        <v>84.460036960388123</v>
      </c>
      <c r="FH123" s="20">
        <f t="shared" si="76"/>
        <v>781.24968311934356</v>
      </c>
      <c r="FI123" s="59">
        <f t="shared" si="77"/>
        <v>1063.3578438628201</v>
      </c>
      <c r="FJ123" s="59">
        <f ca="1">AVERAGE(OFFSET($FI$3,0,0,'Données projet'!$E$16+1,1))-AVERAGE(OFFSET($H$3,0,0,'Données projet'!$E$16+1,1))</f>
        <v>664.59451650228573</v>
      </c>
      <c r="FK123" s="59">
        <f t="shared" si="102"/>
        <v>304.44325029106631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46.594622362224079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46.594622362224079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-6.8212102632969618E-13</v>
      </c>
      <c r="O124" s="13">
        <f>N124*VLOOKUP('Données projet'!$B$9,Paramètres!$A$1:$I$89,3,0)*VLOOKUP('Données projet'!$B$9,Paramètres!$A$1:$I$89,5,0)</f>
        <v>-4.0790837374515837E-13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460.88622650237176</v>
      </c>
      <c r="T124" s="59">
        <f t="shared" si="88"/>
        <v>396.05161661639647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104.25916371584101</v>
      </c>
      <c r="AA124" s="21">
        <f>EXP(-LN(2)/25)*AA123+(1-EXP(-LN(2)/25))/(LN(2)/25)*Calculateur!V124*Calculateur!X124*VLOOKUP('Données projet'!$B$9,Paramètres!$A$1:$I$89,3,0)*0.475*44/12</f>
        <v>11.192849239507822</v>
      </c>
      <c r="AB124" s="21">
        <f>EXP(-LN(2)/2)*AB123+(1-EXP(-LN(2)/2))/(LN(2)/2)*V124*Y124*VLOOKUP('Données projet'!$B$9,Paramètres!$A$1:$I$89,3,0)*0.475*44/12</f>
        <v>6.9281704394774877E-6</v>
      </c>
      <c r="AC124" s="22">
        <f t="shared" si="57"/>
        <v>115.45201988351927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-4.5474735088646412E-13</v>
      </c>
      <c r="AJ124" s="13">
        <f>AI124*VLOOKUP('Données projet'!$B$10,Paramètres!$A$1:$I$89,3,0)*VLOOKUP('Données projet'!$B$10,Paramètres!$A$1:$I$89,5,0)</f>
        <v>-2.1282176021486519E-13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387.50901594883317</v>
      </c>
      <c r="AO124" s="59">
        <f t="shared" si="90"/>
        <v>361.3623790401972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166.67816735103551</v>
      </c>
      <c r="AV124" s="21">
        <f>EXP(-LN(2)/25)*AV123+(1-EXP(-LN(2)/25))/(LN(2)/25)*Calculateur!AQ124*Calculateur!AS124*VLOOKUP('Données projet'!$B$10,Paramètres!$A$1:$I$89,3,0)*0.475*44/12</f>
        <v>22.17347146560483</v>
      </c>
      <c r="AW124" s="21">
        <f>EXP(-LN(2)/2)*AW123+(1-EXP(-LN(2)/2))/(LN(2)/2)*AQ124*AT124*VLOOKUP('Données projet'!$B$10,Paramètres!$A$1:$I$89,3,0)*0.475*44/12</f>
        <v>6.8044318791920813E-2</v>
      </c>
      <c r="AX124" s="21">
        <f t="shared" si="60"/>
        <v>188.91968313543225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7.9920000000000018</v>
      </c>
      <c r="BD124" s="12">
        <f>IF('Données projet'!$A$88&gt;35,BD123+BC124-BL123,IF(A124&lt;'Données projet'!$A$88,$BA$205^A124,IF(A124='Données projet'!$A$88,'Données projet'!$B$88,BD123+BC124-BL123)))</f>
        <v>384.44400000000064</v>
      </c>
      <c r="BE124" s="13">
        <f>BD124*VLOOKUP('Données projet'!$B$11,Paramètres!$A$1:$I$89,3,0)*VLOOKUP('Données projet'!$B$11,Paramètres!$A$1:$I$89,5,0)</f>
        <v>347.84493120000059</v>
      </c>
      <c r="BF124" s="13">
        <f t="shared" si="91"/>
        <v>81.11860080370937</v>
      </c>
      <c r="BG124" s="20">
        <f t="shared" si="61"/>
        <v>747.11148490646144</v>
      </c>
      <c r="BH124" s="59">
        <f t="shared" si="62"/>
        <v>1029.4143772986458</v>
      </c>
      <c r="BI124" s="59">
        <f ca="1">AVERAGE(OFFSET($BH$3,0,0,'Données projet'!$E$11+1,1))-AVERAGE(OFFSET($H$3,0,0,'Données projet'!$E$11+1,1))</f>
        <v>627.65081154031589</v>
      </c>
      <c r="BJ124" s="59">
        <f t="shared" si="92"/>
        <v>288.78083487077618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42.73377344809078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42.73377344809078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7.9920000000000018</v>
      </c>
      <c r="BY124" s="12">
        <f>IF('Données projet'!$A$114&gt;35,BY123+BX124-CG123,IF(A124&lt;'Données projet'!$A$114,$BV$205^A124,IF(A124='Données projet'!$A$114,'Données projet'!$B$114,BY123+BX124-CG123)))</f>
        <v>384.44400000000064</v>
      </c>
      <c r="BZ124" s="13">
        <f>BY124*VLOOKUP('Données projet'!$B$12,Paramètres!$A$1:$I$89,3,0)*VLOOKUP('Données projet'!$B$12,Paramètres!$A$1:$I$89,5,0)</f>
        <v>389.82621600000067</v>
      </c>
      <c r="CA124" s="13">
        <f t="shared" si="93"/>
        <v>89.711004148391098</v>
      </c>
      <c r="CB124" s="20">
        <f t="shared" si="64"/>
        <v>835.19399175844899</v>
      </c>
      <c r="CC124" s="59">
        <f t="shared" si="65"/>
        <v>1117.4968841506334</v>
      </c>
      <c r="CD124" s="59">
        <f ca="1">AVERAGE(OFFSET($CC$3,0,0,'Données projet'!$E$12+1,1))-AVERAGE(OFFSET($H$3,0,0,'Données projet'!$E$12+1,1))</f>
        <v>692.2706942067415</v>
      </c>
      <c r="CE124" s="59">
        <f t="shared" si="94"/>
        <v>316.17529091924803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47.891297829756908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47.891297829756908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5</v>
      </c>
      <c r="CT124" s="12">
        <f>IF('Données projet'!$A$140&gt;35,CT123+CS124-DB123,IF(A124&lt;'Données projet'!$A$140,$CQ$205^A124,IF(A124='Données projet'!$A$140,'Données projet'!$B$140,CT123+CS124-DB123)))</f>
        <v>261</v>
      </c>
      <c r="CU124" s="17">
        <f>CT124*VLOOKUP('Données projet'!$B$13,Paramètres!$A$1:$I$89,3,0)*VLOOKUP('Données projet'!$B$13,Paramètres!$A$1:$I$89,5,0)</f>
        <v>248.36760000000001</v>
      </c>
      <c r="CV124" s="13">
        <f t="shared" si="95"/>
        <v>60.236253798706343</v>
      </c>
      <c r="CW124" s="20">
        <f t="shared" si="67"/>
        <v>537.48504536608027</v>
      </c>
      <c r="CX124" s="59">
        <f t="shared" si="68"/>
        <v>819.78793775826466</v>
      </c>
      <c r="CY124" s="59">
        <f ca="1">AVERAGE(OFFSET($CX$3,0,0,'Données projet'!$E$13+1,1))-AVERAGE(OFFSET($H$3,0,0,'Données projet'!$E$13+1,1))</f>
        <v>424.5933338095914</v>
      </c>
      <c r="CZ124" s="59">
        <f t="shared" si="96"/>
        <v>159.28977188196134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59.531951618159709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59.531951618159709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-18.333333333333343</v>
      </c>
      <c r="DU124" s="59">
        <f t="shared" si="98"/>
        <v>-18.333333333333343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-18.333333333333343</v>
      </c>
      <c r="EP124" s="59">
        <f t="shared" si="100"/>
        <v>-18.333333333333343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7.9920000000000018</v>
      </c>
      <c r="FE124" s="12">
        <f>IF('Données projet'!$A$218&gt;35,FE123+FD124-FM123,IF(A124&lt;'Données projet'!$A$218,$FB$205^A124,IF(A124='Données projet'!$A$218,'Données projet'!$B$218,FE123+FD124-FM123)))</f>
        <v>384.44400000000064</v>
      </c>
      <c r="FF124" s="17">
        <f>FE124*VLOOKUP('Données projet'!$B$16,Paramètres!$A$1:$I$89,3,0)*VLOOKUP('Données projet'!$B$16,Paramètres!$A$1:$I$89,5,0)</f>
        <v>371.83423680000061</v>
      </c>
      <c r="FG124" s="13">
        <f t="shared" si="101"/>
        <v>86.042450912410658</v>
      </c>
      <c r="FH124" s="20">
        <f t="shared" si="76"/>
        <v>797.46856443244951</v>
      </c>
      <c r="FI124" s="59">
        <f t="shared" si="77"/>
        <v>1079.7714568246338</v>
      </c>
      <c r="FJ124" s="59">
        <f ca="1">AVERAGE(OFFSET($FI$3,0,0,'Données projet'!$E$16+1,1))-AVERAGE(OFFSET($H$3,0,0,'Données projet'!$E$16+1,1))</f>
        <v>664.59451650228573</v>
      </c>
      <c r="FK124" s="59">
        <f t="shared" si="102"/>
        <v>304.44325029106631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45.68093023761427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45.68093023761427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-6.8212102632969618E-13</v>
      </c>
      <c r="O125" s="13">
        <f>N125*VLOOKUP('Données projet'!$B$9,Paramètres!$A$1:$I$89,3,0)*VLOOKUP('Données projet'!$B$9,Paramètres!$A$1:$I$89,5,0)</f>
        <v>-4.0790837374515837E-13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460.88622650237176</v>
      </c>
      <c r="T125" s="59">
        <f t="shared" si="88"/>
        <v>396.05161661639647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102.21470510718407</v>
      </c>
      <c r="AA125" s="21">
        <f>EXP(-LN(2)/25)*AA124+(1-EXP(-LN(2)/25))/(LN(2)/25)*Calculateur!V125*Calculateur!X125*VLOOKUP('Données projet'!$B$9,Paramètres!$A$1:$I$89,3,0)*0.475*44/12</f>
        <v>10.886780188447121</v>
      </c>
      <c r="AB125" s="21">
        <f>EXP(-LN(2)/2)*AB124+(1-EXP(-LN(2)/2))/(LN(2)/2)*V125*Y125*VLOOKUP('Données projet'!$B$9,Paramètres!$A$1:$I$89,3,0)*0.475*44/12</f>
        <v>4.8989562989707147E-6</v>
      </c>
      <c r="AC125" s="22">
        <f t="shared" si="57"/>
        <v>113.1014901945875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-4.5474735088646412E-13</v>
      </c>
      <c r="AJ125" s="13">
        <f>AI125*VLOOKUP('Données projet'!$B$10,Paramètres!$A$1:$I$89,3,0)*VLOOKUP('Données projet'!$B$10,Paramètres!$A$1:$I$89,5,0)</f>
        <v>-2.1282176021486519E-13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387.50901594883317</v>
      </c>
      <c r="AO125" s="59">
        <f t="shared" si="90"/>
        <v>361.3623790401972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163.40971015292533</v>
      </c>
      <c r="AV125" s="21">
        <f>EXP(-LN(2)/25)*AV124+(1-EXP(-LN(2)/25))/(LN(2)/25)*Calculateur!AQ125*Calculateur!AS125*VLOOKUP('Données projet'!$B$10,Paramètres!$A$1:$I$89,3,0)*0.475*44/12</f>
        <v>21.567136722325682</v>
      </c>
      <c r="AW125" s="21">
        <f>EXP(-LN(2)/2)*AW124+(1-EXP(-LN(2)/2))/(LN(2)/2)*AQ125*AT125*VLOOKUP('Données projet'!$B$10,Paramètres!$A$1:$I$89,3,0)*0.475*44/12</f>
        <v>4.8114599238986436E-2</v>
      </c>
      <c r="AX125" s="21">
        <f t="shared" si="60"/>
        <v>185.02496147449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7.9920000000000018</v>
      </c>
      <c r="BD125" s="12">
        <f>IF('Données projet'!$A$88&gt;35,BD124+BC125-BL124,IF(A125&lt;'Données projet'!$A$88,$BA$205^A125,IF(A125='Données projet'!$A$88,'Données projet'!$B$88,BD124+BC125-BL124)))</f>
        <v>392.43600000000066</v>
      </c>
      <c r="BE125" s="13">
        <f>BD125*VLOOKUP('Données projet'!$B$11,Paramètres!$A$1:$I$89,3,0)*VLOOKUP('Données projet'!$B$11,Paramètres!$A$1:$I$89,5,0)</f>
        <v>355.07609280000059</v>
      </c>
      <c r="BF125" s="13">
        <f t="shared" si="91"/>
        <v>82.606853937508674</v>
      </c>
      <c r="BG125" s="20">
        <f t="shared" si="61"/>
        <v>762.29779890116197</v>
      </c>
      <c r="BH125" s="59">
        <f t="shared" si="62"/>
        <v>1044.7920447833037</v>
      </c>
      <c r="BI125" s="59">
        <f ca="1">AVERAGE(OFFSET($BH$3,0,0,'Données projet'!$E$11+1,1))-AVERAGE(OFFSET($H$3,0,0,'Données projet'!$E$11+1,1))</f>
        <v>627.65081154031589</v>
      </c>
      <c r="BJ125" s="59">
        <f t="shared" si="92"/>
        <v>288.78083487077618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41.895790215801817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41.895790215801817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7.9920000000000018</v>
      </c>
      <c r="BY125" s="12">
        <f>IF('Données projet'!$A$114&gt;35,BY124+BX125-CG124,IF(A125&lt;'Données projet'!$A$114,$BV$205^A125,IF(A125='Données projet'!$A$114,'Données projet'!$B$114,BY124+BX125-CG124)))</f>
        <v>392.43600000000066</v>
      </c>
      <c r="BZ125" s="13">
        <f>BY125*VLOOKUP('Données projet'!$B$12,Paramètres!$A$1:$I$89,3,0)*VLOOKUP('Données projet'!$B$12,Paramètres!$A$1:$I$89,5,0)</f>
        <v>397.93010400000071</v>
      </c>
      <c r="CA125" s="13">
        <f t="shared" si="93"/>
        <v>91.356898946098624</v>
      </c>
      <c r="CB125" s="20">
        <f t="shared" si="64"/>
        <v>852.17486346445639</v>
      </c>
      <c r="CC125" s="59">
        <f t="shared" si="65"/>
        <v>1134.6691093465981</v>
      </c>
      <c r="CD125" s="59">
        <f ca="1">AVERAGE(OFFSET($CC$3,0,0,'Données projet'!$E$12+1,1))-AVERAGE(OFFSET($H$3,0,0,'Données projet'!$E$12+1,1))</f>
        <v>692.2706942067415</v>
      </c>
      <c r="CE125" s="59">
        <f t="shared" si="94"/>
        <v>316.17529091924803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46.952178690122722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46.952178690122722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5</v>
      </c>
      <c r="CT125" s="12">
        <f>IF('Données projet'!$A$140&gt;35,CT124+CS125-DB124,IF(A125&lt;'Données projet'!$A$140,$CQ$205^A125,IF(A125='Données projet'!$A$140,'Données projet'!$B$140,CT124+CS125-DB124)))</f>
        <v>266</v>
      </c>
      <c r="CU125" s="17">
        <f>CT125*VLOOKUP('Données projet'!$B$13,Paramètres!$A$1:$I$89,3,0)*VLOOKUP('Données projet'!$B$13,Paramètres!$A$1:$I$89,5,0)</f>
        <v>253.12559999999999</v>
      </c>
      <c r="CV125" s="13">
        <f t="shared" si="95"/>
        <v>61.254756291614335</v>
      </c>
      <c r="CW125" s="20">
        <f t="shared" si="67"/>
        <v>547.54578720789482</v>
      </c>
      <c r="CX125" s="59">
        <f t="shared" si="68"/>
        <v>830.04003309003656</v>
      </c>
      <c r="CY125" s="59">
        <f ca="1">AVERAGE(OFFSET($CX$3,0,0,'Données projet'!$E$13+1,1))-AVERAGE(OFFSET($H$3,0,0,'Données projet'!$E$13+1,1))</f>
        <v>424.5933338095914</v>
      </c>
      <c r="CZ125" s="59">
        <f t="shared" si="96"/>
        <v>159.28977188196134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58.364566357832679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58.364566357832679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-18.333333333333343</v>
      </c>
      <c r="DU125" s="59">
        <f t="shared" si="98"/>
        <v>-18.333333333333343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-18.333333333333343</v>
      </c>
      <c r="EP125" s="59">
        <f t="shared" si="100"/>
        <v>-18.333333333333343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7.9920000000000018</v>
      </c>
      <c r="FE125" s="12">
        <f>IF('Données projet'!$A$218&gt;35,FE124+FD125-FM124,IF(A125&lt;'Données projet'!$A$218,$FB$205^A125,IF(A125='Données projet'!$A$218,'Données projet'!$B$218,FE124+FD125-FM124)))</f>
        <v>392.43600000000066</v>
      </c>
      <c r="FF125" s="17">
        <f>FE125*VLOOKUP('Données projet'!$B$16,Paramètres!$A$1:$I$89,3,0)*VLOOKUP('Données projet'!$B$16,Paramètres!$A$1:$I$89,5,0)</f>
        <v>379.56409920000067</v>
      </c>
      <c r="FG125" s="13">
        <f t="shared" si="101"/>
        <v>87.621040113179006</v>
      </c>
      <c r="FH125" s="20">
        <f t="shared" si="76"/>
        <v>813.68078430378785</v>
      </c>
      <c r="FI125" s="59">
        <f t="shared" si="77"/>
        <v>1096.1750301859297</v>
      </c>
      <c r="FJ125" s="59">
        <f ca="1">AVERAGE(OFFSET($FI$3,0,0,'Données projet'!$E$16+1,1))-AVERAGE(OFFSET($H$3,0,0,'Données projet'!$E$16+1,1))</f>
        <v>664.59451650228573</v>
      </c>
      <c r="FK125" s="59">
        <f t="shared" si="102"/>
        <v>304.44325029106631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44.785155058270895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44.785155058270895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-6.8212102632969618E-13</v>
      </c>
      <c r="O126" s="13">
        <f>N126*VLOOKUP('Données projet'!$B$9,Paramètres!$A$1:$I$89,3,0)*VLOOKUP('Données projet'!$B$9,Paramètres!$A$1:$I$89,5,0)</f>
        <v>-4.0790837374515837E-13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460.88622650237176</v>
      </c>
      <c r="T126" s="59">
        <f t="shared" si="88"/>
        <v>396.05161661639647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100.21033708484627</v>
      </c>
      <c r="AA126" s="21">
        <f>EXP(-LN(2)/25)*AA125+(1-EXP(-LN(2)/25))/(LN(2)/25)*Calculateur!V126*Calculateur!X126*VLOOKUP('Données projet'!$B$9,Paramètres!$A$1:$I$89,3,0)*0.475*44/12</f>
        <v>10.589080611683146</v>
      </c>
      <c r="AB126" s="21">
        <f>EXP(-LN(2)/2)*AB125+(1-EXP(-LN(2)/2))/(LN(2)/2)*V126*Y126*VLOOKUP('Données projet'!$B$9,Paramètres!$A$1:$I$89,3,0)*0.475*44/12</f>
        <v>3.4640852197387439E-6</v>
      </c>
      <c r="AC126" s="22">
        <f t="shared" si="57"/>
        <v>110.79942116061464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-4.5474735088646412E-13</v>
      </c>
      <c r="AJ126" s="13">
        <f>AI126*VLOOKUP('Données projet'!$B$10,Paramètres!$A$1:$I$89,3,0)*VLOOKUP('Données projet'!$B$10,Paramètres!$A$1:$I$89,5,0)</f>
        <v>-2.1282176021486519E-13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387.50901594883317</v>
      </c>
      <c r="AO126" s="59">
        <f t="shared" si="90"/>
        <v>361.3623790401972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160.20534540690807</v>
      </c>
      <c r="AV126" s="21">
        <f>EXP(-LN(2)/25)*AV125+(1-EXP(-LN(2)/25))/(LN(2)/25)*Calculateur!AQ126*Calculateur!AS126*VLOOKUP('Données projet'!$B$10,Paramètres!$A$1:$I$89,3,0)*0.475*44/12</f>
        <v>20.977382234487258</v>
      </c>
      <c r="AW126" s="21">
        <f>EXP(-LN(2)/2)*AW125+(1-EXP(-LN(2)/2))/(LN(2)/2)*AQ126*AT126*VLOOKUP('Données projet'!$B$10,Paramètres!$A$1:$I$89,3,0)*0.475*44/12</f>
        <v>3.4022159395960407E-2</v>
      </c>
      <c r="AX126" s="21">
        <f t="shared" si="60"/>
        <v>181.21674980079129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7.9920000000000018</v>
      </c>
      <c r="BD126" s="12">
        <f>IF('Données projet'!$A$88&gt;35,BD125+BC126-BL125,IF(A126&lt;'Données projet'!$A$88,$BA$205^A126,IF(A126='Données projet'!$A$88,'Données projet'!$B$88,BD125+BC126-BL125)))</f>
        <v>400.42800000000068</v>
      </c>
      <c r="BE126" s="13">
        <f>BD126*VLOOKUP('Données projet'!$B$11,Paramètres!$A$1:$I$89,3,0)*VLOOKUP('Données projet'!$B$11,Paramètres!$A$1:$I$89,5,0)</f>
        <v>362.3072544000006</v>
      </c>
      <c r="BF126" s="13">
        <f t="shared" si="91"/>
        <v>84.09158309070763</v>
      </c>
      <c r="BG126" s="20">
        <f t="shared" si="61"/>
        <v>777.4779752963168</v>
      </c>
      <c r="BH126" s="59">
        <f t="shared" si="62"/>
        <v>1060.1602551131675</v>
      </c>
      <c r="BI126" s="59">
        <f ca="1">AVERAGE(OFFSET($BH$3,0,0,'Données projet'!$E$11+1,1))-AVERAGE(OFFSET($H$3,0,0,'Données projet'!$E$11+1,1))</f>
        <v>627.65081154031589</v>
      </c>
      <c r="BJ126" s="59">
        <f t="shared" si="92"/>
        <v>288.78083487077618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41.074239323578738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41.074239323578738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7.9920000000000018</v>
      </c>
      <c r="BY126" s="12">
        <f>IF('Données projet'!$A$114&gt;35,BY125+BX126-CG125,IF(A126&lt;'Données projet'!$A$114,$BV$205^A126,IF(A126='Données projet'!$A$114,'Données projet'!$B$114,BY125+BX126-CG125)))</f>
        <v>400.42800000000068</v>
      </c>
      <c r="BZ126" s="13">
        <f>BY126*VLOOKUP('Données projet'!$B$12,Paramètres!$A$1:$I$89,3,0)*VLOOKUP('Données projet'!$B$12,Paramètres!$A$1:$I$89,5,0)</f>
        <v>406.03399200000069</v>
      </c>
      <c r="CA126" s="13">
        <f t="shared" si="93"/>
        <v>92.998896489228883</v>
      </c>
      <c r="CB126" s="20">
        <f t="shared" si="64"/>
        <v>869.14894745207482</v>
      </c>
      <c r="CC126" s="59">
        <f t="shared" si="65"/>
        <v>1151.8312272689254</v>
      </c>
      <c r="CD126" s="59">
        <f ca="1">AVERAGE(OFFSET($CC$3,0,0,'Données projet'!$E$12+1,1))-AVERAGE(OFFSET($H$3,0,0,'Données projet'!$E$12+1,1))</f>
        <v>692.2706942067415</v>
      </c>
      <c r="CE126" s="59">
        <f t="shared" si="94"/>
        <v>316.17529091924803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46.031475104010646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46.031475104010646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5</v>
      </c>
      <c r="CT126" s="12">
        <f>IF('Données projet'!$A$140&gt;35,CT125+CS126-DB125,IF(A126&lt;'Données projet'!$A$140,$CQ$205^A126,IF(A126='Données projet'!$A$140,'Données projet'!$B$140,CT125+CS126-DB125)))</f>
        <v>271</v>
      </c>
      <c r="CU126" s="17">
        <f>CT126*VLOOKUP('Données projet'!$B$13,Paramètres!$A$1:$I$89,3,0)*VLOOKUP('Données projet'!$B$13,Paramètres!$A$1:$I$89,5,0)</f>
        <v>257.8836</v>
      </c>
      <c r="CV126" s="13">
        <f t="shared" si="95"/>
        <v>62.271032629233176</v>
      </c>
      <c r="CW126" s="20">
        <f t="shared" si="67"/>
        <v>557.60265182924775</v>
      </c>
      <c r="CX126" s="59">
        <f t="shared" si="68"/>
        <v>840.28493164609836</v>
      </c>
      <c r="CY126" s="59">
        <f ca="1">AVERAGE(OFFSET($CX$3,0,0,'Données projet'!$E$13+1,1))-AVERAGE(OFFSET($H$3,0,0,'Données projet'!$E$13+1,1))</f>
        <v>424.5933338095914</v>
      </c>
      <c r="CZ126" s="59">
        <f t="shared" si="96"/>
        <v>159.28977188196134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57.220072810425961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57.220072810425961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-18.333333333333343</v>
      </c>
      <c r="DU126" s="59">
        <f t="shared" si="98"/>
        <v>-18.333333333333343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-18.333333333333343</v>
      </c>
      <c r="EP126" s="59">
        <f t="shared" si="100"/>
        <v>-18.333333333333343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7.9920000000000018</v>
      </c>
      <c r="FE126" s="12">
        <f>IF('Données projet'!$A$218&gt;35,FE125+FD126-FM125,IF(A126&lt;'Données projet'!$A$218,$FB$205^A126,IF(A126='Données projet'!$A$218,'Données projet'!$B$218,FE125+FD126-FM125)))</f>
        <v>400.42800000000068</v>
      </c>
      <c r="FF126" s="17">
        <f>FE126*VLOOKUP('Données projet'!$B$16,Paramètres!$A$1:$I$89,3,0)*VLOOKUP('Données projet'!$B$16,Paramètres!$A$1:$I$89,5,0)</f>
        <v>387.29396160000067</v>
      </c>
      <c r="FG126" s="13">
        <f t="shared" si="101"/>
        <v>89.195891429851343</v>
      </c>
      <c r="FH126" s="20">
        <f t="shared" si="76"/>
        <v>829.8864940269923</v>
      </c>
      <c r="FI126" s="59">
        <f t="shared" si="77"/>
        <v>1112.568773843843</v>
      </c>
      <c r="FJ126" s="59">
        <f ca="1">AVERAGE(OFFSET($FI$3,0,0,'Données projet'!$E$16+1,1))-AVERAGE(OFFSET($H$3,0,0,'Données projet'!$E$16+1,1))</f>
        <v>664.59451650228573</v>
      </c>
      <c r="FK126" s="59">
        <f t="shared" si="102"/>
        <v>304.44325029106631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43.906945483825531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43.906945483825531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-6.8212102632969618E-13</v>
      </c>
      <c r="O127" s="13">
        <f>N127*VLOOKUP('Données projet'!$B$9,Paramètres!$A$1:$I$89,3,0)*VLOOKUP('Données projet'!$B$9,Paramètres!$A$1:$I$89,5,0)</f>
        <v>-4.0790837374515837E-13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460.88622650237176</v>
      </c>
      <c r="T127" s="59">
        <f t="shared" si="88"/>
        <v>396.05161661639647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98.245273496882731</v>
      </c>
      <c r="AA127" s="21">
        <f>EXP(-LN(2)/25)*AA126+(1-EXP(-LN(2)/25))/(LN(2)/25)*Calculateur!V127*Calculateur!X127*VLOOKUP('Données projet'!$B$9,Paramètres!$A$1:$I$89,3,0)*0.475*44/12</f>
        <v>10.299521645501123</v>
      </c>
      <c r="AB127" s="21">
        <f>EXP(-LN(2)/2)*AB126+(1-EXP(-LN(2)/2))/(LN(2)/2)*V127*Y127*VLOOKUP('Données projet'!$B$9,Paramètres!$A$1:$I$89,3,0)*0.475*44/12</f>
        <v>2.4494781494853573E-6</v>
      </c>
      <c r="AC127" s="22">
        <f t="shared" si="57"/>
        <v>108.54479759186201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-4.5474735088646412E-13</v>
      </c>
      <c r="AJ127" s="13">
        <f>AI127*VLOOKUP('Données projet'!$B$10,Paramètres!$A$1:$I$89,3,0)*VLOOKUP('Données projet'!$B$10,Paramètres!$A$1:$I$89,5,0)</f>
        <v>-2.1282176021486519E-13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387.50901594883317</v>
      </c>
      <c r="AO127" s="59">
        <f t="shared" si="90"/>
        <v>361.3623790401972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157.06381629909069</v>
      </c>
      <c r="AV127" s="21">
        <f>EXP(-LN(2)/25)*AV126+(1-EXP(-LN(2)/25))/(LN(2)/25)*Calculateur!AQ127*Calculateur!AS127*VLOOKUP('Données projet'!$B$10,Paramètres!$A$1:$I$89,3,0)*0.475*44/12</f>
        <v>20.403754614132616</v>
      </c>
      <c r="AW127" s="21">
        <f>EXP(-LN(2)/2)*AW126+(1-EXP(-LN(2)/2))/(LN(2)/2)*AQ127*AT127*VLOOKUP('Données projet'!$B$10,Paramètres!$A$1:$I$89,3,0)*0.475*44/12</f>
        <v>2.4057299619493218E-2</v>
      </c>
      <c r="AX127" s="21">
        <f t="shared" si="60"/>
        <v>177.49162821284281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408.42</v>
      </c>
      <c r="BB127" s="12">
        <f>VLOOKUP(A127,'Données projet'!$A$87:$I$107,9,0)</f>
        <v>7.9920000000000018</v>
      </c>
      <c r="BC127" s="12">
        <f t="array" ref="BC127">INDEX(BB:BB,MIN(IF(ISNUMBER(BB127:BB323),ROW(BB127:BB323),"")))</f>
        <v>7.9920000000000018</v>
      </c>
      <c r="BD127" s="12">
        <f>IF('Données projet'!$A$88&gt;35,BD126+BC127-BL126,IF(A127&lt;'Données projet'!$A$88,$BA$205^A127,IF(A127='Données projet'!$A$88,'Données projet'!$B$88,BD126+BC127-BL126)))</f>
        <v>408.4200000000007</v>
      </c>
      <c r="BE127" s="13">
        <f>BD127*VLOOKUP('Données projet'!$B$11,Paramètres!$A$1:$I$89,3,0)*VLOOKUP('Données projet'!$B$11,Paramètres!$A$1:$I$89,5,0)</f>
        <v>369.53841600000061</v>
      </c>
      <c r="BF127" s="13">
        <f t="shared" si="91"/>
        <v>85.572866703416025</v>
      </c>
      <c r="BG127" s="20">
        <f t="shared" si="61"/>
        <v>792.65215070845068</v>
      </c>
      <c r="BH127" s="59">
        <f t="shared" si="62"/>
        <v>1075.5192024916241</v>
      </c>
      <c r="BI127" s="59">
        <f ca="1">AVERAGE(OFFSET($BH$3,0,0,'Données projet'!$E$11+1,1))-AVERAGE(OFFSET($H$3,0,0,'Données projet'!$E$11+1,1))</f>
        <v>627.65081154031589</v>
      </c>
      <c r="BJ127" s="59">
        <f t="shared" si="92"/>
        <v>288.78083487077618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0.30099999999999999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56.083958861079012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56.083958861079012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408.42</v>
      </c>
      <c r="BW127" s="12">
        <f>VLOOKUP(A127,'Données projet'!$A$113:$I$133,9,0)</f>
        <v>7.9920000000000018</v>
      </c>
      <c r="BX127" s="12">
        <f t="array" ref="BX127">INDEX(BW:BW,MIN(IF(ISNUMBER(BW127:BW323),ROW(BW127:BW323),"")))</f>
        <v>7.9920000000000018</v>
      </c>
      <c r="BY127" s="12">
        <f>IF('Données projet'!$A$114&gt;35,BY126+BX127-CG126,IF(A127&lt;'Données projet'!$A$114,$BV$205^A127,IF(A127='Données projet'!$A$114,'Données projet'!$B$114,BY126+BX127-CG126)))</f>
        <v>408.4200000000007</v>
      </c>
      <c r="BZ127" s="13">
        <f>BY127*VLOOKUP('Données projet'!$B$12,Paramètres!$A$1:$I$89,3,0)*VLOOKUP('Données projet'!$B$12,Paramètres!$A$1:$I$89,5,0)</f>
        <v>414.13788000000073</v>
      </c>
      <c r="CA127" s="13">
        <f t="shared" si="93"/>
        <v>94.637083526579147</v>
      </c>
      <c r="CB127" s="20">
        <f t="shared" si="64"/>
        <v>886.1163948087933</v>
      </c>
      <c r="CC127" s="59">
        <f t="shared" si="65"/>
        <v>1168.9834465919666</v>
      </c>
      <c r="CD127" s="59">
        <f ca="1">AVERAGE(OFFSET($CC$3,0,0,'Données projet'!$E$12+1,1))-AVERAGE(OFFSET($H$3,0,0,'Données projet'!$E$12+1,1))</f>
        <v>692.2706942067415</v>
      </c>
      <c r="CE127" s="59">
        <f t="shared" si="94"/>
        <v>316.17529091924803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0.30099999999999999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62.85271251672647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62.85271251672647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5</v>
      </c>
      <c r="CT127" s="12">
        <f>IF('Données projet'!$A$140&gt;35,CT126+CS127-DB126,IF(A127&lt;'Données projet'!$A$140,$CQ$205^A127,IF(A127='Données projet'!$A$140,'Données projet'!$B$140,CT126+CS127-DB126)))</f>
        <v>276</v>
      </c>
      <c r="CU127" s="17">
        <f>CT127*VLOOKUP('Données projet'!$B$13,Paramètres!$A$1:$I$89,3,0)*VLOOKUP('Données projet'!$B$13,Paramètres!$A$1:$I$89,5,0)</f>
        <v>262.64159999999998</v>
      </c>
      <c r="CV127" s="13">
        <f t="shared" si="95"/>
        <v>63.285128621471941</v>
      </c>
      <c r="CW127" s="20">
        <f t="shared" si="67"/>
        <v>567.65571901573026</v>
      </c>
      <c r="CX127" s="59">
        <f t="shared" si="68"/>
        <v>850.52277079890359</v>
      </c>
      <c r="CY127" s="59">
        <f ca="1">AVERAGE(OFFSET($CX$3,0,0,'Données projet'!$E$13+1,1))-AVERAGE(OFFSET($H$3,0,0,'Données projet'!$E$13+1,1))</f>
        <v>424.5933338095914</v>
      </c>
      <c r="CZ127" s="59">
        <f t="shared" si="96"/>
        <v>159.28977188196134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56.098022083411756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56.098022083411756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-18.333333333333343</v>
      </c>
      <c r="DU127" s="59">
        <f t="shared" si="98"/>
        <v>-18.333333333333343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-18.333333333333343</v>
      </c>
      <c r="EP127" s="59">
        <f t="shared" si="100"/>
        <v>-18.333333333333343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>
        <f>VLOOKUP(A127,'Données projet'!$A$217:$I$237,2,0)</f>
        <v>408.42</v>
      </c>
      <c r="FC127" s="12">
        <f>VLOOKUP(A127,'Données projet'!$A$217:$I$237,9,0)</f>
        <v>7.9920000000000018</v>
      </c>
      <c r="FD127" s="12">
        <f t="array" ref="FD127">INDEX(FC:FC,MIN(IF(ISNUMBER(FC127:FC323),ROW(FC127:FC323),"")))</f>
        <v>7.9920000000000018</v>
      </c>
      <c r="FE127" s="12">
        <f>IF('Données projet'!$A$218&gt;35,FE126+FD127-FM126,IF(A127&lt;'Données projet'!$A$218,$FB$205^A127,IF(A127='Données projet'!$A$218,'Données projet'!$B$218,FE126+FD127-FM126)))</f>
        <v>408.4200000000007</v>
      </c>
      <c r="FF127" s="17">
        <f>FE127*VLOOKUP('Données projet'!$B$16,Paramètres!$A$1:$I$89,3,0)*VLOOKUP('Données projet'!$B$16,Paramètres!$A$1:$I$89,5,0)</f>
        <v>395.02382400000067</v>
      </c>
      <c r="FG127" s="13">
        <f t="shared" si="101"/>
        <v>90.767088063805105</v>
      </c>
      <c r="FH127" s="20">
        <f t="shared" si="76"/>
        <v>846.08583851112826</v>
      </c>
      <c r="FI127" s="59">
        <f t="shared" si="77"/>
        <v>1128.9528902943016</v>
      </c>
      <c r="FJ127" s="59">
        <f ca="1">AVERAGE(OFFSET($FI$3,0,0,'Données projet'!$E$16+1,1))-AVERAGE(OFFSET($H$3,0,0,'Données projet'!$E$16+1,1))</f>
        <v>664.59451650228573</v>
      </c>
      <c r="FK127" s="59">
        <f t="shared" si="102"/>
        <v>304.44325029106631</v>
      </c>
      <c r="FL127" s="15">
        <f>IF(ISNA(VLOOKUP(A127,'Données projet'!$A$217:$I$237,3,0)),0,VLOOKUP(A127,'Données projet'!$A$217:$I$237,3,0))</f>
        <v>10</v>
      </c>
      <c r="FM127" s="15">
        <f>IF(ISNA(VLOOKUP(A127,'Données projet'!$A$217:$I$237,4,0)),0,VLOOKUP(A127,'Données projet'!$A$217:$I$237,4,0))</f>
        <v>52.53</v>
      </c>
      <c r="FN127" s="16">
        <f>IF(ISNA(VLOOKUP(A127,'Données projet'!$A$217:$I$237,5,0)),0%,VLOOKUP(A127,'Données projet'!$A$217:$I$237,5,0)*VLOOKUP('Données projet'!$B$16,Paramètres!$A$1:$I$89,7,0))</f>
        <v>0.30099999999999999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59.951818092877552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59.951818092877552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-6.8212102632969618E-13</v>
      </c>
      <c r="O128" s="13">
        <f>N128*VLOOKUP('Données projet'!$B$9,Paramètres!$A$1:$I$89,3,0)*VLOOKUP('Données projet'!$B$9,Paramètres!$A$1:$I$89,5,0)</f>
        <v>-4.0790837374515837E-13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460.88622650237176</v>
      </c>
      <c r="T128" s="59">
        <f t="shared" si="88"/>
        <v>396.05161661639647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96.318743607308718</v>
      </c>
      <c r="AA128" s="21">
        <f>EXP(-LN(2)/25)*AA127+(1-EXP(-LN(2)/25))/(LN(2)/25)*Calculateur!V128*Calculateur!X128*VLOOKUP('Données projet'!$B$9,Paramètres!$A$1:$I$89,3,0)*0.475*44/12</f>
        <v>10.017880684476591</v>
      </c>
      <c r="AB128" s="21">
        <f>EXP(-LN(2)/2)*AB127+(1-EXP(-LN(2)/2))/(LN(2)/2)*V128*Y128*VLOOKUP('Données projet'!$B$9,Paramètres!$A$1:$I$89,3,0)*0.475*44/12</f>
        <v>1.7320426098693719E-6</v>
      </c>
      <c r="AC128" s="22">
        <f t="shared" si="57"/>
        <v>106.33662602382792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-4.5474735088646412E-13</v>
      </c>
      <c r="AJ128" s="13">
        <f>AI128*VLOOKUP('Données projet'!$B$10,Paramètres!$A$1:$I$89,3,0)*VLOOKUP('Données projet'!$B$10,Paramètres!$A$1:$I$89,5,0)</f>
        <v>-2.1282176021486519E-13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387.50901594883317</v>
      </c>
      <c r="AO128" s="59">
        <f t="shared" si="90"/>
        <v>361.3623790401972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153.98389066093407</v>
      </c>
      <c r="AV128" s="21">
        <f>EXP(-LN(2)/25)*AV127+(1-EXP(-LN(2)/25))/(LN(2)/25)*Calculateur!AQ128*Calculateur!AS128*VLOOKUP('Données projet'!$B$10,Paramètres!$A$1:$I$89,3,0)*0.475*44/12</f>
        <v>19.845812871222339</v>
      </c>
      <c r="AW128" s="21">
        <f>EXP(-LN(2)/2)*AW127+(1-EXP(-LN(2)/2))/(LN(2)/2)*AQ128*AT128*VLOOKUP('Données projet'!$B$10,Paramètres!$A$1:$I$89,3,0)*0.475*44/12</f>
        <v>1.7011079697980203E-2</v>
      </c>
      <c r="AX128" s="21">
        <f t="shared" si="60"/>
        <v>173.8467146118544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8.0699999999999985</v>
      </c>
      <c r="BD128" s="12">
        <f>IF('Données projet'!$A$88&gt;35,BD127+BC128-BL127,IF(A128&lt;'Données projet'!$A$88,$BA$205^A128,IF(A128='Données projet'!$A$88,'Données projet'!$B$88,BD127+BC128-BL127)))</f>
        <v>363.96000000000072</v>
      </c>
      <c r="BE128" s="13">
        <f>BD128*VLOOKUP('Données projet'!$B$11,Paramètres!$A$1:$I$89,3,0)*VLOOKUP('Données projet'!$B$11,Paramètres!$A$1:$I$89,5,0)</f>
        <v>329.31100800000064</v>
      </c>
      <c r="BF128" s="13">
        <f t="shared" si="91"/>
        <v>77.287444180583748</v>
      </c>
      <c r="BG128" s="20">
        <f t="shared" si="61"/>
        <v>708.15897088118447</v>
      </c>
      <c r="BH128" s="59">
        <f t="shared" si="62"/>
        <v>991.20758925015298</v>
      </c>
      <c r="BI128" s="59">
        <f ca="1">AVERAGE(OFFSET($BH$3,0,0,'Données projet'!$E$11+1,1))-AVERAGE(OFFSET($H$3,0,0,'Données projet'!$E$11+1,1))</f>
        <v>627.65081154031589</v>
      </c>
      <c r="BJ128" s="59">
        <f t="shared" si="92"/>
        <v>288.78083487077618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54.984186635650417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54.984186635650417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8.0699999999999985</v>
      </c>
      <c r="BY128" s="12">
        <f>IF('Données projet'!$A$114&gt;35,BY127+BX128-CG127,IF(A128&lt;'Données projet'!$A$114,$BV$205^A128,IF(A128='Données projet'!$A$114,'Données projet'!$B$114,BY127+BX128-CG127)))</f>
        <v>363.96000000000072</v>
      </c>
      <c r="BZ128" s="13">
        <f>BY128*VLOOKUP('Données projet'!$B$12,Paramètres!$A$1:$I$89,3,0)*VLOOKUP('Données projet'!$B$12,Paramètres!$A$1:$I$89,5,0)</f>
        <v>369.05544000000071</v>
      </c>
      <c r="CA128" s="13">
        <f t="shared" si="93"/>
        <v>85.474036248241589</v>
      </c>
      <c r="CB128" s="20">
        <f t="shared" si="64"/>
        <v>791.63883779902199</v>
      </c>
      <c r="CC128" s="59">
        <f t="shared" si="65"/>
        <v>1074.6874561679906</v>
      </c>
      <c r="CD128" s="59">
        <f ca="1">AVERAGE(OFFSET($CC$3,0,0,'Données projet'!$E$12+1,1))-AVERAGE(OFFSET($H$3,0,0,'Données projet'!$E$12+1,1))</f>
        <v>692.2706942067415</v>
      </c>
      <c r="CE128" s="59">
        <f t="shared" si="94"/>
        <v>316.17529091924803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61.620209160642695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61.620209160642695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281</v>
      </c>
      <c r="CR128" s="12">
        <f>VLOOKUP(A128,'Données projet'!$A$139:$I$159,9,0)</f>
        <v>5</v>
      </c>
      <c r="CS128" s="12">
        <f t="array" ref="CS128">INDEX(CR:CR,MIN(IF(ISNUMBER(CR128:CR324),ROW(CR128:CR324),"")))</f>
        <v>5</v>
      </c>
      <c r="CT128" s="12">
        <f>IF('Données projet'!$A$140&gt;35,CT127+CS128-DB127,IF(A128&lt;'Données projet'!$A$140,$CQ$205^A128,IF(A128='Données projet'!$A$140,'Données projet'!$B$140,CT127+CS128-DB127)))</f>
        <v>281</v>
      </c>
      <c r="CU128" s="17">
        <f>CT128*VLOOKUP('Données projet'!$B$13,Paramètres!$A$1:$I$89,3,0)*VLOOKUP('Données projet'!$B$13,Paramètres!$A$1:$I$89,5,0)</f>
        <v>267.39960000000002</v>
      </c>
      <c r="CV128" s="13">
        <f t="shared" si="95"/>
        <v>64.297088323424532</v>
      </c>
      <c r="CW128" s="20">
        <f t="shared" si="67"/>
        <v>577.70506549663105</v>
      </c>
      <c r="CX128" s="59">
        <f t="shared" si="68"/>
        <v>860.75368386559956</v>
      </c>
      <c r="CY128" s="59">
        <f ca="1">AVERAGE(OFFSET($CX$3,0,0,'Données projet'!$E$13+1,1))-AVERAGE(OFFSET($H$3,0,0,'Données projet'!$E$13+1,1))</f>
        <v>424.5933338095914</v>
      </c>
      <c r="CZ128" s="59">
        <f t="shared" si="96"/>
        <v>159.28977188196134</v>
      </c>
      <c r="DA128" s="15">
        <f>IF(ISNA(VLOOKUP(A128,'Données projet'!$A$139:$I$159,3,0)),0,VLOOKUP(A128,'Données projet'!$A$139:$I$159,3,0))</f>
        <v>19</v>
      </c>
      <c r="DB128" s="15">
        <f>IF(ISNA(VLOOKUP(A128,'Données projet'!$A$139:$I$159,4,0)),0,VLOOKUP(A128,'Données projet'!$A$139:$I$159,4,0))</f>
        <v>22</v>
      </c>
      <c r="DC128" s="16">
        <f>IF(ISNA(VLOOKUP(A128,'Données projet'!$A$139:$I$159,5,0)),0%,VLOOKUP(A128,'Données projet'!$A$139:$I$159,5,0)*VLOOKUP('Données projet'!$B$13,Paramètres!$A$1:$I$89,7,0))</f>
        <v>0.34400000000000003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62.959249847192716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62.959249847192716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-18.333333333333343</v>
      </c>
      <c r="DU128" s="59">
        <f t="shared" si="98"/>
        <v>-18.333333333333343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-18.333333333333343</v>
      </c>
      <c r="EP128" s="59">
        <f t="shared" si="100"/>
        <v>-18.333333333333343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8.0699999999999985</v>
      </c>
      <c r="FE128" s="12">
        <f>IF('Données projet'!$A$218&gt;35,FE127+FD128-FM127,IF(A128&lt;'Données projet'!$A$218,$FB$205^A128,IF(A128='Données projet'!$A$218,'Données projet'!$B$218,FE127+FD128-FM127)))</f>
        <v>363.96000000000072</v>
      </c>
      <c r="FF128" s="17">
        <f>FE128*VLOOKUP('Données projet'!$B$16,Paramètres!$A$1:$I$89,3,0)*VLOOKUP('Données projet'!$B$16,Paramètres!$A$1:$I$89,5,0)</f>
        <v>352.02211200000067</v>
      </c>
      <c r="FG128" s="13">
        <f t="shared" si="101"/>
        <v>81.978745394600864</v>
      </c>
      <c r="FH128" s="20">
        <f t="shared" si="76"/>
        <v>755.88482662893102</v>
      </c>
      <c r="FI128" s="59">
        <f t="shared" si="77"/>
        <v>1038.9334449978996</v>
      </c>
      <c r="FJ128" s="59">
        <f ca="1">AVERAGE(OFFSET($FI$3,0,0,'Données projet'!$E$16+1,1))-AVERAGE(OFFSET($H$3,0,0,'Données projet'!$E$16+1,1))</f>
        <v>664.59451650228573</v>
      </c>
      <c r="FK128" s="59">
        <f t="shared" si="102"/>
        <v>304.44325029106631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58.776199507074566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58.776199507074566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-6.8212102632969618E-13</v>
      </c>
      <c r="O129" s="13">
        <f>N129*VLOOKUP('Données projet'!$B$9,Paramètres!$A$1:$I$89,3,0)*VLOOKUP('Données projet'!$B$9,Paramètres!$A$1:$I$89,5,0)</f>
        <v>-4.0790837374515837E-13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460.88622650237176</v>
      </c>
      <c r="T129" s="59">
        <f t="shared" si="88"/>
        <v>396.05161661639647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94.429991793802046</v>
      </c>
      <c r="AA129" s="21">
        <f>EXP(-LN(2)/25)*AA128+(1-EXP(-LN(2)/25))/(LN(2)/25)*Calculateur!V129*Calculateur!X129*VLOOKUP('Données projet'!$B$9,Paramètres!$A$1:$I$89,3,0)*0.475*44/12</f>
        <v>9.743941210342129</v>
      </c>
      <c r="AB129" s="21">
        <f>EXP(-LN(2)/2)*AB128+(1-EXP(-LN(2)/2))/(LN(2)/2)*V129*Y129*VLOOKUP('Données projet'!$B$9,Paramètres!$A$1:$I$89,3,0)*0.475*44/12</f>
        <v>1.2247390747426787E-6</v>
      </c>
      <c r="AC129" s="22">
        <f t="shared" si="57"/>
        <v>104.17393422888325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-4.5474735088646412E-13</v>
      </c>
      <c r="AJ129" s="13">
        <f>AI129*VLOOKUP('Données projet'!$B$10,Paramètres!$A$1:$I$89,3,0)*VLOOKUP('Données projet'!$B$10,Paramètres!$A$1:$I$89,5,0)</f>
        <v>-2.1282176021486519E-13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387.50901594883317</v>
      </c>
      <c r="AO129" s="59">
        <f t="shared" si="90"/>
        <v>361.3623790401972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150.96436048597252</v>
      </c>
      <c r="AV129" s="21">
        <f>EXP(-LN(2)/25)*AV128+(1-EXP(-LN(2)/25))/(LN(2)/25)*Calculateur!AQ129*Calculateur!AS129*VLOOKUP('Données projet'!$B$10,Paramètres!$A$1:$I$89,3,0)*0.475*44/12</f>
        <v>19.303128074612825</v>
      </c>
      <c r="AW129" s="21">
        <f>EXP(-LN(2)/2)*AW128+(1-EXP(-LN(2)/2))/(LN(2)/2)*AQ129*AT129*VLOOKUP('Données projet'!$B$10,Paramètres!$A$1:$I$89,3,0)*0.475*44/12</f>
        <v>1.2028649809746609E-2</v>
      </c>
      <c r="AX129" s="21">
        <f t="shared" si="60"/>
        <v>170.27951721039508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8.0699999999999985</v>
      </c>
      <c r="BD129" s="12">
        <f>IF('Données projet'!$A$88&gt;35,BD128+BC129-BL128,IF(A129&lt;'Données projet'!$A$88,$BA$205^A129,IF(A129='Données projet'!$A$88,'Données projet'!$B$88,BD128+BC129-BL128)))</f>
        <v>372.03000000000071</v>
      </c>
      <c r="BE129" s="13">
        <f>BD129*VLOOKUP('Données projet'!$B$11,Paramètres!$A$1:$I$89,3,0)*VLOOKUP('Données projet'!$B$11,Paramètres!$A$1:$I$89,5,0)</f>
        <v>336.61274400000065</v>
      </c>
      <c r="BF129" s="13">
        <f t="shared" si="91"/>
        <v>78.799710600410648</v>
      </c>
      <c r="BG129" s="20">
        <f t="shared" si="61"/>
        <v>723.51002509571629</v>
      </c>
      <c r="BH129" s="59">
        <f t="shared" si="62"/>
        <v>1006.7370602761384</v>
      </c>
      <c r="BI129" s="59">
        <f ca="1">AVERAGE(OFFSET($BH$3,0,0,'Données projet'!$E$11+1,1))-AVERAGE(OFFSET($H$3,0,0,'Données projet'!$E$11+1,1))</f>
        <v>627.65081154031589</v>
      </c>
      <c r="BJ129" s="59">
        <f t="shared" si="92"/>
        <v>288.78083487077618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53.90598027276765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53.90598027276765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8.0699999999999985</v>
      </c>
      <c r="BY129" s="12">
        <f>IF('Données projet'!$A$114&gt;35,BY128+BX129-CG128,IF(A129&lt;'Données projet'!$A$114,$BV$205^A129,IF(A129='Données projet'!$A$114,'Données projet'!$B$114,BY128+BX129-CG128)))</f>
        <v>372.03000000000071</v>
      </c>
      <c r="BZ129" s="13">
        <f>BY129*VLOOKUP('Données projet'!$B$12,Paramètres!$A$1:$I$89,3,0)*VLOOKUP('Données projet'!$B$12,Paramètres!$A$1:$I$89,5,0)</f>
        <v>377.23842000000076</v>
      </c>
      <c r="CA129" s="13">
        <f t="shared" si="93"/>
        <v>87.146487914300891</v>
      </c>
      <c r="CB129" s="20">
        <f t="shared" si="64"/>
        <v>808.80371461740867</v>
      </c>
      <c r="CC129" s="59">
        <f t="shared" si="65"/>
        <v>1092.0307497978308</v>
      </c>
      <c r="CD129" s="59">
        <f ca="1">AVERAGE(OFFSET($CC$3,0,0,'Données projet'!$E$12+1,1))-AVERAGE(OFFSET($H$3,0,0,'Données projet'!$E$12+1,1))</f>
        <v>692.2706942067415</v>
      </c>
      <c r="CE129" s="59">
        <f t="shared" si="94"/>
        <v>316.17529091924803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60.411874443618906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60.411874443618906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4.5999999999999996</v>
      </c>
      <c r="CT129" s="12">
        <f>IF('Données projet'!$A$140&gt;35,CT128+CS129-DB128,IF(A129&lt;'Données projet'!$A$140,$CQ$205^A129,IF(A129='Données projet'!$A$140,'Données projet'!$B$140,CT128+CS129-DB128)))</f>
        <v>263.60000000000002</v>
      </c>
      <c r="CU129" s="17">
        <f>CT129*VLOOKUP('Données projet'!$B$13,Paramètres!$A$1:$I$89,3,0)*VLOOKUP('Données projet'!$B$13,Paramètres!$A$1:$I$89,5,0)</f>
        <v>250.84176000000005</v>
      </c>
      <c r="CV129" s="13">
        <f t="shared" si="95"/>
        <v>60.766155809340432</v>
      </c>
      <c r="CW129" s="20">
        <f t="shared" si="67"/>
        <v>542.71712003460141</v>
      </c>
      <c r="CX129" s="59">
        <f t="shared" si="68"/>
        <v>825.94415521502356</v>
      </c>
      <c r="CY129" s="59">
        <f ca="1">AVERAGE(OFFSET($CX$3,0,0,'Données projet'!$E$13+1,1))-AVERAGE(OFFSET($H$3,0,0,'Données projet'!$E$13+1,1))</f>
        <v>424.5933338095914</v>
      </c>
      <c r="CZ129" s="59">
        <f t="shared" si="96"/>
        <v>159.28977188196134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61.724657359039853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61.724657359039853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-18.333333333333343</v>
      </c>
      <c r="DU129" s="59">
        <f t="shared" si="98"/>
        <v>-18.333333333333343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-18.333333333333343</v>
      </c>
      <c r="EP129" s="59">
        <f t="shared" si="100"/>
        <v>-18.333333333333343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8.0699999999999985</v>
      </c>
      <c r="FE129" s="12">
        <f>IF('Données projet'!$A$218&gt;35,FE128+FD129-FM128,IF(A129&lt;'Données projet'!$A$218,$FB$205^A129,IF(A129='Données projet'!$A$218,'Données projet'!$B$218,FE128+FD129-FM128)))</f>
        <v>372.03000000000071</v>
      </c>
      <c r="FF129" s="17">
        <f>FE129*VLOOKUP('Données projet'!$B$16,Paramètres!$A$1:$I$89,3,0)*VLOOKUP('Données projet'!$B$16,Paramètres!$A$1:$I$89,5,0)</f>
        <v>359.82741600000071</v>
      </c>
      <c r="FG129" s="13">
        <f t="shared" si="101"/>
        <v>83.582805473365028</v>
      </c>
      <c r="FH129" s="20">
        <f t="shared" si="76"/>
        <v>772.27280239944514</v>
      </c>
      <c r="FI129" s="59">
        <f t="shared" si="77"/>
        <v>1055.4998375798673</v>
      </c>
      <c r="FJ129" s="59">
        <f ca="1">AVERAGE(OFFSET($FI$3,0,0,'Données projet'!$E$16+1,1))-AVERAGE(OFFSET($H$3,0,0,'Données projet'!$E$16+1,1))</f>
        <v>664.59451650228573</v>
      </c>
      <c r="FK129" s="59">
        <f t="shared" si="102"/>
        <v>304.44325029106631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57.623634084682642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57.623634084682642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-6.8212102632969618E-13</v>
      </c>
      <c r="O130" s="13">
        <f>N130*VLOOKUP('Données projet'!$B$9,Paramètres!$A$1:$I$89,3,0)*VLOOKUP('Données projet'!$B$9,Paramètres!$A$1:$I$89,5,0)</f>
        <v>-4.0790837374515837E-13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460.88622650237176</v>
      </c>
      <c r="T130" s="59">
        <f t="shared" si="88"/>
        <v>396.05161661639647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92.57827725133339</v>
      </c>
      <c r="AA130" s="21">
        <f>EXP(-LN(2)/25)*AA129+(1-EXP(-LN(2)/25))/(LN(2)/25)*Calculateur!V130*Calculateur!X130*VLOOKUP('Données projet'!$B$9,Paramètres!$A$1:$I$89,3,0)*0.475*44/12</f>
        <v>9.477492625533726</v>
      </c>
      <c r="AB130" s="21">
        <f>EXP(-LN(2)/2)*AB129+(1-EXP(-LN(2)/2))/(LN(2)/2)*V130*Y130*VLOOKUP('Données projet'!$B$9,Paramètres!$A$1:$I$89,3,0)*0.475*44/12</f>
        <v>8.6602130493468597E-7</v>
      </c>
      <c r="AC130" s="22">
        <f t="shared" si="57"/>
        <v>102.05577074288843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-4.5474735088646412E-13</v>
      </c>
      <c r="AJ130" s="13">
        <f>AI130*VLOOKUP('Données projet'!$B$10,Paramètres!$A$1:$I$89,3,0)*VLOOKUP('Données projet'!$B$10,Paramètres!$A$1:$I$89,5,0)</f>
        <v>-2.1282176021486519E-13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387.50901594883317</v>
      </c>
      <c r="AO130" s="59">
        <f t="shared" si="90"/>
        <v>361.3623790401972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148.00404145601044</v>
      </c>
      <c r="AV130" s="21">
        <f>EXP(-LN(2)/25)*AV129+(1-EXP(-LN(2)/25))/(LN(2)/25)*Calculateur!AQ130*Calculateur!AS130*VLOOKUP('Données projet'!$B$10,Paramètres!$A$1:$I$89,3,0)*0.475*44/12</f>
        <v>18.77528302230515</v>
      </c>
      <c r="AW130" s="21">
        <f>EXP(-LN(2)/2)*AW129+(1-EXP(-LN(2)/2))/(LN(2)/2)*AQ130*AT130*VLOOKUP('Données projet'!$B$10,Paramètres!$A$1:$I$89,3,0)*0.475*44/12</f>
        <v>8.5055398489901016E-3</v>
      </c>
      <c r="AX130" s="21">
        <f t="shared" si="60"/>
        <v>166.78783001816458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8.0699999999999985</v>
      </c>
      <c r="BD130" s="12">
        <f>IF('Données projet'!$A$88&gt;35,BD129+BC130-BL129,IF(A130&lt;'Données projet'!$A$88,$BA$205^A130,IF(A130='Données projet'!$A$88,'Données projet'!$B$88,BD129+BC130-BL129)))</f>
        <v>380.1000000000007</v>
      </c>
      <c r="BE130" s="13">
        <f>BD130*VLOOKUP('Données projet'!$B$11,Paramètres!$A$1:$I$89,3,0)*VLOOKUP('Données projet'!$B$11,Paramètres!$A$1:$I$89,5,0)</f>
        <v>343.91448000000065</v>
      </c>
      <c r="BF130" s="13">
        <f t="shared" si="91"/>
        <v>80.308163160675235</v>
      </c>
      <c r="BG130" s="20">
        <f t="shared" si="61"/>
        <v>738.85443683817709</v>
      </c>
      <c r="BH130" s="59">
        <f t="shared" si="62"/>
        <v>1022.2567936972546</v>
      </c>
      <c r="BI130" s="59">
        <f ca="1">AVERAGE(OFFSET($BH$3,0,0,'Données projet'!$E$11+1,1))-AVERAGE(OFFSET($H$3,0,0,'Données projet'!$E$11+1,1))</f>
        <v>627.65081154031589</v>
      </c>
      <c r="BJ130" s="59">
        <f t="shared" si="92"/>
        <v>288.78083487077618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52.848916879020074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52.848916879020074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8.0699999999999985</v>
      </c>
      <c r="BY130" s="12">
        <f>IF('Données projet'!$A$114&gt;35,BY129+BX130-CG129,IF(A130&lt;'Données projet'!$A$114,$BV$205^A130,IF(A130='Données projet'!$A$114,'Données projet'!$B$114,BY129+BX130-CG129)))</f>
        <v>380.1000000000007</v>
      </c>
      <c r="BZ130" s="13">
        <f>BY130*VLOOKUP('Données projet'!$B$12,Paramètres!$A$1:$I$89,3,0)*VLOOKUP('Données projet'!$B$12,Paramètres!$A$1:$I$89,5,0)</f>
        <v>385.42140000000074</v>
      </c>
      <c r="CA130" s="13">
        <f t="shared" si="93"/>
        <v>88.814721741694029</v>
      </c>
      <c r="CB130" s="20">
        <f t="shared" si="64"/>
        <v>825.96124536678508</v>
      </c>
      <c r="CC130" s="59">
        <f t="shared" si="65"/>
        <v>1109.3636022258625</v>
      </c>
      <c r="CD130" s="59">
        <f ca="1">AVERAGE(OFFSET($CC$3,0,0,'Données projet'!$E$12+1,1))-AVERAGE(OFFSET($H$3,0,0,'Données projet'!$E$12+1,1))</f>
        <v>692.2706942067415</v>
      </c>
      <c r="CE130" s="59">
        <f t="shared" si="94"/>
        <v>316.17529091924803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59.227234433384552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59.227234433384552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4.5999999999999996</v>
      </c>
      <c r="CT130" s="12">
        <f>IF('Données projet'!$A$140&gt;35,CT129+CS130-DB129,IF(A130&lt;'Données projet'!$A$140,$CQ$205^A130,IF(A130='Données projet'!$A$140,'Données projet'!$B$140,CT129+CS130-DB129)))</f>
        <v>268.20000000000005</v>
      </c>
      <c r="CU130" s="17">
        <f>CT130*VLOOKUP('Données projet'!$B$13,Paramètres!$A$1:$I$89,3,0)*VLOOKUP('Données projet'!$B$13,Paramètres!$A$1:$I$89,5,0)</f>
        <v>255.21912000000006</v>
      </c>
      <c r="CV130" s="13">
        <f t="shared" si="95"/>
        <v>61.702189391811984</v>
      </c>
      <c r="CW130" s="20">
        <f t="shared" si="67"/>
        <v>551.97128052407265</v>
      </c>
      <c r="CX130" s="59">
        <f t="shared" si="68"/>
        <v>835.37363738315003</v>
      </c>
      <c r="CY130" s="59">
        <f ca="1">AVERAGE(OFFSET($CX$3,0,0,'Données projet'!$E$13+1,1))-AVERAGE(OFFSET($H$3,0,0,'Données projet'!$E$13+1,1))</f>
        <v>424.5933338095914</v>
      </c>
      <c r="CZ130" s="59">
        <f t="shared" si="96"/>
        <v>159.28977188196134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60.514274476552607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60.514274476552607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-18.333333333333343</v>
      </c>
      <c r="DU130" s="59">
        <f t="shared" si="98"/>
        <v>-18.333333333333343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-18.333333333333343</v>
      </c>
      <c r="EP130" s="59">
        <f t="shared" si="100"/>
        <v>-18.333333333333343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8.0699999999999985</v>
      </c>
      <c r="FE130" s="12">
        <f>IF('Données projet'!$A$218&gt;35,FE129+FD130-FM129,IF(A130&lt;'Données projet'!$A$218,$FB$205^A130,IF(A130='Données projet'!$A$218,'Données projet'!$B$218,FE129+FD130-FM129)))</f>
        <v>380.1000000000007</v>
      </c>
      <c r="FF130" s="17">
        <f>FE130*VLOOKUP('Données projet'!$B$16,Paramètres!$A$1:$I$89,3,0)*VLOOKUP('Données projet'!$B$16,Paramètres!$A$1:$I$89,5,0)</f>
        <v>367.63272000000069</v>
      </c>
      <c r="FG130" s="13">
        <f t="shared" si="101"/>
        <v>85.182820193593429</v>
      </c>
      <c r="FH130" s="20">
        <f t="shared" si="76"/>
        <v>788.65373250384312</v>
      </c>
      <c r="FI130" s="59">
        <f t="shared" si="77"/>
        <v>1072.0560893629206</v>
      </c>
      <c r="FJ130" s="59">
        <f ca="1">AVERAGE(OFFSET($FI$3,0,0,'Données projet'!$E$16+1,1))-AVERAGE(OFFSET($H$3,0,0,'Données projet'!$E$16+1,1))</f>
        <v>664.59451650228573</v>
      </c>
      <c r="FK130" s="59">
        <f t="shared" si="102"/>
        <v>304.44325029106631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56.493669767228333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56.493669767228333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-6.8212102632969618E-13</v>
      </c>
      <c r="O131" s="13">
        <f>N131*VLOOKUP('Données projet'!$B$9,Paramètres!$A$1:$I$89,3,0)*VLOOKUP('Données projet'!$B$9,Paramètres!$A$1:$I$89,5,0)</f>
        <v>-4.0790837374515837E-13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460.88622650237176</v>
      </c>
      <c r="T131" s="59">
        <f t="shared" si="88"/>
        <v>396.05161661639647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90.7628737016082</v>
      </c>
      <c r="AA131" s="21">
        <f>EXP(-LN(2)/25)*AA130+(1-EXP(-LN(2)/25))/(LN(2)/25)*Calculateur!V131*Calculateur!X131*VLOOKUP('Données projet'!$B$9,Paramètres!$A$1:$I$89,3,0)*0.475*44/12</f>
        <v>9.2183300912888306</v>
      </c>
      <c r="AB131" s="21">
        <f>EXP(-LN(2)/2)*AB130+(1-EXP(-LN(2)/2))/(LN(2)/2)*V131*Y131*VLOOKUP('Données projet'!$B$9,Paramètres!$A$1:$I$89,3,0)*0.475*44/12</f>
        <v>6.1236953737133933E-7</v>
      </c>
      <c r="AC131" s="22">
        <f t="shared" si="57"/>
        <v>99.981204405266567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-4.5474735088646412E-13</v>
      </c>
      <c r="AJ131" s="13">
        <f>AI131*VLOOKUP('Données projet'!$B$10,Paramètres!$A$1:$I$89,3,0)*VLOOKUP('Données projet'!$B$10,Paramètres!$A$1:$I$89,5,0)</f>
        <v>-2.1282176021486519E-13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387.50901594883317</v>
      </c>
      <c r="AO131" s="59">
        <f t="shared" si="90"/>
        <v>361.3623790401972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145.1017724766096</v>
      </c>
      <c r="AV131" s="21">
        <f>EXP(-LN(2)/25)*AV130+(1-EXP(-LN(2)/25))/(LN(2)/25)*Calculateur!AQ131*Calculateur!AS131*VLOOKUP('Données projet'!$B$10,Paramètres!$A$1:$I$89,3,0)*0.475*44/12</f>
        <v>18.261871920710991</v>
      </c>
      <c r="AW131" s="21">
        <f>EXP(-LN(2)/2)*AW130+(1-EXP(-LN(2)/2))/(LN(2)/2)*AQ131*AT131*VLOOKUP('Données projet'!$B$10,Paramètres!$A$1:$I$89,3,0)*0.475*44/12</f>
        <v>6.0143249048733045E-3</v>
      </c>
      <c r="AX131" s="21">
        <f t="shared" si="60"/>
        <v>163.36965872222547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8.0699999999999985</v>
      </c>
      <c r="BD131" s="12">
        <f>IF('Données projet'!$A$88&gt;35,BD130+BC131-BL130,IF(A131&lt;'Données projet'!$A$88,$BA$205^A131,IF(A131='Données projet'!$A$88,'Données projet'!$B$88,BD130+BC131-BL130)))</f>
        <v>388.1700000000007</v>
      </c>
      <c r="BE131" s="13">
        <f>BD131*VLOOKUP('Données projet'!$B$11,Paramètres!$A$1:$I$89,3,0)*VLOOKUP('Données projet'!$B$11,Paramètres!$A$1:$I$89,5,0)</f>
        <v>351.2162160000006</v>
      </c>
      <c r="BF131" s="13">
        <f t="shared" si="91"/>
        <v>81.812892161752615</v>
      </c>
      <c r="BG131" s="20">
        <f t="shared" si="61"/>
        <v>754.19236338172016</v>
      </c>
      <c r="BH131" s="59">
        <f t="shared" si="62"/>
        <v>1037.7670004802887</v>
      </c>
      <c r="BI131" s="59">
        <f ca="1">AVERAGE(OFFSET($BH$3,0,0,'Données projet'!$E$11+1,1))-AVERAGE(OFFSET($H$3,0,0,'Données projet'!$E$11+1,1))</f>
        <v>627.65081154031589</v>
      </c>
      <c r="BJ131" s="59">
        <f t="shared" si="92"/>
        <v>288.78083487077618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51.812581853678878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51.812581853678878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8.0699999999999985</v>
      </c>
      <c r="BY131" s="12">
        <f>IF('Données projet'!$A$114&gt;35,BY130+BX131-CG130,IF(A131&lt;'Données projet'!$A$114,$BV$205^A131,IF(A131='Données projet'!$A$114,'Données projet'!$B$114,BY130+BX131-CG130)))</f>
        <v>388.1700000000007</v>
      </c>
      <c r="BZ131" s="13">
        <f>BY131*VLOOKUP('Données projet'!$B$12,Paramètres!$A$1:$I$89,3,0)*VLOOKUP('Données projet'!$B$12,Paramètres!$A$1:$I$89,5,0)</f>
        <v>393.60438000000073</v>
      </c>
      <c r="CA131" s="13">
        <f t="shared" si="93"/>
        <v>90.478837595769321</v>
      </c>
      <c r="CB131" s="20">
        <f t="shared" si="64"/>
        <v>843.1116039792995</v>
      </c>
      <c r="CC131" s="59">
        <f t="shared" si="65"/>
        <v>1126.6862410778681</v>
      </c>
      <c r="CD131" s="59">
        <f ca="1">AVERAGE(OFFSET($CC$3,0,0,'Données projet'!$E$12+1,1))-AVERAGE(OFFSET($H$3,0,0,'Données projet'!$E$12+1,1))</f>
        <v>692.2706942067415</v>
      </c>
      <c r="CE131" s="59">
        <f t="shared" si="94"/>
        <v>316.17529091924803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58.065824491191833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58.065824491191833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4.5999999999999996</v>
      </c>
      <c r="CT131" s="12">
        <f>IF('Données projet'!$A$140&gt;35,CT130+CS131-DB130,IF(A131&lt;'Données projet'!$A$140,$CQ$205^A131,IF(A131='Données projet'!$A$140,'Données projet'!$B$140,CT130+CS131-DB130)))</f>
        <v>272.80000000000007</v>
      </c>
      <c r="CU131" s="17">
        <f>CT131*VLOOKUP('Données projet'!$B$13,Paramètres!$A$1:$I$89,3,0)*VLOOKUP('Données projet'!$B$13,Paramètres!$A$1:$I$89,5,0)</f>
        <v>259.5964800000001</v>
      </c>
      <c r="CV131" s="13">
        <f t="shared" si="95"/>
        <v>62.63635602493509</v>
      </c>
      <c r="CW131" s="20">
        <f t="shared" si="67"/>
        <v>561.22218941009544</v>
      </c>
      <c r="CX131" s="59">
        <f t="shared" si="68"/>
        <v>844.79682650866403</v>
      </c>
      <c r="CY131" s="59">
        <f ca="1">AVERAGE(OFFSET($CX$3,0,0,'Données projet'!$E$13+1,1))-AVERAGE(OFFSET($H$3,0,0,'Données projet'!$E$13+1,1))</f>
        <v>424.5933338095914</v>
      </c>
      <c r="CZ131" s="59">
        <f t="shared" si="96"/>
        <v>159.28977188196134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59.327626464130276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59.327626464130276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-18.333333333333343</v>
      </c>
      <c r="DU131" s="59">
        <f t="shared" si="98"/>
        <v>-18.333333333333343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-18.333333333333343</v>
      </c>
      <c r="EP131" s="59">
        <f t="shared" si="100"/>
        <v>-18.333333333333343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8.0699999999999985</v>
      </c>
      <c r="FE131" s="12">
        <f>IF('Données projet'!$A$218&gt;35,FE130+FD131-FM130,IF(A131&lt;'Données projet'!$A$218,$FB$205^A131,IF(A131='Données projet'!$A$218,'Données projet'!$B$218,FE130+FD131-FM130)))</f>
        <v>388.1700000000007</v>
      </c>
      <c r="FF131" s="17">
        <f>FE131*VLOOKUP('Données projet'!$B$16,Paramètres!$A$1:$I$89,3,0)*VLOOKUP('Données projet'!$B$16,Paramètres!$A$1:$I$89,5,0)</f>
        <v>375.43802400000067</v>
      </c>
      <c r="FG131" s="13">
        <f t="shared" si="101"/>
        <v>86.778885336839423</v>
      </c>
      <c r="FH131" s="20">
        <f t="shared" si="76"/>
        <v>805.02778376166316</v>
      </c>
      <c r="FI131" s="59">
        <f t="shared" si="77"/>
        <v>1088.6024208602316</v>
      </c>
      <c r="FJ131" s="59">
        <f ca="1">AVERAGE(OFFSET($FI$3,0,0,'Données projet'!$E$16+1,1))-AVERAGE(OFFSET($H$3,0,0,'Données projet'!$E$16+1,1))</f>
        <v>664.59451650228573</v>
      </c>
      <c r="FK131" s="59">
        <f t="shared" si="102"/>
        <v>304.44325029106631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55.385863360829127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55.385863360829127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-6.8212102632969618E-13</v>
      </c>
      <c r="O132" s="13">
        <f>N132*VLOOKUP('Données projet'!$B$9,Paramètres!$A$1:$I$89,3,0)*VLOOKUP('Données projet'!$B$9,Paramètres!$A$1:$I$89,5,0)</f>
        <v>-4.0790837374515837E-13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460.88622650237176</v>
      </c>
      <c r="T132" s="59">
        <f t="shared" si="88"/>
        <v>396.05161661639647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88.98306910820628</v>
      </c>
      <c r="AA132" s="21">
        <f>EXP(-LN(2)/25)*AA131+(1-EXP(-LN(2)/25))/(LN(2)/25)*Calculateur!V132*Calculateur!X132*VLOOKUP('Données projet'!$B$9,Paramètres!$A$1:$I$89,3,0)*0.475*44/12</f>
        <v>8.966254370171626</v>
      </c>
      <c r="AB132" s="21">
        <f>EXP(-LN(2)/2)*AB131+(1-EXP(-LN(2)/2))/(LN(2)/2)*V132*Y132*VLOOKUP('Données projet'!$B$9,Paramètres!$A$1:$I$89,3,0)*0.475*44/12</f>
        <v>4.3301065246734298E-7</v>
      </c>
      <c r="AC132" s="22">
        <f t="shared" ref="AC132:AC153" si="111">SUM(Z132:AB132)</f>
        <v>97.949323911388561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-4.5474735088646412E-13</v>
      </c>
      <c r="AJ132" s="13">
        <f>AI132*VLOOKUP('Données projet'!$B$10,Paramètres!$A$1:$I$89,3,0)*VLOOKUP('Données projet'!$B$10,Paramètres!$A$1:$I$89,5,0)</f>
        <v>-2.1282176021486519E-13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387.50901594883317</v>
      </c>
      <c r="AO132" s="59">
        <f t="shared" si="90"/>
        <v>361.3623790401972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142.2564152216855</v>
      </c>
      <c r="AV132" s="21">
        <f>EXP(-LN(2)/25)*AV131+(1-EXP(-LN(2)/25))/(LN(2)/25)*Calculateur!AQ132*Calculateur!AS132*VLOOKUP('Données projet'!$B$10,Paramètres!$A$1:$I$89,3,0)*0.475*44/12</f>
        <v>17.762500072689043</v>
      </c>
      <c r="AW132" s="21">
        <f>EXP(-LN(2)/2)*AW131+(1-EXP(-LN(2)/2))/(LN(2)/2)*AQ132*AT132*VLOOKUP('Données projet'!$B$10,Paramètres!$A$1:$I$89,3,0)*0.475*44/12</f>
        <v>4.2527699244950508E-3</v>
      </c>
      <c r="AX132" s="21">
        <f t="shared" ref="AX132:AX153" si="114">SUM(AU132:AW132)</f>
        <v>160.02316806429906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8.0699999999999985</v>
      </c>
      <c r="BD132" s="12">
        <f>IF('Données projet'!$A$88&gt;35,BD131+BC132-BL131,IF(A132&lt;'Données projet'!$A$88,$BA$205^A132,IF(A132='Données projet'!$A$88,'Données projet'!$B$88,BD131+BC132-BL131)))</f>
        <v>396.24000000000069</v>
      </c>
      <c r="BE132" s="13">
        <f>BD132*VLOOKUP('Données projet'!$B$11,Paramètres!$A$1:$I$89,3,0)*VLOOKUP('Données projet'!$B$11,Paramètres!$A$1:$I$89,5,0)</f>
        <v>358.51795200000061</v>
      </c>
      <c r="BF132" s="13">
        <f t="shared" si="91"/>
        <v>83.313983934777241</v>
      </c>
      <c r="BG132" s="20">
        <f t="shared" ref="BG132:BG153" si="115">(BE132+BF132)*0.475*44/12</f>
        <v>769.52395508640473</v>
      </c>
      <c r="BH132" s="59">
        <f t="shared" ref="BH132:BH195" si="116">BG132+(AY132+AZ132)*44/12</f>
        <v>1053.26788374747</v>
      </c>
      <c r="BI132" s="59">
        <f ca="1">AVERAGE(OFFSET($BH$3,0,0,'Données projet'!$E$11+1,1))-AVERAGE(OFFSET($H$3,0,0,'Données projet'!$E$11+1,1))</f>
        <v>627.65081154031589</v>
      </c>
      <c r="BJ132" s="59">
        <f t="shared" si="92"/>
        <v>288.78083487077618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50.796568726082675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50.796568726082675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8.0699999999999985</v>
      </c>
      <c r="BY132" s="12">
        <f>IF('Données projet'!$A$114&gt;35,BY131+BX132-CG131,IF(A132&lt;'Données projet'!$A$114,$BV$205^A132,IF(A132='Données projet'!$A$114,'Données projet'!$B$114,BY131+BX132-CG131)))</f>
        <v>396.24000000000069</v>
      </c>
      <c r="BZ132" s="13">
        <f>BY132*VLOOKUP('Données projet'!$B$12,Paramètres!$A$1:$I$89,3,0)*VLOOKUP('Données projet'!$B$12,Paramètres!$A$1:$I$89,5,0)</f>
        <v>401.78736000000072</v>
      </c>
      <c r="CA132" s="13">
        <f t="shared" si="93"/>
        <v>92.138930952196844</v>
      </c>
      <c r="CB132" s="20">
        <f t="shared" ref="CB132:CB153" si="118">(BZ132+CA132)*0.475*44/12</f>
        <v>860.25495674174408</v>
      </c>
      <c r="CC132" s="59">
        <f t="shared" ref="CC132:CC195" si="119">CB132+(BT132+BU132)*44/12</f>
        <v>1143.9988854028095</v>
      </c>
      <c r="CD132" s="59">
        <f ca="1">AVERAGE(OFFSET($CC$3,0,0,'Données projet'!$E$12+1,1))-AVERAGE(OFFSET($H$3,0,0,'Données projet'!$E$12+1,1))</f>
        <v>692.2706942067415</v>
      </c>
      <c r="CE132" s="59">
        <f t="shared" si="94"/>
        <v>316.17529091924803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56.9271890895754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56.9271890895754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4.5999999999999996</v>
      </c>
      <c r="CT132" s="12">
        <f>IF('Données projet'!$A$140&gt;35,CT131+CS132-DB131,IF(A132&lt;'Données projet'!$A$140,$CQ$205^A132,IF(A132='Données projet'!$A$140,'Données projet'!$B$140,CT131+CS132-DB131)))</f>
        <v>277.40000000000009</v>
      </c>
      <c r="CU132" s="17">
        <f>CT132*VLOOKUP('Données projet'!$B$13,Paramètres!$A$1:$I$89,3,0)*VLOOKUP('Données projet'!$B$13,Paramètres!$A$1:$I$89,5,0)</f>
        <v>263.97384000000011</v>
      </c>
      <c r="CV132" s="13">
        <f t="shared" si="95"/>
        <v>63.568690822779637</v>
      </c>
      <c r="CW132" s="20">
        <f t="shared" ref="CW132:CW153" si="121">(CU132+CV132)*0.475*44/12</f>
        <v>570.46990784967477</v>
      </c>
      <c r="CX132" s="59">
        <f t="shared" ref="CX132:CX195" si="122">CW132+(CO132+CP132)*44/12</f>
        <v>854.21383651074007</v>
      </c>
      <c r="CY132" s="59">
        <f ca="1">AVERAGE(OFFSET($CX$3,0,0,'Données projet'!$E$13+1,1))-AVERAGE(OFFSET($H$3,0,0,'Données projet'!$E$13+1,1))</f>
        <v>424.5933338095914</v>
      </c>
      <c r="CZ132" s="59">
        <f t="shared" si="96"/>
        <v>159.28977188196134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58.164247895447723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58.164247895447723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-18.333333333333343</v>
      </c>
      <c r="DU132" s="59">
        <f t="shared" si="98"/>
        <v>-18.333333333333343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-18.333333333333343</v>
      </c>
      <c r="EP132" s="59">
        <f t="shared" si="100"/>
        <v>-18.333333333333343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8.0699999999999985</v>
      </c>
      <c r="FE132" s="12">
        <f>IF('Données projet'!$A$218&gt;35,FE131+FD132-FM131,IF(A132&lt;'Données projet'!$A$218,$FB$205^A132,IF(A132='Données projet'!$A$218,'Données projet'!$B$218,FE131+FD132-FM131)))</f>
        <v>396.24000000000069</v>
      </c>
      <c r="FF132" s="17">
        <f>FE132*VLOOKUP('Données projet'!$B$16,Paramètres!$A$1:$I$89,3,0)*VLOOKUP('Données projet'!$B$16,Paramètres!$A$1:$I$89,5,0)</f>
        <v>383.2433280000007</v>
      </c>
      <c r="FG132" s="13">
        <f t="shared" si="101"/>
        <v>88.371092474485081</v>
      </c>
      <c r="FH132" s="20">
        <f t="shared" ref="FH132:FH153" si="130">(FF132+FG132)*0.475*44/12</f>
        <v>821.39511565972941</v>
      </c>
      <c r="FI132" s="59">
        <f t="shared" ref="FI132:FI195" si="131">FH132+(EZ132+FA132)*44/12</f>
        <v>1105.1390443207947</v>
      </c>
      <c r="FJ132" s="59">
        <f ca="1">AVERAGE(OFFSET($FI$3,0,0,'Données projet'!$E$16+1,1))-AVERAGE(OFFSET($H$3,0,0,'Données projet'!$E$16+1,1))</f>
        <v>664.59451650228573</v>
      </c>
      <c r="FK132" s="59">
        <f t="shared" si="102"/>
        <v>304.44325029106631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54.299780362364217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54.299780362364217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-6.8212102632969618E-13</v>
      </c>
      <c r="O133" s="13">
        <f>N133*VLOOKUP('Données projet'!$B$9,Paramètres!$A$1:$I$89,3,0)*VLOOKUP('Données projet'!$B$9,Paramètres!$A$1:$I$89,5,0)</f>
        <v>-4.0790837374515837E-13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460.88622650237176</v>
      </c>
      <c r="T133" s="59">
        <f t="shared" ref="T133:T196" si="142">$T$3</f>
        <v>396.05161661639647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87.23816539730737</v>
      </c>
      <c r="AA133" s="21">
        <f>EXP(-LN(2)/25)*AA132+(1-EXP(-LN(2)/25))/(LN(2)/25)*Calculateur!V133*Calculateur!X133*VLOOKUP('Données projet'!$B$9,Paramètres!$A$1:$I$89,3,0)*0.475*44/12</f>
        <v>8.7210716729044577</v>
      </c>
      <c r="AB133" s="21">
        <f>EXP(-LN(2)/2)*AB132+(1-EXP(-LN(2)/2))/(LN(2)/2)*V133*Y133*VLOOKUP('Données projet'!$B$9,Paramètres!$A$1:$I$89,3,0)*0.475*44/12</f>
        <v>3.0618476868566967E-7</v>
      </c>
      <c r="AC133" s="22">
        <f t="shared" si="111"/>
        <v>95.959237376396601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-4.5474735088646412E-13</v>
      </c>
      <c r="AJ133" s="13">
        <f>AI133*VLOOKUP('Données projet'!$B$10,Paramètres!$A$1:$I$89,3,0)*VLOOKUP('Données projet'!$B$10,Paramètres!$A$1:$I$89,5,0)</f>
        <v>-2.1282176021486519E-13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387.50901594883317</v>
      </c>
      <c r="AO133" s="59">
        <f t="shared" ref="AO133:AO196" si="144">$AO$3</f>
        <v>361.3623790401972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139.46685368703393</v>
      </c>
      <c r="AV133" s="21">
        <f>EXP(-LN(2)/25)*AV132+(1-EXP(-LN(2)/25))/(LN(2)/25)*Calculateur!AQ133*Calculateur!AS133*VLOOKUP('Données projet'!$B$10,Paramètres!$A$1:$I$89,3,0)*0.475*44/12</f>
        <v>17.276783574112081</v>
      </c>
      <c r="AW133" s="21">
        <f>EXP(-LN(2)/2)*AW132+(1-EXP(-LN(2)/2))/(LN(2)/2)*AQ133*AT133*VLOOKUP('Données projet'!$B$10,Paramètres!$A$1:$I$89,3,0)*0.475*44/12</f>
        <v>3.0071624524366522E-3</v>
      </c>
      <c r="AX133" s="21">
        <f t="shared" si="114"/>
        <v>156.74664442359844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8.0699999999999985</v>
      </c>
      <c r="BD133" s="12">
        <f>IF('Données projet'!$A$88&gt;35,BD132+BC133-BL132,IF(A133&lt;'Données projet'!$A$88,$BA$205^A133,IF(A133='Données projet'!$A$88,'Données projet'!$B$88,BD132+BC133-BL132)))</f>
        <v>404.31000000000068</v>
      </c>
      <c r="BE133" s="13">
        <f>BD133*VLOOKUP('Données projet'!$B$11,Paramètres!$A$1:$I$89,3,0)*VLOOKUP('Données projet'!$B$11,Paramètres!$A$1:$I$89,5,0)</f>
        <v>365.81968800000061</v>
      </c>
      <c r="BF133" s="13">
        <f t="shared" ref="BF133:BF153" si="145">EXP(-1.0587+0.8836*LN(BE133)+0.284)</f>
        <v>84.811521093342051</v>
      </c>
      <c r="BG133" s="20">
        <f t="shared" si="115"/>
        <v>784.84935583757169</v>
      </c>
      <c r="BH133" s="59">
        <f t="shared" si="116"/>
        <v>1068.7596392310038</v>
      </c>
      <c r="BI133" s="59">
        <f ca="1">AVERAGE(OFFSET($BH$3,0,0,'Données projet'!$E$11+1,1))-AVERAGE(OFFSET($H$3,0,0,'Données projet'!$E$11+1,1))</f>
        <v>627.65081154031589</v>
      </c>
      <c r="BJ133" s="59">
        <f t="shared" ref="BJ133:BJ196" si="146">$BJ$3</f>
        <v>288.78083487077618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49.800478996211815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49.800478996211815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8.0699999999999985</v>
      </c>
      <c r="BY133" s="12">
        <f>IF('Données projet'!$A$114&gt;35,BY132+BX133-CG132,IF(A133&lt;'Données projet'!$A$114,$BV$205^A133,IF(A133='Données projet'!$A$114,'Données projet'!$B$114,BY132+BX133-CG132)))</f>
        <v>404.31000000000068</v>
      </c>
      <c r="BZ133" s="13">
        <f>BY133*VLOOKUP('Données projet'!$B$12,Paramètres!$A$1:$I$89,3,0)*VLOOKUP('Données projet'!$B$12,Paramètres!$A$1:$I$89,5,0)</f>
        <v>409.9703400000007</v>
      </c>
      <c r="CA133" s="13">
        <f t="shared" ref="CA133:CA153" si="147">EXP(-1.0587+0.8836*LN(BZ133)+0.284)</f>
        <v>93.795093175328134</v>
      </c>
      <c r="CB133" s="20">
        <f t="shared" si="118"/>
        <v>877.39146278036435</v>
      </c>
      <c r="CC133" s="59">
        <f t="shared" si="119"/>
        <v>1161.3017461737963</v>
      </c>
      <c r="CD133" s="59">
        <f ca="1">AVERAGE(OFFSET($CC$3,0,0,'Données projet'!$E$12+1,1))-AVERAGE(OFFSET($H$3,0,0,'Données projet'!$E$12+1,1))</f>
        <v>692.2706942067415</v>
      </c>
      <c r="CE133" s="59">
        <f t="shared" ref="CE133:CE196" si="148">$CE$3</f>
        <v>316.17529091924803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55.810881633685639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55.810881633685639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282</v>
      </c>
      <c r="CR133" s="12">
        <f>VLOOKUP(A133,'Données projet'!$A$139:$I$159,9,0)</f>
        <v>4.5999999999999996</v>
      </c>
      <c r="CS133" s="12">
        <f t="array" ref="CS133">INDEX(CR:CR,MIN(IF(ISNUMBER(CR133:CR329),ROW(CR133:CR329),"")))</f>
        <v>4.5999999999999996</v>
      </c>
      <c r="CT133" s="12">
        <f>IF('Données projet'!$A$140&gt;35,CT132+CS133-DB132,IF(A133&lt;'Données projet'!$A$140,$CQ$205^A133,IF(A133='Données projet'!$A$140,'Données projet'!$B$140,CT132+CS133-DB132)))</f>
        <v>282.00000000000011</v>
      </c>
      <c r="CU133" s="17">
        <f>CT133*VLOOKUP('Données projet'!$B$13,Paramètres!$A$1:$I$89,3,0)*VLOOKUP('Données projet'!$B$13,Paramètres!$A$1:$I$89,5,0)</f>
        <v>268.35120000000012</v>
      </c>
      <c r="CV133" s="13">
        <f t="shared" ref="CV133:CV153" si="149">EXP(-1.0587+0.8836*LN(CU133)+0.284)</f>
        <v>64.499227668096125</v>
      </c>
      <c r="CW133" s="20">
        <f t="shared" si="121"/>
        <v>579.71449485526762</v>
      </c>
      <c r="CX133" s="59">
        <f t="shared" si="122"/>
        <v>863.62477824869973</v>
      </c>
      <c r="CY133" s="59">
        <f ca="1">AVERAGE(OFFSET($CX$3,0,0,'Données projet'!$E$13+1,1))-AVERAGE(OFFSET($H$3,0,0,'Données projet'!$E$13+1,1))</f>
        <v>424.5933338095914</v>
      </c>
      <c r="CZ133" s="59">
        <f t="shared" ref="CZ133:CZ196" si="150">$CZ$3</f>
        <v>159.28977188196134</v>
      </c>
      <c r="DA133" s="15">
        <f>IF(ISNA(VLOOKUP(A133,'Données projet'!$A$139:$I$159,3,0)),0,VLOOKUP(A133,'Données projet'!$A$139:$I$159,3,0))</f>
        <v>20</v>
      </c>
      <c r="DB133" s="15">
        <f>IF(ISNA(VLOOKUP(A133,'Données projet'!$A$139:$I$159,4,0)),0,VLOOKUP(A133,'Données projet'!$A$139:$I$159,4,0))</f>
        <v>282</v>
      </c>
      <c r="DC133" s="16">
        <f>IF(ISNA(VLOOKUP(A133,'Données projet'!$A$139:$I$159,5,0)),0%,VLOOKUP(A133,'Données projet'!$A$139:$I$159,5,0)*VLOOKUP('Données projet'!$B$13,Paramètres!$A$1:$I$89,7,0))</f>
        <v>0.34400000000000003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159.07276267267636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159.07276267267636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-18.333333333333343</v>
      </c>
      <c r="DU133" s="59">
        <f t="shared" ref="DU133:DU196" si="152">$DU$3</f>
        <v>-18.333333333333343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-18.333333333333343</v>
      </c>
      <c r="EP133" s="59">
        <f t="shared" ref="EP133:EP196" si="154">$EP$3</f>
        <v>-18.333333333333343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8.0699999999999985</v>
      </c>
      <c r="FE133" s="12">
        <f>IF('Données projet'!$A$218&gt;35,FE132+FD133-FM132,IF(A133&lt;'Données projet'!$A$218,$FB$205^A133,IF(A133='Données projet'!$A$218,'Données projet'!$B$218,FE132+FD133-FM132)))</f>
        <v>404.31000000000068</v>
      </c>
      <c r="FF133" s="17">
        <f>FE133*VLOOKUP('Données projet'!$B$16,Paramètres!$A$1:$I$89,3,0)*VLOOKUP('Données projet'!$B$16,Paramètres!$A$1:$I$89,5,0)</f>
        <v>391.04863200000068</v>
      </c>
      <c r="FG133" s="13">
        <f t="shared" ref="FG133:FG153" si="155">EXP(-1.0587+0.8836*LN(FF133)+0.284)</f>
        <v>89.959529234718644</v>
      </c>
      <c r="FH133" s="20">
        <f t="shared" si="130"/>
        <v>837.75588081713613</v>
      </c>
      <c r="FI133" s="59">
        <f t="shared" si="131"/>
        <v>1121.6661642105682</v>
      </c>
      <c r="FJ133" s="59">
        <f ca="1">AVERAGE(OFFSET($FI$3,0,0,'Données projet'!$E$16+1,1))-AVERAGE(OFFSET($H$3,0,0,'Données projet'!$E$16+1,1))</f>
        <v>664.59451650228573</v>
      </c>
      <c r="FK133" s="59">
        <f t="shared" ref="FK133:FK196" si="156">$FK$3</f>
        <v>304.44325029106631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53.234994789053985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53.234994789053985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-6.8212102632969618E-13</v>
      </c>
      <c r="O134" s="13">
        <f>N134*VLOOKUP('Données projet'!$B$9,Paramètres!$A$1:$I$89,3,0)*VLOOKUP('Données projet'!$B$9,Paramètres!$A$1:$I$89,5,0)</f>
        <v>-4.0790837374515837E-13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460.88622650237176</v>
      </c>
      <c r="T134" s="59">
        <f t="shared" si="142"/>
        <v>396.05161661639647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85.52747818389301</v>
      </c>
      <c r="AA134" s="21">
        <f>EXP(-LN(2)/25)*AA133+(1-EXP(-LN(2)/25))/(LN(2)/25)*Calculateur!V134*Calculateur!X134*VLOOKUP('Données projet'!$B$9,Paramètres!$A$1:$I$89,3,0)*0.475*44/12</f>
        <v>8.4825935093876588</v>
      </c>
      <c r="AB134" s="21">
        <f>EXP(-LN(2)/2)*AB133+(1-EXP(-LN(2)/2))/(LN(2)/2)*V134*Y134*VLOOKUP('Données projet'!$B$9,Paramètres!$A$1:$I$89,3,0)*0.475*44/12</f>
        <v>2.1650532623367149E-7</v>
      </c>
      <c r="AC134" s="22">
        <f t="shared" si="111"/>
        <v>94.010071909785992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-4.5474735088646412E-13</v>
      </c>
      <c r="AJ134" s="13">
        <f>AI134*VLOOKUP('Données projet'!$B$10,Paramètres!$A$1:$I$89,3,0)*VLOOKUP('Données projet'!$B$10,Paramètres!$A$1:$I$89,5,0)</f>
        <v>-2.1282176021486519E-13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387.50901594883317</v>
      </c>
      <c r="AO134" s="59">
        <f t="shared" si="144"/>
        <v>361.3623790401972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136.73199375261234</v>
      </c>
      <c r="AV134" s="21">
        <f>EXP(-LN(2)/25)*AV133+(1-EXP(-LN(2)/25))/(LN(2)/25)*Calculateur!AQ134*Calculateur!AS134*VLOOKUP('Données projet'!$B$10,Paramètres!$A$1:$I$89,3,0)*0.475*44/12</f>
        <v>16.804349018731426</v>
      </c>
      <c r="AW134" s="21">
        <f>EXP(-LN(2)/2)*AW133+(1-EXP(-LN(2)/2))/(LN(2)/2)*AQ134*AT134*VLOOKUP('Données projet'!$B$10,Paramètres!$A$1:$I$89,3,0)*0.475*44/12</f>
        <v>2.1263849622475254E-3</v>
      </c>
      <c r="AX134" s="21">
        <f t="shared" si="114"/>
        <v>153.53846915630601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8.0699999999999985</v>
      </c>
      <c r="BD134" s="12">
        <f>IF('Données projet'!$A$88&gt;35,BD133+BC134-BL133,IF(A134&lt;'Données projet'!$A$88,$BA$205^A134,IF(A134='Données projet'!$A$88,'Données projet'!$B$88,BD133+BC134-BL133)))</f>
        <v>412.38000000000068</v>
      </c>
      <c r="BE134" s="13">
        <f>BD134*VLOOKUP('Données projet'!$B$11,Paramètres!$A$1:$I$89,3,0)*VLOOKUP('Données projet'!$B$11,Paramètres!$A$1:$I$89,5,0)</f>
        <v>373.12142400000062</v>
      </c>
      <c r="BF134" s="13">
        <f t="shared" si="145"/>
        <v>86.305582764533938</v>
      </c>
      <c r="BG134" s="20">
        <f t="shared" si="115"/>
        <v>800.16870344823099</v>
      </c>
      <c r="BH134" s="59">
        <f t="shared" si="116"/>
        <v>1084.2424556913368</v>
      </c>
      <c r="BI134" s="59">
        <f ca="1">AVERAGE(OFFSET($BH$3,0,0,'Données projet'!$E$11+1,1))-AVERAGE(OFFSET($H$3,0,0,'Données projet'!$E$11+1,1))</f>
        <v>627.65081154031589</v>
      </c>
      <c r="BJ134" s="59">
        <f t="shared" si="146"/>
        <v>288.78083487077618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48.823921978388981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48.823921978388981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8.0699999999999985</v>
      </c>
      <c r="BY134" s="12">
        <f>IF('Données projet'!$A$114&gt;35,BY133+BX134-CG133,IF(A134&lt;'Données projet'!$A$114,$BV$205^A134,IF(A134='Données projet'!$A$114,'Données projet'!$B$114,BY133+BX134-CG133)))</f>
        <v>412.38000000000068</v>
      </c>
      <c r="BZ134" s="13">
        <f>BY134*VLOOKUP('Données projet'!$B$12,Paramètres!$A$1:$I$89,3,0)*VLOOKUP('Données projet'!$B$12,Paramètres!$A$1:$I$89,5,0)</f>
        <v>418.15332000000069</v>
      </c>
      <c r="CA134" s="13">
        <f t="shared" si="147"/>
        <v>95.44741177370463</v>
      </c>
      <c r="CB134" s="20">
        <f t="shared" si="118"/>
        <v>894.52127450587011</v>
      </c>
      <c r="CC134" s="59">
        <f t="shared" si="119"/>
        <v>1178.5950267489759</v>
      </c>
      <c r="CD134" s="59">
        <f ca="1">AVERAGE(OFFSET($CC$3,0,0,'Données projet'!$E$12+1,1))-AVERAGE(OFFSET($H$3,0,0,'Données projet'!$E$12+1,1))</f>
        <v>692.2706942067415</v>
      </c>
      <c r="CE134" s="59">
        <f t="shared" si="148"/>
        <v>316.17529091924803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54.716464286125564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54.716464286125564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1.1368683772161603E-13</v>
      </c>
      <c r="CU134" s="17">
        <f>CT134*VLOOKUP('Données projet'!$B$13,Paramètres!$A$1:$I$89,3,0)*VLOOKUP('Données projet'!$B$13,Paramètres!$A$1:$I$89,5,0)</f>
        <v>1.0818439477588981E-13</v>
      </c>
      <c r="CV134" s="13">
        <f t="shared" si="149"/>
        <v>1.6104228458716316E-12</v>
      </c>
      <c r="CW134" s="20">
        <f t="shared" si="121"/>
        <v>2.9932409441277661E-12</v>
      </c>
      <c r="CX134" s="59">
        <f t="shared" si="122"/>
        <v>284.07375224310874</v>
      </c>
      <c r="CY134" s="59">
        <f ca="1">AVERAGE(OFFSET($CX$3,0,0,'Données projet'!$E$13+1,1))-AVERAGE(OFFSET($H$3,0,0,'Données projet'!$E$13+1,1))</f>
        <v>424.5933338095914</v>
      </c>
      <c r="CZ134" s="59">
        <f t="shared" si="150"/>
        <v>159.28977188196134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155.95344282146999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155.95344282146999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-18.333333333333343</v>
      </c>
      <c r="DU134" s="59">
        <f t="shared" si="152"/>
        <v>-18.333333333333343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-18.333333333333343</v>
      </c>
      <c r="EP134" s="59">
        <f t="shared" si="154"/>
        <v>-18.333333333333343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8.0699999999999985</v>
      </c>
      <c r="FE134" s="12">
        <f>IF('Données projet'!$A$218&gt;35,FE133+FD134-FM133,IF(A134&lt;'Données projet'!$A$218,$FB$205^A134,IF(A134='Données projet'!$A$218,'Données projet'!$B$218,FE133+FD134-FM133)))</f>
        <v>412.38000000000068</v>
      </c>
      <c r="FF134" s="17">
        <f>FE134*VLOOKUP('Données projet'!$B$16,Paramètres!$A$1:$I$89,3,0)*VLOOKUP('Données projet'!$B$16,Paramètres!$A$1:$I$89,5,0)</f>
        <v>398.85393600000066</v>
      </c>
      <c r="FG134" s="13">
        <f t="shared" si="155"/>
        <v>91.54427954759349</v>
      </c>
      <c r="FH134" s="20">
        <f t="shared" si="130"/>
        <v>854.11022541205978</v>
      </c>
      <c r="FI134" s="59">
        <f t="shared" si="131"/>
        <v>1138.1839776551656</v>
      </c>
      <c r="FJ134" s="59">
        <f ca="1">AVERAGE(OFFSET($FI$3,0,0,'Données projet'!$E$16+1,1))-AVERAGE(OFFSET($H$3,0,0,'Données projet'!$E$16+1,1))</f>
        <v>664.59451650228573</v>
      </c>
      <c r="FK134" s="59">
        <f t="shared" si="156"/>
        <v>304.44325029106631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52.191089011381301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52.191089011381301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-6.8212102632969618E-13</v>
      </c>
      <c r="O135" s="13">
        <f>N135*VLOOKUP('Données projet'!$B$9,Paramètres!$A$1:$I$89,3,0)*VLOOKUP('Données projet'!$B$9,Paramètres!$A$1:$I$89,5,0)</f>
        <v>-4.0790837374515837E-13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460.88622650237176</v>
      </c>
      <c r="T135" s="59">
        <f t="shared" si="142"/>
        <v>396.05161661639647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83.850336503317536</v>
      </c>
      <c r="AA135" s="21">
        <f>EXP(-LN(2)/25)*AA134+(1-EXP(-LN(2)/25))/(LN(2)/25)*Calculateur!V135*Calculateur!X135*VLOOKUP('Données projet'!$B$9,Paramètres!$A$1:$I$89,3,0)*0.475*44/12</f>
        <v>8.250636543793247</v>
      </c>
      <c r="AB135" s="21">
        <f>EXP(-LN(2)/2)*AB134+(1-EXP(-LN(2)/2))/(LN(2)/2)*V135*Y135*VLOOKUP('Données projet'!$B$9,Paramètres!$A$1:$I$89,3,0)*0.475*44/12</f>
        <v>1.5309238434283483E-7</v>
      </c>
      <c r="AC135" s="22">
        <f t="shared" si="111"/>
        <v>92.100973200203171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-4.5474735088646412E-13</v>
      </c>
      <c r="AJ135" s="13">
        <f>AI135*VLOOKUP('Données projet'!$B$10,Paramètres!$A$1:$I$89,3,0)*VLOOKUP('Données projet'!$B$10,Paramètres!$A$1:$I$89,5,0)</f>
        <v>-2.1282176021486519E-13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387.50901594883317</v>
      </c>
      <c r="AO135" s="59">
        <f t="shared" si="144"/>
        <v>361.3623790401972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134.05076275340491</v>
      </c>
      <c r="AV135" s="21">
        <f>EXP(-LN(2)/25)*AV134+(1-EXP(-LN(2)/25))/(LN(2)/25)*Calculateur!AQ135*Calculateur!AS135*VLOOKUP('Données projet'!$B$10,Paramètres!$A$1:$I$89,3,0)*0.475*44/12</f>
        <v>16.344833211111908</v>
      </c>
      <c r="AW135" s="21">
        <f>EXP(-LN(2)/2)*AW134+(1-EXP(-LN(2)/2))/(LN(2)/2)*AQ135*AT135*VLOOKUP('Données projet'!$B$10,Paramètres!$A$1:$I$89,3,0)*0.475*44/12</f>
        <v>1.5035812262183261E-3</v>
      </c>
      <c r="AX135" s="21">
        <f t="shared" si="114"/>
        <v>150.39709954574303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8.0699999999999985</v>
      </c>
      <c r="BD135" s="12">
        <f>IF('Données projet'!$A$88&gt;35,BD134+BC135-BL134,IF(A135&lt;'Données projet'!$A$88,$BA$205^A135,IF(A135='Données projet'!$A$88,'Données projet'!$B$88,BD134+BC135-BL134)))</f>
        <v>420.45000000000067</v>
      </c>
      <c r="BE135" s="13">
        <f>BD135*VLOOKUP('Données projet'!$B$11,Paramètres!$A$1:$I$89,3,0)*VLOOKUP('Données projet'!$B$11,Paramètres!$A$1:$I$89,5,0)</f>
        <v>380.42316000000056</v>
      </c>
      <c r="BF135" s="13">
        <f t="shared" si="145"/>
        <v>87.79624480137376</v>
      </c>
      <c r="BG135" s="20">
        <f t="shared" si="115"/>
        <v>815.48213002906016</v>
      </c>
      <c r="BH135" s="59">
        <f t="shared" si="116"/>
        <v>1099.7165153027593</v>
      </c>
      <c r="BI135" s="59">
        <f ca="1">AVERAGE(OFFSET($BH$3,0,0,'Données projet'!$E$11+1,1))-AVERAGE(OFFSET($H$3,0,0,'Données projet'!$E$11+1,1))</f>
        <v>627.65081154031589</v>
      </c>
      <c r="BJ135" s="59">
        <f t="shared" si="146"/>
        <v>288.78083487077618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47.866514648044685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47.866514648044685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8.0699999999999985</v>
      </c>
      <c r="BY135" s="12">
        <f>IF('Données projet'!$A$114&gt;35,BY134+BX135-CG134,IF(A135&lt;'Données projet'!$A$114,$BV$205^A135,IF(A135='Données projet'!$A$114,'Données projet'!$B$114,BY134+BX135-CG134)))</f>
        <v>420.45000000000067</v>
      </c>
      <c r="BZ135" s="13">
        <f>BY135*VLOOKUP('Données projet'!$B$12,Paramètres!$A$1:$I$89,3,0)*VLOOKUP('Données projet'!$B$12,Paramètres!$A$1:$I$89,5,0)</f>
        <v>426.33630000000073</v>
      </c>
      <c r="CA135" s="13">
        <f t="shared" si="147"/>
        <v>97.095970634999375</v>
      </c>
      <c r="CB135" s="20">
        <f t="shared" si="118"/>
        <v>911.64453802262517</v>
      </c>
      <c r="CC135" s="59">
        <f t="shared" si="119"/>
        <v>1195.8789232963243</v>
      </c>
      <c r="CD135" s="59">
        <f ca="1">AVERAGE(OFFSET($CC$3,0,0,'Données projet'!$E$12+1,1))-AVERAGE(OFFSET($H$3,0,0,'Données projet'!$E$12+1,1))</f>
        <v>692.2706942067415</v>
      </c>
      <c r="CE135" s="59">
        <f t="shared" si="148"/>
        <v>316.17529091924803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53.643507795222476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53.643507795222476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1.1368683772161603E-13</v>
      </c>
      <c r="CU135" s="17">
        <f>CT135*VLOOKUP('Données projet'!$B$13,Paramètres!$A$1:$I$89,3,0)*VLOOKUP('Données projet'!$B$13,Paramètres!$A$1:$I$89,5,0)</f>
        <v>1.0818439477588981E-13</v>
      </c>
      <c r="CV135" s="13">
        <f t="shared" si="149"/>
        <v>1.6104228458716316E-12</v>
      </c>
      <c r="CW135" s="20">
        <f t="shared" si="121"/>
        <v>2.9932409441277661E-12</v>
      </c>
      <c r="CX135" s="59">
        <f t="shared" si="122"/>
        <v>284.23438527370217</v>
      </c>
      <c r="CY135" s="59">
        <f ca="1">AVERAGE(OFFSET($CX$3,0,0,'Données projet'!$E$13+1,1))-AVERAGE(OFFSET($H$3,0,0,'Données projet'!$E$13+1,1))</f>
        <v>424.5933338095914</v>
      </c>
      <c r="CZ135" s="59">
        <f t="shared" si="150"/>
        <v>159.28977188196134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152.89529092994854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152.89529092994854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-18.333333333333343</v>
      </c>
      <c r="DU135" s="59">
        <f t="shared" si="152"/>
        <v>-18.333333333333343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-18.333333333333343</v>
      </c>
      <c r="EP135" s="59">
        <f t="shared" si="154"/>
        <v>-18.333333333333343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8.0699999999999985</v>
      </c>
      <c r="FE135" s="12">
        <f>IF('Données projet'!$A$218&gt;35,FE134+FD135-FM134,IF(A135&lt;'Données projet'!$A$218,$FB$205^A135,IF(A135='Données projet'!$A$218,'Données projet'!$B$218,FE134+FD135-FM134)))</f>
        <v>420.45000000000067</v>
      </c>
      <c r="FF135" s="17">
        <f>FE135*VLOOKUP('Données projet'!$B$16,Paramètres!$A$1:$I$89,3,0)*VLOOKUP('Données projet'!$B$16,Paramètres!$A$1:$I$89,5,0)</f>
        <v>406.65924000000069</v>
      </c>
      <c r="FG135" s="13">
        <f t="shared" si="155"/>
        <v>93.125423870362923</v>
      </c>
      <c r="FH135" s="20">
        <f t="shared" si="130"/>
        <v>870.45828957421656</v>
      </c>
      <c r="FI135" s="59">
        <f t="shared" si="131"/>
        <v>1154.6926748479157</v>
      </c>
      <c r="FJ135" s="59">
        <f ca="1">AVERAGE(OFFSET($FI$3,0,0,'Données projet'!$E$16+1,1))-AVERAGE(OFFSET($H$3,0,0,'Données projet'!$E$16+1,1))</f>
        <v>664.59451650228573</v>
      </c>
      <c r="FK135" s="59">
        <f t="shared" si="156"/>
        <v>304.44325029106631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51.167653589289124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51.167653589289124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-6.8212102632969618E-13</v>
      </c>
      <c r="O136" s="13">
        <f>N136*VLOOKUP('Données projet'!$B$9,Paramètres!$A$1:$I$89,3,0)*VLOOKUP('Données projet'!$B$9,Paramètres!$A$1:$I$89,5,0)</f>
        <v>-4.0790837374515837E-13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460.88622650237176</v>
      </c>
      <c r="T136" s="59">
        <f t="shared" si="142"/>
        <v>396.05161661639647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82.206082548142732</v>
      </c>
      <c r="AA136" s="21">
        <f>EXP(-LN(2)/25)*AA135+(1-EXP(-LN(2)/25))/(LN(2)/25)*Calculateur!V136*Calculateur!X136*VLOOKUP('Données projet'!$B$9,Paramètres!$A$1:$I$89,3,0)*0.475*44/12</f>
        <v>8.0250224536211014</v>
      </c>
      <c r="AB136" s="21">
        <f>EXP(-LN(2)/2)*AB135+(1-EXP(-LN(2)/2))/(LN(2)/2)*V136*Y136*VLOOKUP('Données projet'!$B$9,Paramètres!$A$1:$I$89,3,0)*0.475*44/12</f>
        <v>1.0825266311683575E-7</v>
      </c>
      <c r="AC136" s="22">
        <f t="shared" si="111"/>
        <v>90.2311051100165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-4.5474735088646412E-13</v>
      </c>
      <c r="AJ136" s="13">
        <f>AI136*VLOOKUP('Données projet'!$B$10,Paramètres!$A$1:$I$89,3,0)*VLOOKUP('Données projet'!$B$10,Paramètres!$A$1:$I$89,5,0)</f>
        <v>-2.1282176021486519E-13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387.50901594883317</v>
      </c>
      <c r="AO136" s="59">
        <f t="shared" si="144"/>
        <v>361.3623790401972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131.42210905870252</v>
      </c>
      <c r="AV136" s="21">
        <f>EXP(-LN(2)/25)*AV135+(1-EXP(-LN(2)/25))/(LN(2)/25)*Calculateur!AQ136*Calculateur!AS136*VLOOKUP('Données projet'!$B$10,Paramètres!$A$1:$I$89,3,0)*0.475*44/12</f>
        <v>15.89788288741663</v>
      </c>
      <c r="AW136" s="21">
        <f>EXP(-LN(2)/2)*AW135+(1-EXP(-LN(2)/2))/(LN(2)/2)*AQ136*AT136*VLOOKUP('Données projet'!$B$10,Paramètres!$A$1:$I$89,3,0)*0.475*44/12</f>
        <v>1.0631924811237627E-3</v>
      </c>
      <c r="AX136" s="21">
        <f t="shared" si="114"/>
        <v>147.32105513860029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8.0699999999999985</v>
      </c>
      <c r="BD136" s="12">
        <f>IF('Données projet'!$A$88&gt;35,BD135+BC136-BL135,IF(A136&lt;'Données projet'!$A$88,$BA$205^A136,IF(A136='Données projet'!$A$88,'Données projet'!$B$88,BD135+BC136-BL135)))</f>
        <v>428.52000000000066</v>
      </c>
      <c r="BE136" s="13">
        <f>BD136*VLOOKUP('Données projet'!$B$11,Paramètres!$A$1:$I$89,3,0)*VLOOKUP('Données projet'!$B$11,Paramètres!$A$1:$I$89,5,0)</f>
        <v>387.72489600000057</v>
      </c>
      <c r="BF136" s="13">
        <f t="shared" si="145"/>
        <v>89.283579978484866</v>
      </c>
      <c r="BG136" s="20">
        <f t="shared" si="115"/>
        <v>830.78976232919547</v>
      </c>
      <c r="BH136" s="59">
        <f t="shared" si="116"/>
        <v>1115.1819940095288</v>
      </c>
      <c r="BI136" s="59">
        <f ca="1">AVERAGE(OFFSET($BH$3,0,0,'Données projet'!$E$11+1,1))-AVERAGE(OFFSET($H$3,0,0,'Données projet'!$E$11+1,1))</f>
        <v>627.65081154031589</v>
      </c>
      <c r="BJ136" s="59">
        <f t="shared" si="146"/>
        <v>288.78083487077618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46.927881491487632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46.927881491487632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8.0699999999999985</v>
      </c>
      <c r="BY136" s="12">
        <f>IF('Données projet'!$A$114&gt;35,BY135+BX136-CG135,IF(A136&lt;'Données projet'!$A$114,$BV$205^A136,IF(A136='Données projet'!$A$114,'Données projet'!$B$114,BY135+BX136-CG135)))</f>
        <v>428.52000000000066</v>
      </c>
      <c r="BZ136" s="13">
        <f>BY136*VLOOKUP('Données projet'!$B$12,Paramètres!$A$1:$I$89,3,0)*VLOOKUP('Données projet'!$B$12,Paramètres!$A$1:$I$89,5,0)</f>
        <v>434.51928000000072</v>
      </c>
      <c r="CA136" s="13">
        <f t="shared" si="147"/>
        <v>98.740850242411952</v>
      </c>
      <c r="CB136" s="20">
        <f t="shared" si="118"/>
        <v>928.76139350553524</v>
      </c>
      <c r="CC136" s="59">
        <f t="shared" si="119"/>
        <v>1213.1536251858686</v>
      </c>
      <c r="CD136" s="59">
        <f ca="1">AVERAGE(OFFSET($CC$3,0,0,'Données projet'!$E$12+1,1))-AVERAGE(OFFSET($H$3,0,0,'Données projet'!$E$12+1,1))</f>
        <v>692.2706942067415</v>
      </c>
      <c r="CE136" s="59">
        <f t="shared" si="148"/>
        <v>316.17529091924803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52.591591326667157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52.591591326667157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1.1368683772161603E-13</v>
      </c>
      <c r="CU136" s="17">
        <f>CT136*VLOOKUP('Données projet'!$B$13,Paramètres!$A$1:$I$89,3,0)*VLOOKUP('Données projet'!$B$13,Paramètres!$A$1:$I$89,5,0)</f>
        <v>1.0818439477588981E-13</v>
      </c>
      <c r="CV136" s="13">
        <f t="shared" si="149"/>
        <v>1.6104228458716316E-12</v>
      </c>
      <c r="CW136" s="20">
        <f t="shared" si="121"/>
        <v>2.9932409441277661E-12</v>
      </c>
      <c r="CX136" s="59">
        <f t="shared" si="122"/>
        <v>284.39223168033641</v>
      </c>
      <c r="CY136" s="59">
        <f ca="1">AVERAGE(OFFSET($CX$3,0,0,'Données projet'!$E$13+1,1))-AVERAGE(OFFSET($H$3,0,0,'Données projet'!$E$13+1,1))</f>
        <v>424.5933338095914</v>
      </c>
      <c r="CZ136" s="59">
        <f t="shared" si="150"/>
        <v>159.28977188196134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149.89710753173136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149.89710753173136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-18.333333333333343</v>
      </c>
      <c r="DU136" s="59">
        <f t="shared" si="152"/>
        <v>-18.333333333333343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-18.333333333333343</v>
      </c>
      <c r="EP136" s="59">
        <f t="shared" si="154"/>
        <v>-18.333333333333343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8.0699999999999985</v>
      </c>
      <c r="FE136" s="12">
        <f>IF('Données projet'!$A$218&gt;35,FE135+FD136-FM135,IF(A136&lt;'Données projet'!$A$218,$FB$205^A136,IF(A136='Données projet'!$A$218,'Données projet'!$B$218,FE135+FD136-FM135)))</f>
        <v>428.52000000000066</v>
      </c>
      <c r="FF136" s="17">
        <f>FE136*VLOOKUP('Données projet'!$B$16,Paramètres!$A$1:$I$89,3,0)*VLOOKUP('Données projet'!$B$16,Paramètres!$A$1:$I$89,5,0)</f>
        <v>414.46454400000067</v>
      </c>
      <c r="FG136" s="13">
        <f t="shared" si="155"/>
        <v>94.703039395025982</v>
      </c>
      <c r="FH136" s="20">
        <f t="shared" si="130"/>
        <v>886.80020774633806</v>
      </c>
      <c r="FI136" s="59">
        <f t="shared" si="131"/>
        <v>1171.1924394266714</v>
      </c>
      <c r="FJ136" s="59">
        <f ca="1">AVERAGE(OFFSET($FI$3,0,0,'Données projet'!$E$16+1,1))-AVERAGE(OFFSET($H$3,0,0,'Données projet'!$E$16+1,1))</f>
        <v>664.59451650228573</v>
      </c>
      <c r="FK136" s="59">
        <f t="shared" si="156"/>
        <v>304.44325029106631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50.164287111590205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50.164287111590205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-6.8212102632969618E-13</v>
      </c>
      <c r="O137" s="13">
        <f>N137*VLOOKUP('Données projet'!$B$9,Paramètres!$A$1:$I$89,3,0)*VLOOKUP('Données projet'!$B$9,Paramètres!$A$1:$I$89,5,0)</f>
        <v>-4.0790837374515837E-13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460.88622650237176</v>
      </c>
      <c r="T137" s="59">
        <f t="shared" si="142"/>
        <v>396.05161661639647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80.594071410133012</v>
      </c>
      <c r="AA137" s="21">
        <f>EXP(-LN(2)/25)*AA136+(1-EXP(-LN(2)/25))/(LN(2)/25)*Calculateur!V137*Calculateur!X137*VLOOKUP('Données projet'!$B$9,Paramètres!$A$1:$I$89,3,0)*0.475*44/12</f>
        <v>7.8055777926092427</v>
      </c>
      <c r="AB137" s="21">
        <f>EXP(-LN(2)/2)*AB136+(1-EXP(-LN(2)/2))/(LN(2)/2)*V137*Y137*VLOOKUP('Données projet'!$B$9,Paramètres!$A$1:$I$89,3,0)*0.475*44/12</f>
        <v>7.6546192171417417E-8</v>
      </c>
      <c r="AC137" s="22">
        <f t="shared" si="111"/>
        <v>88.39964927928844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-4.5474735088646412E-13</v>
      </c>
      <c r="AJ137" s="13">
        <f>AI137*VLOOKUP('Données projet'!$B$10,Paramètres!$A$1:$I$89,3,0)*VLOOKUP('Données projet'!$B$10,Paramètres!$A$1:$I$89,5,0)</f>
        <v>-2.1282176021486519E-13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387.50901594883317</v>
      </c>
      <c r="AO137" s="59">
        <f t="shared" si="144"/>
        <v>361.3623790401972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128.8450016596328</v>
      </c>
      <c r="AV137" s="21">
        <f>EXP(-LN(2)/25)*AV136+(1-EXP(-LN(2)/25))/(LN(2)/25)*Calculateur!AQ137*Calculateur!AS137*VLOOKUP('Données projet'!$B$10,Paramètres!$A$1:$I$89,3,0)*0.475*44/12</f>
        <v>15.463154443826896</v>
      </c>
      <c r="AW137" s="21">
        <f>EXP(-LN(2)/2)*AW136+(1-EXP(-LN(2)/2))/(LN(2)/2)*AQ137*AT137*VLOOKUP('Données projet'!$B$10,Paramètres!$A$1:$I$89,3,0)*0.475*44/12</f>
        <v>7.5179061310916306E-4</v>
      </c>
      <c r="AX137" s="21">
        <f t="shared" si="114"/>
        <v>144.30890789407283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436.59</v>
      </c>
      <c r="BB137" s="12">
        <f>VLOOKUP(A137,'Données projet'!$A$87:$I$107,9,0)</f>
        <v>8.0699999999999985</v>
      </c>
      <c r="BC137" s="12">
        <f t="array" ref="BC137">INDEX(BB:BB,MIN(IF(ISNUMBER(BB137:BB333),ROW(BB137:BB333),"")))</f>
        <v>8.0699999999999985</v>
      </c>
      <c r="BD137" s="12">
        <f>IF('Données projet'!$A$88&gt;35,BD136+BC137-BL136,IF(A137&lt;'Données projet'!$A$88,$BA$205^A137,IF(A137='Données projet'!$A$88,'Données projet'!$B$88,BD136+BC137-BL136)))</f>
        <v>436.59000000000066</v>
      </c>
      <c r="BE137" s="13">
        <f>BD137*VLOOKUP('Données projet'!$B$11,Paramètres!$A$1:$I$89,3,0)*VLOOKUP('Données projet'!$B$11,Paramètres!$A$1:$I$89,5,0)</f>
        <v>395.02663200000057</v>
      </c>
      <c r="BF137" s="13">
        <f t="shared" si="145"/>
        <v>90.767658172605465</v>
      </c>
      <c r="BG137" s="20">
        <f t="shared" si="115"/>
        <v>846.09172205062214</v>
      </c>
      <c r="BH137" s="59">
        <f t="shared" si="116"/>
        <v>1130.6390618553264</v>
      </c>
      <c r="BI137" s="59">
        <f ca="1">AVERAGE(OFFSET($BH$3,0,0,'Données projet'!$E$11+1,1))-AVERAGE(OFFSET($H$3,0,0,'Données projet'!$E$11+1,1))</f>
        <v>627.65081154031589</v>
      </c>
      <c r="BJ137" s="59">
        <f t="shared" si="146"/>
        <v>288.78083487077618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0.30099999999999999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62.55140192124037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62.55140192124037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436.59</v>
      </c>
      <c r="BW137" s="12">
        <f>VLOOKUP(A137,'Données projet'!$A$113:$I$133,9,0)</f>
        <v>8.0699999999999985</v>
      </c>
      <c r="BX137" s="12">
        <f t="array" ref="BX137">INDEX(BW:BW,MIN(IF(ISNUMBER(BW137:BW333),ROW(BW137:BW333),"")))</f>
        <v>8.0699999999999985</v>
      </c>
      <c r="BY137" s="12">
        <f>IF('Données projet'!$A$114&gt;35,BY136+BX137-CG136,IF(A137&lt;'Données projet'!$A$114,$BV$205^A137,IF(A137='Données projet'!$A$114,'Données projet'!$B$114,BY136+BX137-CG136)))</f>
        <v>436.59000000000066</v>
      </c>
      <c r="BZ137" s="13">
        <f>BY137*VLOOKUP('Données projet'!$B$12,Paramètres!$A$1:$I$89,3,0)*VLOOKUP('Données projet'!$B$12,Paramètres!$A$1:$I$89,5,0)</f>
        <v>442.70226000000071</v>
      </c>
      <c r="CA137" s="13">
        <f t="shared" si="147"/>
        <v>100.38212787430139</v>
      </c>
      <c r="CB137" s="20">
        <f t="shared" si="118"/>
        <v>945.87197554774275</v>
      </c>
      <c r="CC137" s="59">
        <f t="shared" si="119"/>
        <v>1230.419315352447</v>
      </c>
      <c r="CD137" s="59">
        <f ca="1">AVERAGE(OFFSET($CC$3,0,0,'Données projet'!$E$12+1,1))-AVERAGE(OFFSET($H$3,0,0,'Données projet'!$E$12+1,1))</f>
        <v>692.2706942067415</v>
      </c>
      <c r="CE137" s="59">
        <f t="shared" si="148"/>
        <v>316.17529091924803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0.30099999999999999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70.100709049665923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70.100709049665923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1.1368683772161603E-13</v>
      </c>
      <c r="CU137" s="17">
        <f>CT137*VLOOKUP('Données projet'!$B$13,Paramètres!$A$1:$I$89,3,0)*VLOOKUP('Données projet'!$B$13,Paramètres!$A$1:$I$89,5,0)</f>
        <v>1.0818439477588981E-13</v>
      </c>
      <c r="CV137" s="13">
        <f t="shared" si="149"/>
        <v>1.6104228458716316E-12</v>
      </c>
      <c r="CW137" s="20">
        <f t="shared" si="121"/>
        <v>2.9932409441277661E-12</v>
      </c>
      <c r="CX137" s="59">
        <f t="shared" si="122"/>
        <v>284.54733980470729</v>
      </c>
      <c r="CY137" s="59">
        <f ca="1">AVERAGE(OFFSET($CX$3,0,0,'Données projet'!$E$13+1,1))-AVERAGE(OFFSET($H$3,0,0,'Données projet'!$E$13+1,1))</f>
        <v>424.5933338095914</v>
      </c>
      <c r="CZ137" s="59">
        <f t="shared" si="150"/>
        <v>159.28977188196134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146.95771668124192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146.95771668124192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-18.333333333333343</v>
      </c>
      <c r="DU137" s="59">
        <f t="shared" si="152"/>
        <v>-18.333333333333343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-18.333333333333343</v>
      </c>
      <c r="EP137" s="59">
        <f t="shared" si="154"/>
        <v>-18.333333333333343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>
        <f>VLOOKUP(A137,'Données projet'!$A$217:$I$237,2,0)</f>
        <v>436.59</v>
      </c>
      <c r="FC137" s="12">
        <f>VLOOKUP(A137,'Données projet'!$A$217:$I$237,9,0)</f>
        <v>8.0699999999999985</v>
      </c>
      <c r="FD137" s="12">
        <f t="array" ref="FD137">INDEX(FC:FC,MIN(IF(ISNUMBER(FC137:FC333),ROW(FC137:FC333),"")))</f>
        <v>8.0699999999999985</v>
      </c>
      <c r="FE137" s="12">
        <f>IF('Données projet'!$A$218&gt;35,FE136+FD137-FM136,IF(A137&lt;'Données projet'!$A$218,$FB$205^A137,IF(A137='Données projet'!$A$218,'Données projet'!$B$218,FE136+FD137-FM136)))</f>
        <v>436.59000000000066</v>
      </c>
      <c r="FF137" s="17">
        <f>FE137*VLOOKUP('Données projet'!$B$16,Paramètres!$A$1:$I$89,3,0)*VLOOKUP('Données projet'!$B$16,Paramètres!$A$1:$I$89,5,0)</f>
        <v>422.26984800000071</v>
      </c>
      <c r="FG137" s="13">
        <f t="shared" si="155"/>
        <v>96.277200239796969</v>
      </c>
      <c r="FH137" s="20">
        <f t="shared" si="130"/>
        <v>903.13610901764775</v>
      </c>
      <c r="FI137" s="59">
        <f t="shared" si="131"/>
        <v>1187.6834488223521</v>
      </c>
      <c r="FJ137" s="59">
        <f ca="1">AVERAGE(OFFSET($FI$3,0,0,'Données projet'!$E$16+1,1))-AVERAGE(OFFSET($H$3,0,0,'Données projet'!$E$16+1,1))</f>
        <v>664.59451650228573</v>
      </c>
      <c r="FK137" s="59">
        <f t="shared" si="156"/>
        <v>304.44325029106631</v>
      </c>
      <c r="FL137" s="15">
        <f>IF(ISNA(VLOOKUP(A137,'Données projet'!$A$217:$I$237,3,0)),0,VLOOKUP(A137,'Données projet'!$A$217:$I$237,3,0))</f>
        <v>11</v>
      </c>
      <c r="FM137" s="15">
        <f>IF(ISNA(VLOOKUP(A137,'Données projet'!$A$217:$I$237,4,0)),0,VLOOKUP(A137,'Données projet'!$A$217:$I$237,4,0))</f>
        <v>54.95</v>
      </c>
      <c r="FN137" s="16">
        <f>IF(ISNA(VLOOKUP(A137,'Données projet'!$A$217:$I$237,5,0)),0%,VLOOKUP(A137,'Données projet'!$A$217:$I$237,5,0)*VLOOKUP('Données projet'!$B$16,Paramètres!$A$1:$I$89,7,0))</f>
        <v>0.30099999999999999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66.865291708912096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66.865291708912096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-6.8212102632969618E-13</v>
      </c>
      <c r="O138" s="13">
        <f>N138*VLOOKUP('Données projet'!$B$9,Paramètres!$A$1:$I$89,3,0)*VLOOKUP('Données projet'!$B$9,Paramètres!$A$1:$I$89,5,0)</f>
        <v>-4.0790837374515837E-13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460.88622650237176</v>
      </c>
      <c r="T138" s="59">
        <f t="shared" si="142"/>
        <v>396.05161661639647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79.013670827309966</v>
      </c>
      <c r="AA138" s="21">
        <f>EXP(-LN(2)/25)*AA137+(1-EXP(-LN(2)/25))/(LN(2)/25)*Calculateur!V138*Calculateur!X138*VLOOKUP('Données projet'!$B$9,Paramètres!$A$1:$I$89,3,0)*0.475*44/12</f>
        <v>7.592133857392847</v>
      </c>
      <c r="AB138" s="21">
        <f>EXP(-LN(2)/2)*AB137+(1-EXP(-LN(2)/2))/(LN(2)/2)*V138*Y138*VLOOKUP('Données projet'!$B$9,Paramètres!$A$1:$I$89,3,0)*0.475*44/12</f>
        <v>5.4126331558417873E-8</v>
      </c>
      <c r="AC138" s="22">
        <f t="shared" si="111"/>
        <v>86.60580473882915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-4.5474735088646412E-13</v>
      </c>
      <c r="AJ138" s="13">
        <f>AI138*VLOOKUP('Données projet'!$B$10,Paramètres!$A$1:$I$89,3,0)*VLOOKUP('Données projet'!$B$10,Paramètres!$A$1:$I$89,5,0)</f>
        <v>-2.1282176021486519E-13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387.50901594883317</v>
      </c>
      <c r="AO138" s="59">
        <f t="shared" si="144"/>
        <v>361.3623790401972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126.31842976477853</v>
      </c>
      <c r="AV138" s="21">
        <f>EXP(-LN(2)/25)*AV137+(1-EXP(-LN(2)/25))/(LN(2)/25)*Calculateur!AQ138*Calculateur!AS138*VLOOKUP('Données projet'!$B$10,Paramètres!$A$1:$I$89,3,0)*0.475*44/12</f>
        <v>15.0403136723885</v>
      </c>
      <c r="AW138" s="21">
        <f>EXP(-LN(2)/2)*AW137+(1-EXP(-LN(2)/2))/(LN(2)/2)*AQ138*AT138*VLOOKUP('Données projet'!$B$10,Paramètres!$A$1:$I$89,3,0)*0.475*44/12</f>
        <v>5.3159624056188135E-4</v>
      </c>
      <c r="AX138" s="21">
        <f t="shared" si="114"/>
        <v>141.35927503340758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8.1590000000000025</v>
      </c>
      <c r="BD138" s="12">
        <f>IF('Données projet'!$A$88&gt;35,BD137+BC138-BL137,IF(A138&lt;'Données projet'!$A$88,$BA$205^A138,IF(A138='Données projet'!$A$88,'Données projet'!$B$88,BD137+BC138-BL137)))</f>
        <v>389.79900000000066</v>
      </c>
      <c r="BE138" s="13">
        <f>BD138*VLOOKUP('Données projet'!$B$11,Paramètres!$A$1:$I$89,3,0)*VLOOKUP('Données projet'!$B$11,Paramètres!$A$1:$I$89,5,0)</f>
        <v>352.69013520000055</v>
      </c>
      <c r="BF138" s="13">
        <f t="shared" si="145"/>
        <v>82.116190931394016</v>
      </c>
      <c r="BG138" s="20">
        <f t="shared" si="115"/>
        <v>757.28768467884549</v>
      </c>
      <c r="BH138" s="59">
        <f t="shared" si="116"/>
        <v>1041.9874418287327</v>
      </c>
      <c r="BI138" s="59">
        <f ca="1">AVERAGE(OFFSET($BH$3,0,0,'Données projet'!$E$11+1,1))-AVERAGE(OFFSET($H$3,0,0,'Données projet'!$E$11+1,1))</f>
        <v>627.65081154031589</v>
      </c>
      <c r="BJ138" s="59">
        <f t="shared" si="146"/>
        <v>288.78083487077618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61.324807082152766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61.324807082152766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8.1590000000000025</v>
      </c>
      <c r="BY138" s="12">
        <f>IF('Données projet'!$A$114&gt;35,BY137+BX138-CG137,IF(A138&lt;'Données projet'!$A$114,$BV$205^A138,IF(A138='Données projet'!$A$114,'Données projet'!$B$114,BY137+BX138-CG137)))</f>
        <v>389.79900000000066</v>
      </c>
      <c r="BZ138" s="13">
        <f>BY138*VLOOKUP('Données projet'!$B$12,Paramètres!$A$1:$I$89,3,0)*VLOOKUP('Données projet'!$B$12,Paramètres!$A$1:$I$89,5,0)</f>
        <v>395.2561860000007</v>
      </c>
      <c r="CA138" s="13">
        <f t="shared" si="147"/>
        <v>90.814262971847356</v>
      </c>
      <c r="CB138" s="20">
        <f t="shared" si="118"/>
        <v>846.57269862596866</v>
      </c>
      <c r="CC138" s="59">
        <f t="shared" si="119"/>
        <v>1131.2724557758559</v>
      </c>
      <c r="CD138" s="59">
        <f ca="1">AVERAGE(OFFSET($CC$3,0,0,'Données projet'!$E$12+1,1))-AVERAGE(OFFSET($H$3,0,0,'Données projet'!$E$12+1,1))</f>
        <v>692.2706942067415</v>
      </c>
      <c r="CE138" s="59">
        <f t="shared" si="148"/>
        <v>316.17529091924803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68.726076902412572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68.726076902412572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1.1368683772161603E-13</v>
      </c>
      <c r="CU138" s="17">
        <f>CT138*VLOOKUP('Données projet'!$B$13,Paramètres!$A$1:$I$89,3,0)*VLOOKUP('Données projet'!$B$13,Paramètres!$A$1:$I$89,5,0)</f>
        <v>1.0818439477588981E-13</v>
      </c>
      <c r="CV138" s="13">
        <f t="shared" si="149"/>
        <v>1.6104228458716316E-12</v>
      </c>
      <c r="CW138" s="20">
        <f t="shared" si="121"/>
        <v>2.9932409441277661E-12</v>
      </c>
      <c r="CX138" s="59">
        <f t="shared" si="122"/>
        <v>284.69975714989016</v>
      </c>
      <c r="CY138" s="59">
        <f ca="1">AVERAGE(OFFSET($CX$3,0,0,'Données projet'!$E$13+1,1))-AVERAGE(OFFSET($H$3,0,0,'Données projet'!$E$13+1,1))</f>
        <v>424.5933338095914</v>
      </c>
      <c r="CZ138" s="59">
        <f t="shared" si="150"/>
        <v>159.28977188196134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144.07596549247918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144.07596549247918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-18.333333333333343</v>
      </c>
      <c r="DU138" s="59">
        <f t="shared" si="152"/>
        <v>-18.333333333333343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-18.333333333333343</v>
      </c>
      <c r="EP138" s="59">
        <f t="shared" si="154"/>
        <v>-18.333333333333343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8.1590000000000025</v>
      </c>
      <c r="FE138" s="12">
        <f>IF('Données projet'!$A$218&gt;35,FE137+FD138-FM137,IF(A138&lt;'Données projet'!$A$218,$FB$205^A138,IF(A138='Données projet'!$A$218,'Données projet'!$B$218,FE137+FD138-FM137)))</f>
        <v>389.79900000000066</v>
      </c>
      <c r="FF138" s="17">
        <f>FE138*VLOOKUP('Données projet'!$B$16,Paramètres!$A$1:$I$89,3,0)*VLOOKUP('Données projet'!$B$16,Paramètres!$A$1:$I$89,5,0)</f>
        <v>377.01359280000065</v>
      </c>
      <c r="FG138" s="13">
        <f t="shared" si="155"/>
        <v>87.100594158738531</v>
      </c>
      <c r="FH138" s="20">
        <f t="shared" si="130"/>
        <v>808.33220895313741</v>
      </c>
      <c r="FI138" s="59">
        <f t="shared" si="131"/>
        <v>1093.0319661030246</v>
      </c>
      <c r="FJ138" s="59">
        <f ca="1">AVERAGE(OFFSET($FI$3,0,0,'Données projet'!$E$16+1,1))-AVERAGE(OFFSET($H$3,0,0,'Données projet'!$E$16+1,1))</f>
        <v>664.59451650228573</v>
      </c>
      <c r="FK138" s="59">
        <f t="shared" si="156"/>
        <v>304.44325029106631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65.554104122301212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65.554104122301212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-6.8212102632969618E-13</v>
      </c>
      <c r="O139" s="13">
        <f>N139*VLOOKUP('Données projet'!$B$9,Paramètres!$A$1:$I$89,3,0)*VLOOKUP('Données projet'!$B$9,Paramètres!$A$1:$I$89,5,0)</f>
        <v>-4.0790837374515837E-13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460.88622650237176</v>
      </c>
      <c r="T139" s="59">
        <f t="shared" si="142"/>
        <v>396.05161661639647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77.464260935966905</v>
      </c>
      <c r="AA139" s="21">
        <f>EXP(-LN(2)/25)*AA138+(1-EXP(-LN(2)/25))/(LN(2)/25)*Calculateur!V139*Calculateur!X139*VLOOKUP('Données projet'!$B$9,Paramètres!$A$1:$I$89,3,0)*0.475*44/12</f>
        <v>7.3845265578094716</v>
      </c>
      <c r="AB139" s="21">
        <f>EXP(-LN(2)/2)*AB138+(1-EXP(-LN(2)/2))/(LN(2)/2)*V139*Y139*VLOOKUP('Données projet'!$B$9,Paramètres!$A$1:$I$89,3,0)*0.475*44/12</f>
        <v>3.8273096085708708E-8</v>
      </c>
      <c r="AC139" s="22">
        <f t="shared" si="111"/>
        <v>84.848787532049471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-4.5474735088646412E-13</v>
      </c>
      <c r="AJ139" s="13">
        <f>AI139*VLOOKUP('Données projet'!$B$10,Paramètres!$A$1:$I$89,3,0)*VLOOKUP('Données projet'!$B$10,Paramètres!$A$1:$I$89,5,0)</f>
        <v>-2.1282176021486519E-13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387.50901594883317</v>
      </c>
      <c r="AO139" s="59">
        <f t="shared" si="144"/>
        <v>361.3623790401972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123.84140240372565</v>
      </c>
      <c r="AV139" s="21">
        <f>EXP(-LN(2)/25)*AV138+(1-EXP(-LN(2)/25))/(LN(2)/25)*Calculateur!AQ139*Calculateur!AS139*VLOOKUP('Données projet'!$B$10,Paramètres!$A$1:$I$89,3,0)*0.475*44/12</f>
        <v>14.629035504081315</v>
      </c>
      <c r="AW139" s="21">
        <f>EXP(-LN(2)/2)*AW138+(1-EXP(-LN(2)/2))/(LN(2)/2)*AQ139*AT139*VLOOKUP('Données projet'!$B$10,Paramètres!$A$1:$I$89,3,0)*0.475*44/12</f>
        <v>3.7589530655458153E-4</v>
      </c>
      <c r="AX139" s="21">
        <f t="shared" si="114"/>
        <v>138.47081380311351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8.1590000000000025</v>
      </c>
      <c r="BD139" s="12">
        <f>IF('Données projet'!$A$88&gt;35,BD138+BC139-BL138,IF(A139&lt;'Données projet'!$A$88,$BA$205^A139,IF(A139='Données projet'!$A$88,'Données projet'!$B$88,BD138+BC139-BL138)))</f>
        <v>397.95800000000065</v>
      </c>
      <c r="BE139" s="13">
        <f>BD139*VLOOKUP('Données projet'!$B$11,Paramètres!$A$1:$I$89,3,0)*VLOOKUP('Données projet'!$B$11,Paramètres!$A$1:$I$89,5,0)</f>
        <v>360.07239840000057</v>
      </c>
      <c r="BF139" s="13">
        <f t="shared" si="145"/>
        <v>83.633085567444908</v>
      </c>
      <c r="BG139" s="20">
        <f t="shared" si="115"/>
        <v>772.78705124330099</v>
      </c>
      <c r="BH139" s="59">
        <f t="shared" si="116"/>
        <v>1057.6365816381863</v>
      </c>
      <c r="BI139" s="59">
        <f ca="1">AVERAGE(OFFSET($BH$3,0,0,'Données projet'!$E$11+1,1))-AVERAGE(OFFSET($H$3,0,0,'Données projet'!$E$11+1,1))</f>
        <v>627.65081154031589</v>
      </c>
      <c r="BJ139" s="59">
        <f t="shared" si="146"/>
        <v>288.78083487077618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60.122265019710689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60.122265019710689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8.1590000000000025</v>
      </c>
      <c r="BY139" s="12">
        <f>IF('Données projet'!$A$114&gt;35,BY138+BX139-CG138,IF(A139&lt;'Données projet'!$A$114,$BV$205^A139,IF(A139='Données projet'!$A$114,'Données projet'!$B$114,BY138+BX139-CG138)))</f>
        <v>397.95800000000065</v>
      </c>
      <c r="BZ139" s="13">
        <f>BY139*VLOOKUP('Données projet'!$B$12,Paramètres!$A$1:$I$89,3,0)*VLOOKUP('Données projet'!$B$12,Paramètres!$A$1:$I$89,5,0)</f>
        <v>403.52941200000066</v>
      </c>
      <c r="CA139" s="13">
        <f t="shared" si="147"/>
        <v>92.491833093116057</v>
      </c>
      <c r="CB139" s="20">
        <f t="shared" si="118"/>
        <v>863.90366853717831</v>
      </c>
      <c r="CC139" s="59">
        <f t="shared" si="119"/>
        <v>1148.7531989320635</v>
      </c>
      <c r="CD139" s="59">
        <f ca="1">AVERAGE(OFFSET($CC$3,0,0,'Données projet'!$E$12+1,1))-AVERAGE(OFFSET($H$3,0,0,'Données projet'!$E$12+1,1))</f>
        <v>692.2706942067415</v>
      </c>
      <c r="CE139" s="59">
        <f t="shared" si="148"/>
        <v>316.17529091924803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67.378400453124044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67.378400453124044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1.1368683772161603E-13</v>
      </c>
      <c r="CU139" s="17">
        <f>CT139*VLOOKUP('Données projet'!$B$13,Paramètres!$A$1:$I$89,3,0)*VLOOKUP('Données projet'!$B$13,Paramètres!$A$1:$I$89,5,0)</f>
        <v>1.0818439477588981E-13</v>
      </c>
      <c r="CV139" s="13">
        <f t="shared" si="149"/>
        <v>1.6104228458716316E-12</v>
      </c>
      <c r="CW139" s="20">
        <f t="shared" si="121"/>
        <v>2.9932409441277661E-12</v>
      </c>
      <c r="CX139" s="59">
        <f t="shared" si="122"/>
        <v>284.84953039488823</v>
      </c>
      <c r="CY139" s="59">
        <f ca="1">AVERAGE(OFFSET($CX$3,0,0,'Données projet'!$E$13+1,1))-AVERAGE(OFFSET($H$3,0,0,'Données projet'!$E$13+1,1))</f>
        <v>424.5933338095914</v>
      </c>
      <c r="CZ139" s="59">
        <f t="shared" si="150"/>
        <v>159.28977188196134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141.25072368683342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141.25072368683342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-18.333333333333343</v>
      </c>
      <c r="DU139" s="59">
        <f t="shared" si="152"/>
        <v>-18.333333333333343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-18.333333333333343</v>
      </c>
      <c r="EP139" s="59">
        <f t="shared" si="154"/>
        <v>-18.333333333333343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8.1590000000000025</v>
      </c>
      <c r="FE139" s="12">
        <f>IF('Données projet'!$A$218&gt;35,FE138+FD139-FM138,IF(A139&lt;'Données projet'!$A$218,$FB$205^A139,IF(A139='Données projet'!$A$218,'Données projet'!$B$218,FE138+FD139-FM138)))</f>
        <v>397.95800000000065</v>
      </c>
      <c r="FF139" s="17">
        <f>FE139*VLOOKUP('Données projet'!$B$16,Paramètres!$A$1:$I$89,3,0)*VLOOKUP('Données projet'!$B$16,Paramètres!$A$1:$I$89,5,0)</f>
        <v>384.90497760000062</v>
      </c>
      <c r="FG139" s="13">
        <f t="shared" si="155"/>
        <v>88.709563383658136</v>
      </c>
      <c r="FH139" s="20">
        <f t="shared" si="130"/>
        <v>824.87865887987221</v>
      </c>
      <c r="FI139" s="59">
        <f t="shared" si="131"/>
        <v>1109.7281892747574</v>
      </c>
      <c r="FJ139" s="59">
        <f ca="1">AVERAGE(OFFSET($FI$3,0,0,'Données projet'!$E$16+1,1))-AVERAGE(OFFSET($H$3,0,0,'Données projet'!$E$16+1,1))</f>
        <v>664.59451650228573</v>
      </c>
      <c r="FK139" s="59">
        <f t="shared" si="156"/>
        <v>304.44325029106631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64.268628124518301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64.268628124518301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-6.8212102632969618E-13</v>
      </c>
      <c r="O140" s="13">
        <f>N140*VLOOKUP('Données projet'!$B$9,Paramètres!$A$1:$I$89,3,0)*VLOOKUP('Données projet'!$B$9,Paramètres!$A$1:$I$89,5,0)</f>
        <v>-4.0790837374515837E-13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460.88622650237176</v>
      </c>
      <c r="T140" s="59">
        <f t="shared" si="142"/>
        <v>396.05161661639647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75.945234027546363</v>
      </c>
      <c r="AA140" s="21">
        <f>EXP(-LN(2)/25)*AA139+(1-EXP(-LN(2)/25))/(LN(2)/25)*Calculateur!V140*Calculateur!X140*VLOOKUP('Données projet'!$B$9,Paramètres!$A$1:$I$89,3,0)*0.475*44/12</f>
        <v>7.1825962907507979</v>
      </c>
      <c r="AB140" s="21">
        <f>EXP(-LN(2)/2)*AB139+(1-EXP(-LN(2)/2))/(LN(2)/2)*V140*Y140*VLOOKUP('Données projet'!$B$9,Paramètres!$A$1:$I$89,3,0)*0.475*44/12</f>
        <v>2.7063165779208937E-8</v>
      </c>
      <c r="AC140" s="22">
        <f t="shared" si="111"/>
        <v>83.127830345360323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-4.5474735088646412E-13</v>
      </c>
      <c r="AJ140" s="13">
        <f>AI140*VLOOKUP('Données projet'!$B$10,Paramètres!$A$1:$I$89,3,0)*VLOOKUP('Données projet'!$B$10,Paramètres!$A$1:$I$89,5,0)</f>
        <v>-2.1282176021486519E-13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387.50901594883317</v>
      </c>
      <c r="AO140" s="59">
        <f t="shared" si="144"/>
        <v>361.3623790401972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121.41294803838552</v>
      </c>
      <c r="AV140" s="21">
        <f>EXP(-LN(2)/25)*AV139+(1-EXP(-LN(2)/25))/(LN(2)/25)*Calculateur!AQ140*Calculateur!AS140*VLOOKUP('Données projet'!$B$10,Paramètres!$A$1:$I$89,3,0)*0.475*44/12</f>
        <v>14.22900375891467</v>
      </c>
      <c r="AW140" s="21">
        <f>EXP(-LN(2)/2)*AW139+(1-EXP(-LN(2)/2))/(LN(2)/2)*AQ140*AT140*VLOOKUP('Données projet'!$B$10,Paramètres!$A$1:$I$89,3,0)*0.475*44/12</f>
        <v>2.6579812028094068E-4</v>
      </c>
      <c r="AX140" s="21">
        <f t="shared" si="114"/>
        <v>135.64221759542045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8.1590000000000025</v>
      </c>
      <c r="BD140" s="12">
        <f>IF('Données projet'!$A$88&gt;35,BD139+BC140-BL139,IF(A140&lt;'Données projet'!$A$88,$BA$205^A140,IF(A140='Données projet'!$A$88,'Données projet'!$B$88,BD139+BC140-BL139)))</f>
        <v>406.11700000000064</v>
      </c>
      <c r="BE140" s="13">
        <f>BD140*VLOOKUP('Données projet'!$B$11,Paramètres!$A$1:$I$89,3,0)*VLOOKUP('Données projet'!$B$11,Paramètres!$A$1:$I$89,5,0)</f>
        <v>367.45466160000058</v>
      </c>
      <c r="BF140" s="13">
        <f t="shared" si="145"/>
        <v>85.146364255773364</v>
      </c>
      <c r="BG140" s="20">
        <f t="shared" si="115"/>
        <v>788.28012003213962</v>
      </c>
      <c r="BH140" s="59">
        <f t="shared" si="116"/>
        <v>1073.2768254410651</v>
      </c>
      <c r="BI140" s="59">
        <f ca="1">AVERAGE(OFFSET($BH$3,0,0,'Données projet'!$E$11+1,1))-AVERAGE(OFFSET($H$3,0,0,'Données projet'!$E$11+1,1))</f>
        <v>627.65081154031589</v>
      </c>
      <c r="BJ140" s="59">
        <f t="shared" si="146"/>
        <v>288.78083487077618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58.94330407363487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58.94330407363487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8.1590000000000025</v>
      </c>
      <c r="BY140" s="12">
        <f>IF('Données projet'!$A$114&gt;35,BY139+BX140-CG139,IF(A140&lt;'Données projet'!$A$114,$BV$205^A140,IF(A140='Données projet'!$A$114,'Données projet'!$B$114,BY139+BX140-CG139)))</f>
        <v>406.11700000000064</v>
      </c>
      <c r="BZ140" s="13">
        <f>BY140*VLOOKUP('Données projet'!$B$12,Paramètres!$A$1:$I$89,3,0)*VLOOKUP('Données projet'!$B$12,Paramètres!$A$1:$I$89,5,0)</f>
        <v>411.80263800000068</v>
      </c>
      <c r="CA140" s="13">
        <f t="shared" si="147"/>
        <v>94.165404251164176</v>
      </c>
      <c r="CB140" s="20">
        <f t="shared" si="118"/>
        <v>881.22767358744534</v>
      </c>
      <c r="CC140" s="59">
        <f t="shared" si="119"/>
        <v>1166.2243789963707</v>
      </c>
      <c r="CD140" s="59">
        <f ca="1">AVERAGE(OFFSET($CC$3,0,0,'Données projet'!$E$12+1,1))-AVERAGE(OFFSET($H$3,0,0,'Données projet'!$E$12+1,1))</f>
        <v>692.2706942067415</v>
      </c>
      <c r="CE140" s="59">
        <f t="shared" si="148"/>
        <v>316.17529091924803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66.057151117004594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66.057151117004594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1.1368683772161603E-13</v>
      </c>
      <c r="CU140" s="17">
        <f>CT140*VLOOKUP('Données projet'!$B$13,Paramètres!$A$1:$I$89,3,0)*VLOOKUP('Données projet'!$B$13,Paramètres!$A$1:$I$89,5,0)</f>
        <v>1.0818439477588981E-13</v>
      </c>
      <c r="CV140" s="13">
        <f t="shared" si="149"/>
        <v>1.6104228458716316E-12</v>
      </c>
      <c r="CW140" s="20">
        <f t="shared" si="121"/>
        <v>2.9932409441277661E-12</v>
      </c>
      <c r="CX140" s="59">
        <f t="shared" si="122"/>
        <v>284.99670540892839</v>
      </c>
      <c r="CY140" s="59">
        <f ca="1">AVERAGE(OFFSET($CX$3,0,0,'Données projet'!$E$13+1,1))-AVERAGE(OFFSET($H$3,0,0,'Données projet'!$E$13+1,1))</f>
        <v>424.5933338095914</v>
      </c>
      <c r="CZ140" s="59">
        <f t="shared" si="150"/>
        <v>159.28977188196134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138.48088314976903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138.48088314976903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-18.333333333333343</v>
      </c>
      <c r="DU140" s="59">
        <f t="shared" si="152"/>
        <v>-18.333333333333343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-18.333333333333343</v>
      </c>
      <c r="EP140" s="59">
        <f t="shared" si="154"/>
        <v>-18.333333333333343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8.1590000000000025</v>
      </c>
      <c r="FE140" s="12">
        <f>IF('Données projet'!$A$218&gt;35,FE139+FD140-FM139,IF(A140&lt;'Données projet'!$A$218,$FB$205^A140,IF(A140='Données projet'!$A$218,'Données projet'!$B$218,FE139+FD140-FM139)))</f>
        <v>406.11700000000064</v>
      </c>
      <c r="FF140" s="17">
        <f>FE140*VLOOKUP('Données projet'!$B$16,Paramètres!$A$1:$I$89,3,0)*VLOOKUP('Données projet'!$B$16,Paramètres!$A$1:$I$89,5,0)</f>
        <v>392.79636240000065</v>
      </c>
      <c r="FG140" s="13">
        <f t="shared" si="155"/>
        <v>90.314697175011091</v>
      </c>
      <c r="FH140" s="20">
        <f t="shared" si="130"/>
        <v>841.41842875981195</v>
      </c>
      <c r="FI140" s="59">
        <f t="shared" si="131"/>
        <v>1126.4151341687373</v>
      </c>
      <c r="FJ140" s="59">
        <f ca="1">AVERAGE(OFFSET($FI$3,0,0,'Données projet'!$E$16+1,1))-AVERAGE(OFFSET($H$3,0,0,'Données projet'!$E$16+1,1))</f>
        <v>664.59451650228573</v>
      </c>
      <c r="FK140" s="59">
        <f t="shared" si="156"/>
        <v>304.44325029106631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63.008359526988976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63.008359526988976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-6.8212102632969618E-13</v>
      </c>
      <c r="O141" s="13">
        <f>N141*VLOOKUP('Données projet'!$B$9,Paramètres!$A$1:$I$89,3,0)*VLOOKUP('Données projet'!$B$9,Paramètres!$A$1:$I$89,5,0)</f>
        <v>-4.0790837374515837E-13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460.88622650237176</v>
      </c>
      <c r="T141" s="59">
        <f t="shared" si="142"/>
        <v>396.05161661639647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74.455994310285021</v>
      </c>
      <c r="AA141" s="21">
        <f>EXP(-LN(2)/25)*AA140+(1-EXP(-LN(2)/25))/(LN(2)/25)*Calculateur!V141*Calculateur!X141*VLOOKUP('Données projet'!$B$9,Paramètres!$A$1:$I$89,3,0)*0.475*44/12</f>
        <v>6.9861878174638941</v>
      </c>
      <c r="AB141" s="21">
        <f>EXP(-LN(2)/2)*AB140+(1-EXP(-LN(2)/2))/(LN(2)/2)*V141*Y141*VLOOKUP('Données projet'!$B$9,Paramètres!$A$1:$I$89,3,0)*0.475*44/12</f>
        <v>1.9136548042854354E-8</v>
      </c>
      <c r="AC141" s="22">
        <f t="shared" si="111"/>
        <v>81.442182146885472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-4.5474735088646412E-13</v>
      </c>
      <c r="AJ141" s="13">
        <f>AI141*VLOOKUP('Données projet'!$B$10,Paramètres!$A$1:$I$89,3,0)*VLOOKUP('Données projet'!$B$10,Paramètres!$A$1:$I$89,5,0)</f>
        <v>-2.1282176021486519E-13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387.50901594883317</v>
      </c>
      <c r="AO141" s="59">
        <f t="shared" si="144"/>
        <v>361.3623790401972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119.03211418193881</v>
      </c>
      <c r="AV141" s="21">
        <f>EXP(-LN(2)/25)*AV140+(1-EXP(-LN(2)/25))/(LN(2)/25)*Calculateur!AQ141*Calculateur!AS141*VLOOKUP('Données projet'!$B$10,Paramètres!$A$1:$I$89,3,0)*0.475*44/12</f>
        <v>13.839910902856362</v>
      </c>
      <c r="AW141" s="21">
        <f>EXP(-LN(2)/2)*AW140+(1-EXP(-LN(2)/2))/(LN(2)/2)*AQ141*AT141*VLOOKUP('Données projet'!$B$10,Paramètres!$A$1:$I$89,3,0)*0.475*44/12</f>
        <v>1.8794765327729076E-4</v>
      </c>
      <c r="AX141" s="21">
        <f t="shared" si="114"/>
        <v>132.87221303244846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8.1590000000000025</v>
      </c>
      <c r="BD141" s="12">
        <f>IF('Données projet'!$A$88&gt;35,BD140+BC141-BL140,IF(A141&lt;'Données projet'!$A$88,$BA$205^A141,IF(A141='Données projet'!$A$88,'Données projet'!$B$88,BD140+BC141-BL140)))</f>
        <v>414.27600000000064</v>
      </c>
      <c r="BE141" s="13">
        <f>BD141*VLOOKUP('Données projet'!$B$11,Paramètres!$A$1:$I$89,3,0)*VLOOKUP('Données projet'!$B$11,Paramètres!$A$1:$I$89,5,0)</f>
        <v>374.83692480000053</v>
      </c>
      <c r="BF141" s="13">
        <f t="shared" si="145"/>
        <v>86.656108013910185</v>
      </c>
      <c r="BG141" s="20">
        <f t="shared" si="115"/>
        <v>803.76703215089447</v>
      </c>
      <c r="BH141" s="59">
        <f t="shared" si="116"/>
        <v>1088.9083594164003</v>
      </c>
      <c r="BI141" s="59">
        <f ca="1">AVERAGE(OFFSET($BH$3,0,0,'Données projet'!$E$11+1,1))-AVERAGE(OFFSET($H$3,0,0,'Données projet'!$E$11+1,1))</f>
        <v>627.65081154031589</v>
      </c>
      <c r="BJ141" s="59">
        <f t="shared" si="146"/>
        <v>288.78083487077618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57.787461832616422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57.787461832616422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8.1590000000000025</v>
      </c>
      <c r="BY141" s="12">
        <f>IF('Données projet'!$A$114&gt;35,BY140+BX141-CG140,IF(A141&lt;'Données projet'!$A$114,$BV$205^A141,IF(A141='Données projet'!$A$114,'Données projet'!$B$114,BY140+BX141-CG140)))</f>
        <v>414.27600000000064</v>
      </c>
      <c r="BZ141" s="13">
        <f>BY141*VLOOKUP('Données projet'!$B$12,Paramètres!$A$1:$I$89,3,0)*VLOOKUP('Données projet'!$B$12,Paramètres!$A$1:$I$89,5,0)</f>
        <v>420.07586400000065</v>
      </c>
      <c r="CA141" s="13">
        <f t="shared" si="147"/>
        <v>95.835066045220003</v>
      </c>
      <c r="CB141" s="20">
        <f t="shared" si="118"/>
        <v>898.54486982875926</v>
      </c>
      <c r="CC141" s="59">
        <f t="shared" si="119"/>
        <v>1183.6861970942653</v>
      </c>
      <c r="CD141" s="59">
        <f ca="1">AVERAGE(OFFSET($CC$3,0,0,'Données projet'!$E$12+1,1))-AVERAGE(OFFSET($H$3,0,0,'Données projet'!$E$12+1,1))</f>
        <v>692.2706942067415</v>
      </c>
      <c r="CE141" s="59">
        <f t="shared" si="148"/>
        <v>316.17529091924803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64.761810674483925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64.761810674483925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1.1368683772161603E-13</v>
      </c>
      <c r="CU141" s="17">
        <f>CT141*VLOOKUP('Données projet'!$B$13,Paramètres!$A$1:$I$89,3,0)*VLOOKUP('Données projet'!$B$13,Paramètres!$A$1:$I$89,5,0)</f>
        <v>1.0818439477588981E-13</v>
      </c>
      <c r="CV141" s="13">
        <f t="shared" si="149"/>
        <v>1.6104228458716316E-12</v>
      </c>
      <c r="CW141" s="20">
        <f t="shared" si="121"/>
        <v>2.9932409441277661E-12</v>
      </c>
      <c r="CX141" s="59">
        <f t="shared" si="122"/>
        <v>285.14132726550895</v>
      </c>
      <c r="CY141" s="59">
        <f ca="1">AVERAGE(OFFSET($CX$3,0,0,'Données projet'!$E$13+1,1))-AVERAGE(OFFSET($H$3,0,0,'Données projet'!$E$13+1,1))</f>
        <v>424.5933338095914</v>
      </c>
      <c r="CZ141" s="59">
        <f t="shared" si="150"/>
        <v>159.28977188196134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135.76535749620055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135.76535749620055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-18.333333333333343</v>
      </c>
      <c r="DU141" s="59">
        <f t="shared" si="152"/>
        <v>-18.333333333333343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-18.333333333333343</v>
      </c>
      <c r="EP141" s="59">
        <f t="shared" si="154"/>
        <v>-18.333333333333343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8.1590000000000025</v>
      </c>
      <c r="FE141" s="12">
        <f>IF('Données projet'!$A$218&gt;35,FE140+FD141-FM140,IF(A141&lt;'Données projet'!$A$218,$FB$205^A141,IF(A141='Données projet'!$A$218,'Données projet'!$B$218,FE140+FD141-FM140)))</f>
        <v>414.27600000000064</v>
      </c>
      <c r="FF141" s="17">
        <f>FE141*VLOOKUP('Données projet'!$B$16,Paramètres!$A$1:$I$89,3,0)*VLOOKUP('Données projet'!$B$16,Paramètres!$A$1:$I$89,5,0)</f>
        <v>400.68774720000062</v>
      </c>
      <c r="FG141" s="13">
        <f t="shared" si="155"/>
        <v>91.916081468043174</v>
      </c>
      <c r="FH141" s="20">
        <f t="shared" si="130"/>
        <v>857.95166826350953</v>
      </c>
      <c r="FI141" s="59">
        <f t="shared" si="131"/>
        <v>1143.0929955290155</v>
      </c>
      <c r="FJ141" s="59">
        <f ca="1">AVERAGE(OFFSET($FI$3,0,0,'Données projet'!$E$16+1,1))-AVERAGE(OFFSET($H$3,0,0,'Données projet'!$E$16+1,1))</f>
        <v>664.59451650228573</v>
      </c>
      <c r="FK141" s="59">
        <f t="shared" si="156"/>
        <v>304.44325029106631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61.772804027969258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61.772804027969258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-6.8212102632969618E-13</v>
      </c>
      <c r="O142" s="13">
        <f>N142*VLOOKUP('Données projet'!$B$9,Paramètres!$A$1:$I$89,3,0)*VLOOKUP('Données projet'!$B$9,Paramètres!$A$1:$I$89,5,0)</f>
        <v>-4.0790837374515837E-13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460.88622650237176</v>
      </c>
      <c r="T142" s="59">
        <f t="shared" si="142"/>
        <v>396.05161661639647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72.995957675532637</v>
      </c>
      <c r="AA142" s="21">
        <f>EXP(-LN(2)/25)*AA141+(1-EXP(-LN(2)/25))/(LN(2)/25)*Calculateur!V142*Calculateur!X142*VLOOKUP('Données projet'!$B$9,Paramètres!$A$1:$I$89,3,0)*0.475*44/12</f>
        <v>6.7951501442076934</v>
      </c>
      <c r="AB142" s="21">
        <f>EXP(-LN(2)/2)*AB141+(1-EXP(-LN(2)/2))/(LN(2)/2)*V142*Y142*VLOOKUP('Données projet'!$B$9,Paramètres!$A$1:$I$89,3,0)*0.475*44/12</f>
        <v>1.3531582889604468E-8</v>
      </c>
      <c r="AC142" s="22">
        <f t="shared" si="111"/>
        <v>79.791107833271909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-4.5474735088646412E-13</v>
      </c>
      <c r="AJ142" s="13">
        <f>AI142*VLOOKUP('Données projet'!$B$10,Paramètres!$A$1:$I$89,3,0)*VLOOKUP('Données projet'!$B$10,Paramètres!$A$1:$I$89,5,0)</f>
        <v>-2.1282176021486519E-13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387.50901594883317</v>
      </c>
      <c r="AO142" s="59">
        <f t="shared" si="144"/>
        <v>361.3623790401972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116.69796702525174</v>
      </c>
      <c r="AV142" s="21">
        <f>EXP(-LN(2)/25)*AV141+(1-EXP(-LN(2)/25))/(LN(2)/25)*Calculateur!AQ142*Calculateur!AS142*VLOOKUP('Données projet'!$B$10,Paramètres!$A$1:$I$89,3,0)*0.475*44/12</f>
        <v>13.461457811408472</v>
      </c>
      <c r="AW142" s="21">
        <f>EXP(-LN(2)/2)*AW141+(1-EXP(-LN(2)/2))/(LN(2)/2)*AQ142*AT142*VLOOKUP('Données projet'!$B$10,Paramètres!$A$1:$I$89,3,0)*0.475*44/12</f>
        <v>1.3289906014047034E-4</v>
      </c>
      <c r="AX142" s="21">
        <f t="shared" si="114"/>
        <v>130.15955773572034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8.1590000000000025</v>
      </c>
      <c r="BD142" s="12">
        <f>IF('Données projet'!$A$88&gt;35,BD141+BC142-BL141,IF(A142&lt;'Données projet'!$A$88,$BA$205^A142,IF(A142='Données projet'!$A$88,'Données projet'!$B$88,BD141+BC142-BL141)))</f>
        <v>422.43500000000063</v>
      </c>
      <c r="BE142" s="13">
        <f>BD142*VLOOKUP('Données projet'!$B$11,Paramètres!$A$1:$I$89,3,0)*VLOOKUP('Données projet'!$B$11,Paramètres!$A$1:$I$89,5,0)</f>
        <v>382.21918800000054</v>
      </c>
      <c r="BF142" s="13">
        <f t="shared" si="145"/>
        <v>88.162394485655341</v>
      </c>
      <c r="BG142" s="20">
        <f t="shared" si="115"/>
        <v>819.24792282918395</v>
      </c>
      <c r="BH142" s="59">
        <f t="shared" si="116"/>
        <v>1104.5313630853848</v>
      </c>
      <c r="BI142" s="59">
        <f ca="1">AVERAGE(OFFSET($BH$3,0,0,'Données projet'!$E$11+1,1))-AVERAGE(OFFSET($H$3,0,0,'Données projet'!$E$11+1,1))</f>
        <v>627.65081154031589</v>
      </c>
      <c r="BJ142" s="59">
        <f t="shared" si="146"/>
        <v>288.78083487077618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56.654284952950192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56.654284952950192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8.1590000000000025</v>
      </c>
      <c r="BY142" s="12">
        <f>IF('Données projet'!$A$114&gt;35,BY141+BX142-CG141,IF(A142&lt;'Données projet'!$A$114,$BV$205^A142,IF(A142='Données projet'!$A$114,'Données projet'!$B$114,BY141+BX142-CG141)))</f>
        <v>422.43500000000063</v>
      </c>
      <c r="BZ142" s="13">
        <f>BY142*VLOOKUP('Données projet'!$B$12,Paramètres!$A$1:$I$89,3,0)*VLOOKUP('Données projet'!$B$12,Paramètres!$A$1:$I$89,5,0)</f>
        <v>428.34909000000067</v>
      </c>
      <c r="CA142" s="13">
        <f t="shared" si="147"/>
        <v>97.500904343422292</v>
      </c>
      <c r="CB142" s="20">
        <f t="shared" si="118"/>
        <v>915.85540681479506</v>
      </c>
      <c r="CC142" s="59">
        <f t="shared" si="119"/>
        <v>1201.138847070996</v>
      </c>
      <c r="CD142" s="59">
        <f ca="1">AVERAGE(OFFSET($CC$3,0,0,'Données projet'!$E$12+1,1))-AVERAGE(OFFSET($H$3,0,0,'Données projet'!$E$12+1,1))</f>
        <v>692.2706942067415</v>
      </c>
      <c r="CE142" s="59">
        <f t="shared" si="148"/>
        <v>316.17529091924803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63.491871067961426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63.491871067961426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1.1368683772161603E-13</v>
      </c>
      <c r="CU142" s="17">
        <f>CT142*VLOOKUP('Données projet'!$B$13,Paramètres!$A$1:$I$89,3,0)*VLOOKUP('Données projet'!$B$13,Paramètres!$A$1:$I$89,5,0)</f>
        <v>1.0818439477588981E-13</v>
      </c>
      <c r="CV142" s="13">
        <f t="shared" si="149"/>
        <v>1.6104228458716316E-12</v>
      </c>
      <c r="CW142" s="20">
        <f t="shared" si="121"/>
        <v>2.9932409441277661E-12</v>
      </c>
      <c r="CX142" s="59">
        <f t="shared" si="122"/>
        <v>285.2834402562039</v>
      </c>
      <c r="CY142" s="59">
        <f ca="1">AVERAGE(OFFSET($CX$3,0,0,'Données projet'!$E$13+1,1))-AVERAGE(OFFSET($H$3,0,0,'Données projet'!$E$13+1,1))</f>
        <v>424.5933338095914</v>
      </c>
      <c r="CZ142" s="59">
        <f t="shared" si="150"/>
        <v>159.28977188196134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133.10308164439144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133.10308164439144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-18.333333333333343</v>
      </c>
      <c r="DU142" s="59">
        <f t="shared" si="152"/>
        <v>-18.333333333333343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-18.333333333333343</v>
      </c>
      <c r="EP142" s="59">
        <f t="shared" si="154"/>
        <v>-18.333333333333343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8.1590000000000025</v>
      </c>
      <c r="FE142" s="12">
        <f>IF('Données projet'!$A$218&gt;35,FE141+FD142-FM141,IF(A142&lt;'Données projet'!$A$218,$FB$205^A142,IF(A142='Données projet'!$A$218,'Données projet'!$B$218,FE141+FD142-FM141)))</f>
        <v>422.43500000000063</v>
      </c>
      <c r="FF142" s="17">
        <f>FE142*VLOOKUP('Données projet'!$B$16,Paramètres!$A$1:$I$89,3,0)*VLOOKUP('Données projet'!$B$16,Paramètres!$A$1:$I$89,5,0)</f>
        <v>408.57913200000064</v>
      </c>
      <c r="FG142" s="13">
        <f t="shared" si="155"/>
        <v>93.513798619486451</v>
      </c>
      <c r="FH142" s="20">
        <f t="shared" si="130"/>
        <v>874.47852082893996</v>
      </c>
      <c r="FI142" s="59">
        <f t="shared" si="131"/>
        <v>1159.7619610851409</v>
      </c>
      <c r="FJ142" s="59">
        <f ca="1">AVERAGE(OFFSET($FI$3,0,0,'Données projet'!$E$16+1,1))-AVERAGE(OFFSET($H$3,0,0,'Données projet'!$E$16+1,1))</f>
        <v>664.59451650228573</v>
      </c>
      <c r="FK142" s="59">
        <f t="shared" si="156"/>
        <v>304.44325029106631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60.561477018670878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60.561477018670878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-6.8212102632969618E-13</v>
      </c>
      <c r="O143" s="13">
        <f>N143*VLOOKUP('Données projet'!$B$9,Paramètres!$A$1:$I$89,3,0)*VLOOKUP('Données projet'!$B$9,Paramètres!$A$1:$I$89,5,0)</f>
        <v>-4.0790837374515837E-13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460.88622650237176</v>
      </c>
      <c r="T143" s="59">
        <f t="shared" si="142"/>
        <v>396.05161661639647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71.564551468653335</v>
      </c>
      <c r="AA143" s="21">
        <f>EXP(-LN(2)/25)*AA142+(1-EXP(-LN(2)/25))/(LN(2)/25)*Calculateur!V143*Calculateur!X143*VLOOKUP('Données projet'!$B$9,Paramètres!$A$1:$I$89,3,0)*0.475*44/12</f>
        <v>6.6093364061729183</v>
      </c>
      <c r="AB143" s="21">
        <f>EXP(-LN(2)/2)*AB142+(1-EXP(-LN(2)/2))/(LN(2)/2)*V143*Y143*VLOOKUP('Données projet'!$B$9,Paramètres!$A$1:$I$89,3,0)*0.475*44/12</f>
        <v>9.5682740214271771E-9</v>
      </c>
      <c r="AC143" s="22">
        <f t="shared" si="111"/>
        <v>78.173887884394517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-4.5474735088646412E-13</v>
      </c>
      <c r="AJ143" s="13">
        <f>AI143*VLOOKUP('Données projet'!$B$10,Paramètres!$A$1:$I$89,3,0)*VLOOKUP('Données projet'!$B$10,Paramètres!$A$1:$I$89,5,0)</f>
        <v>-2.1282176021486519E-13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387.50901594883317</v>
      </c>
      <c r="AO143" s="59">
        <f t="shared" si="144"/>
        <v>361.3623790401972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114.40959107061812</v>
      </c>
      <c r="AV143" s="21">
        <f>EXP(-LN(2)/25)*AV142+(1-EXP(-LN(2)/25))/(LN(2)/25)*Calculateur!AQ143*Calculateur!AS143*VLOOKUP('Données projet'!$B$10,Paramètres!$A$1:$I$89,3,0)*0.475*44/12</f>
        <v>13.093353539648207</v>
      </c>
      <c r="AW143" s="21">
        <f>EXP(-LN(2)/2)*AW142+(1-EXP(-LN(2)/2))/(LN(2)/2)*AQ143*AT143*VLOOKUP('Données projet'!$B$10,Paramètres!$A$1:$I$89,3,0)*0.475*44/12</f>
        <v>9.3973826638645382E-5</v>
      </c>
      <c r="AX143" s="21">
        <f t="shared" si="114"/>
        <v>127.50303858409296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8.1590000000000025</v>
      </c>
      <c r="BD143" s="12">
        <f>IF('Données projet'!$A$88&gt;35,BD142+BC143-BL142,IF(A143&lt;'Données projet'!$A$88,$BA$205^A143,IF(A143='Données projet'!$A$88,'Données projet'!$B$88,BD142+BC143-BL142)))</f>
        <v>430.59400000000062</v>
      </c>
      <c r="BE143" s="13">
        <f>BD143*VLOOKUP('Données projet'!$B$11,Paramètres!$A$1:$I$89,3,0)*VLOOKUP('Données projet'!$B$11,Paramètres!$A$1:$I$89,5,0)</f>
        <v>389.60145120000055</v>
      </c>
      <c r="BF143" s="13">
        <f t="shared" si="145"/>
        <v>89.665298143968485</v>
      </c>
      <c r="BG143" s="20">
        <f t="shared" si="115"/>
        <v>834.72292177407928</v>
      </c>
      <c r="BH143" s="59">
        <f t="shared" si="116"/>
        <v>1120.1460096783037</v>
      </c>
      <c r="BI143" s="59">
        <f ca="1">AVERAGE(OFFSET($BH$3,0,0,'Données projet'!$E$11+1,1))-AVERAGE(OFFSET($H$3,0,0,'Données projet'!$E$11+1,1))</f>
        <v>627.65081154031589</v>
      </c>
      <c r="BJ143" s="59">
        <f t="shared" si="146"/>
        <v>288.78083487077618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55.543328980724567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55.543328980724567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8.1590000000000025</v>
      </c>
      <c r="BY143" s="12">
        <f>IF('Données projet'!$A$114&gt;35,BY142+BX143-CG142,IF(A143&lt;'Données projet'!$A$114,$BV$205^A143,IF(A143='Données projet'!$A$114,'Données projet'!$B$114,BY142+BX143-CG142)))</f>
        <v>430.59400000000062</v>
      </c>
      <c r="BZ143" s="13">
        <f>BY143*VLOOKUP('Données projet'!$B$12,Paramètres!$A$1:$I$89,3,0)*VLOOKUP('Données projet'!$B$12,Paramètres!$A$1:$I$89,5,0)</f>
        <v>436.62231600000064</v>
      </c>
      <c r="CA143" s="13">
        <f t="shared" si="147"/>
        <v>99.163001507201159</v>
      </c>
      <c r="CB143" s="20">
        <f t="shared" si="118"/>
        <v>933.15942799170989</v>
      </c>
      <c r="CC143" s="59">
        <f t="shared" si="119"/>
        <v>1218.5825158959342</v>
      </c>
      <c r="CD143" s="59">
        <f ca="1">AVERAGE(OFFSET($CC$3,0,0,'Données projet'!$E$12+1,1))-AVERAGE(OFFSET($H$3,0,0,'Données projet'!$E$12+1,1))</f>
        <v>692.2706942067415</v>
      </c>
      <c r="CE143" s="59">
        <f t="shared" si="148"/>
        <v>316.17529091924803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62.246834202536157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62.246834202536157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1.1368683772161603E-13</v>
      </c>
      <c r="CU143" s="17">
        <f>CT143*VLOOKUP('Données projet'!$B$13,Paramètres!$A$1:$I$89,3,0)*VLOOKUP('Données projet'!$B$13,Paramètres!$A$1:$I$89,5,0)</f>
        <v>1.0818439477588981E-13</v>
      </c>
      <c r="CV143" s="13">
        <f t="shared" si="149"/>
        <v>1.6104228458716316E-12</v>
      </c>
      <c r="CW143" s="20">
        <f t="shared" si="121"/>
        <v>2.9932409441277661E-12</v>
      </c>
      <c r="CX143" s="59">
        <f t="shared" si="122"/>
        <v>285.42308790422737</v>
      </c>
      <c r="CY143" s="59">
        <f ca="1">AVERAGE(OFFSET($CX$3,0,0,'Données projet'!$E$13+1,1))-AVERAGE(OFFSET($H$3,0,0,'Données projet'!$E$13+1,1))</f>
        <v>424.5933338095914</v>
      </c>
      <c r="CZ143" s="59">
        <f t="shared" si="150"/>
        <v>159.28977188196134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130.49301139820838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130.49301139820838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-18.333333333333343</v>
      </c>
      <c r="DU143" s="59">
        <f t="shared" si="152"/>
        <v>-18.333333333333343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-18.333333333333343</v>
      </c>
      <c r="EP143" s="59">
        <f t="shared" si="154"/>
        <v>-18.333333333333343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8.1590000000000025</v>
      </c>
      <c r="FE143" s="12">
        <f>IF('Données projet'!$A$218&gt;35,FE142+FD143-FM142,IF(A143&lt;'Données projet'!$A$218,$FB$205^A143,IF(A143='Données projet'!$A$218,'Données projet'!$B$218,FE142+FD143-FM142)))</f>
        <v>430.59400000000062</v>
      </c>
      <c r="FF143" s="17">
        <f>FE143*VLOOKUP('Données projet'!$B$16,Paramètres!$A$1:$I$89,3,0)*VLOOKUP('Données projet'!$B$16,Paramètres!$A$1:$I$89,5,0)</f>
        <v>416.47051680000061</v>
      </c>
      <c r="FG143" s="13">
        <f t="shared" si="155"/>
        <v>95.107927622763967</v>
      </c>
      <c r="FH143" s="20">
        <f t="shared" si="130"/>
        <v>890.99912403631481</v>
      </c>
      <c r="FI143" s="59">
        <f t="shared" si="131"/>
        <v>1176.4222119405392</v>
      </c>
      <c r="FJ143" s="59">
        <f ca="1">AVERAGE(OFFSET($FI$3,0,0,'Données projet'!$E$16+1,1))-AVERAGE(OFFSET($H$3,0,0,'Données projet'!$E$16+1,1))</f>
        <v>664.59451650228573</v>
      </c>
      <c r="FK143" s="59">
        <f t="shared" si="156"/>
        <v>304.44325029106631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59.373903393188314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59.373903393188314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-6.8212102632969618E-13</v>
      </c>
      <c r="O144" s="13">
        <f>N144*VLOOKUP('Données projet'!$B$9,Paramètres!$A$1:$I$89,3,0)*VLOOKUP('Données projet'!$B$9,Paramètres!$A$1:$I$89,5,0)</f>
        <v>-4.0790837374515837E-13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460.88622650237176</v>
      </c>
      <c r="T144" s="59">
        <f t="shared" si="142"/>
        <v>396.05161661639647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70.161214264419357</v>
      </c>
      <c r="AA144" s="21">
        <f>EXP(-LN(2)/25)*AA143+(1-EXP(-LN(2)/25))/(LN(2)/25)*Calculateur!V144*Calculateur!X144*VLOOKUP('Données projet'!$B$9,Paramètres!$A$1:$I$89,3,0)*0.475*44/12</f>
        <v>6.4286037545762245</v>
      </c>
      <c r="AB144" s="21">
        <f>EXP(-LN(2)/2)*AB143+(1-EXP(-LN(2)/2))/(LN(2)/2)*V144*Y144*VLOOKUP('Données projet'!$B$9,Paramètres!$A$1:$I$89,3,0)*0.475*44/12</f>
        <v>6.7657914448022341E-9</v>
      </c>
      <c r="AC144" s="22">
        <f t="shared" si="111"/>
        <v>76.589818025761375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-4.5474735088646412E-13</v>
      </c>
      <c r="AJ144" s="13">
        <f>AI144*VLOOKUP('Données projet'!$B$10,Paramètres!$A$1:$I$89,3,0)*VLOOKUP('Données projet'!$B$10,Paramètres!$A$1:$I$89,5,0)</f>
        <v>-2.1282176021486519E-13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387.50901594883317</v>
      </c>
      <c r="AO144" s="59">
        <f t="shared" si="144"/>
        <v>361.3623790401972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112.16608877268335</v>
      </c>
      <c r="AV144" s="21">
        <f>EXP(-LN(2)/25)*AV143+(1-EXP(-LN(2)/25))/(LN(2)/25)*Calculateur!AQ144*Calculateur!AS144*VLOOKUP('Données projet'!$B$10,Paramètres!$A$1:$I$89,3,0)*0.475*44/12</f>
        <v>12.73531509855699</v>
      </c>
      <c r="AW144" s="21">
        <f>EXP(-LN(2)/2)*AW143+(1-EXP(-LN(2)/2))/(LN(2)/2)*AQ144*AT144*VLOOKUP('Données projet'!$B$10,Paramètres!$A$1:$I$89,3,0)*0.475*44/12</f>
        <v>6.6449530070235169E-5</v>
      </c>
      <c r="AX144" s="21">
        <f t="shared" si="114"/>
        <v>124.90147032077041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8.1590000000000025</v>
      </c>
      <c r="BD144" s="12">
        <f>IF('Données projet'!$A$88&gt;35,BD143+BC144-BL143,IF(A144&lt;'Données projet'!$A$88,$BA$205^A144,IF(A144='Données projet'!$A$88,'Données projet'!$B$88,BD143+BC144-BL143)))</f>
        <v>438.75300000000061</v>
      </c>
      <c r="BE144" s="13">
        <f>BD144*VLOOKUP('Données projet'!$B$11,Paramètres!$A$1:$I$89,3,0)*VLOOKUP('Données projet'!$B$11,Paramètres!$A$1:$I$89,5,0)</f>
        <v>396.98371440000057</v>
      </c>
      <c r="BF144" s="13">
        <f t="shared" si="145"/>
        <v>91.164890478045521</v>
      </c>
      <c r="BG144" s="20">
        <f t="shared" si="115"/>
        <v>850.19215349593026</v>
      </c>
      <c r="BH144" s="59">
        <f t="shared" si="116"/>
        <v>1135.7524664736902</v>
      </c>
      <c r="BI144" s="59">
        <f ca="1">AVERAGE(OFFSET($BH$3,0,0,'Données projet'!$E$11+1,1))-AVERAGE(OFFSET($H$3,0,0,'Données projet'!$E$11+1,1))</f>
        <v>627.65081154031589</v>
      </c>
      <c r="BJ144" s="59">
        <f t="shared" si="146"/>
        <v>288.78083487077618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54.454158177498051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54.454158177498051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8.1590000000000025</v>
      </c>
      <c r="BY144" s="12">
        <f>IF('Données projet'!$A$114&gt;35,BY143+BX144-CG143,IF(A144&lt;'Données projet'!$A$114,$BV$205^A144,IF(A144='Données projet'!$A$114,'Données projet'!$B$114,BY143+BX144-CG143)))</f>
        <v>438.75300000000061</v>
      </c>
      <c r="BZ144" s="13">
        <f>BY144*VLOOKUP('Données projet'!$B$12,Paramètres!$A$1:$I$89,3,0)*VLOOKUP('Données projet'!$B$12,Paramètres!$A$1:$I$89,5,0)</f>
        <v>444.89554200000066</v>
      </c>
      <c r="CA144" s="13">
        <f t="shared" si="147"/>
        <v>100.82143659817152</v>
      </c>
      <c r="CB144" s="20">
        <f t="shared" si="118"/>
        <v>950.45707105848317</v>
      </c>
      <c r="CC144" s="59">
        <f t="shared" si="119"/>
        <v>1236.0173840362431</v>
      </c>
      <c r="CD144" s="59">
        <f ca="1">AVERAGE(OFFSET($CC$3,0,0,'Données projet'!$E$12+1,1))-AVERAGE(OFFSET($H$3,0,0,'Données projet'!$E$12+1,1))</f>
        <v>692.2706942067415</v>
      </c>
      <c r="CE144" s="59">
        <f t="shared" si="148"/>
        <v>316.17529091924803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61.026211750644372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61.026211750644372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1.1368683772161603E-13</v>
      </c>
      <c r="CU144" s="17">
        <f>CT144*VLOOKUP('Données projet'!$B$13,Paramètres!$A$1:$I$89,3,0)*VLOOKUP('Données projet'!$B$13,Paramètres!$A$1:$I$89,5,0)</f>
        <v>1.0818439477588981E-13</v>
      </c>
      <c r="CV144" s="13">
        <f t="shared" si="149"/>
        <v>1.6104228458716316E-12</v>
      </c>
      <c r="CW144" s="20">
        <f t="shared" si="121"/>
        <v>2.9932409441277661E-12</v>
      </c>
      <c r="CX144" s="59">
        <f t="shared" si="122"/>
        <v>285.56031297776303</v>
      </c>
      <c r="CY144" s="59">
        <f ca="1">AVERAGE(OFFSET($CX$3,0,0,'Données projet'!$E$13+1,1))-AVERAGE(OFFSET($H$3,0,0,'Données projet'!$E$13+1,1))</f>
        <v>424.5933338095914</v>
      </c>
      <c r="CZ144" s="59">
        <f t="shared" si="150"/>
        <v>159.28977188196134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127.93412303756732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127.93412303756732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-18.333333333333343</v>
      </c>
      <c r="DU144" s="59">
        <f t="shared" si="152"/>
        <v>-18.333333333333343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-18.333333333333343</v>
      </c>
      <c r="EP144" s="59">
        <f t="shared" si="154"/>
        <v>-18.333333333333343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8.1590000000000025</v>
      </c>
      <c r="FE144" s="12">
        <f>IF('Données projet'!$A$218&gt;35,FE143+FD144-FM143,IF(A144&lt;'Données projet'!$A$218,$FB$205^A144,IF(A144='Données projet'!$A$218,'Données projet'!$B$218,FE143+FD144-FM143)))</f>
        <v>438.75300000000061</v>
      </c>
      <c r="FF144" s="17">
        <f>FE144*VLOOKUP('Données projet'!$B$16,Paramètres!$A$1:$I$89,3,0)*VLOOKUP('Données projet'!$B$16,Paramètres!$A$1:$I$89,5,0)</f>
        <v>424.36190160000064</v>
      </c>
      <c r="FG144" s="13">
        <f t="shared" si="155"/>
        <v>96.698544306422932</v>
      </c>
      <c r="FH144" s="20">
        <f t="shared" si="130"/>
        <v>907.51360995368759</v>
      </c>
      <c r="FI144" s="59">
        <f t="shared" si="131"/>
        <v>1193.0739229314477</v>
      </c>
      <c r="FJ144" s="59">
        <f ca="1">AVERAGE(OFFSET($FI$3,0,0,'Données projet'!$E$16+1,1))-AVERAGE(OFFSET($H$3,0,0,'Données projet'!$E$16+1,1))</f>
        <v>664.59451650228573</v>
      </c>
      <c r="FK144" s="59">
        <f t="shared" si="156"/>
        <v>304.44325029106631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58.209617362153075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58.209617362153075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-6.8212102632969618E-13</v>
      </c>
      <c r="O145" s="13">
        <f>N145*VLOOKUP('Données projet'!$B$9,Paramètres!$A$1:$I$89,3,0)*VLOOKUP('Données projet'!$B$9,Paramètres!$A$1:$I$89,5,0)</f>
        <v>-4.0790837374515837E-13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460.88622650237176</v>
      </c>
      <c r="T145" s="59">
        <f t="shared" si="142"/>
        <v>396.05161661639647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68.785395646809221</v>
      </c>
      <c r="AA145" s="21">
        <f>EXP(-LN(2)/25)*AA144+(1-EXP(-LN(2)/25))/(LN(2)/25)*Calculateur!V145*Calculateur!X145*VLOOKUP('Données projet'!$B$9,Paramètres!$A$1:$I$89,3,0)*0.475*44/12</f>
        <v>6.2528132468417592</v>
      </c>
      <c r="AB145" s="21">
        <f>EXP(-LN(2)/2)*AB144+(1-EXP(-LN(2)/2))/(LN(2)/2)*V145*Y145*VLOOKUP('Données projet'!$B$9,Paramètres!$A$1:$I$89,3,0)*0.475*44/12</f>
        <v>4.7841370107135886E-9</v>
      </c>
      <c r="AC145" s="22">
        <f t="shared" si="111"/>
        <v>75.038208898435116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-4.5474735088646412E-13</v>
      </c>
      <c r="AJ145" s="13">
        <f>AI145*VLOOKUP('Données projet'!$B$10,Paramètres!$A$1:$I$89,3,0)*VLOOKUP('Données projet'!$B$10,Paramètres!$A$1:$I$89,5,0)</f>
        <v>-2.1282176021486519E-13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387.50901594883317</v>
      </c>
      <c r="AO145" s="59">
        <f t="shared" si="144"/>
        <v>361.3623790401972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109.9665801864098</v>
      </c>
      <c r="AV145" s="21">
        <f>EXP(-LN(2)/25)*AV144+(1-EXP(-LN(2)/25))/(LN(2)/25)*Calculateur!AQ145*Calculateur!AS145*VLOOKUP('Données projet'!$B$10,Paramètres!$A$1:$I$89,3,0)*0.475*44/12</f>
        <v>12.387067237465835</v>
      </c>
      <c r="AW145" s="21">
        <f>EXP(-LN(2)/2)*AW144+(1-EXP(-LN(2)/2))/(LN(2)/2)*AQ145*AT145*VLOOKUP('Données projet'!$B$10,Paramètres!$A$1:$I$89,3,0)*0.475*44/12</f>
        <v>4.6986913319322691E-5</v>
      </c>
      <c r="AX145" s="21">
        <f t="shared" si="114"/>
        <v>122.35369441078895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8.1590000000000025</v>
      </c>
      <c r="BD145" s="12">
        <f>IF('Données projet'!$A$88&gt;35,BD144+BC145-BL144,IF(A145&lt;'Données projet'!$A$88,$BA$205^A145,IF(A145='Données projet'!$A$88,'Données projet'!$B$88,BD144+BC145-BL144)))</f>
        <v>446.9120000000006</v>
      </c>
      <c r="BE145" s="13">
        <f>BD145*VLOOKUP('Données projet'!$B$11,Paramètres!$A$1:$I$89,3,0)*VLOOKUP('Données projet'!$B$11,Paramètres!$A$1:$I$89,5,0)</f>
        <v>404.36597760000052</v>
      </c>
      <c r="BF145" s="13">
        <f t="shared" si="145"/>
        <v>92.66124016608812</v>
      </c>
      <c r="BG145" s="20">
        <f t="shared" si="115"/>
        <v>865.655737609271</v>
      </c>
      <c r="BH145" s="59">
        <f t="shared" si="116"/>
        <v>1151.3508951123301</v>
      </c>
      <c r="BI145" s="59">
        <f ca="1">AVERAGE(OFFSET($BH$3,0,0,'Données projet'!$E$11+1,1))-AVERAGE(OFFSET($H$3,0,0,'Données projet'!$E$11+1,1))</f>
        <v>627.65081154031589</v>
      </c>
      <c r="BJ145" s="59">
        <f t="shared" si="146"/>
        <v>288.78083487077618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53.386345349394219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53.386345349394219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8.1590000000000025</v>
      </c>
      <c r="BY145" s="12">
        <f>IF('Données projet'!$A$114&gt;35,BY144+BX145-CG144,IF(A145&lt;'Données projet'!$A$114,$BV$205^A145,IF(A145='Données projet'!$A$114,'Données projet'!$B$114,BY144+BX145-CG144)))</f>
        <v>446.9120000000006</v>
      </c>
      <c r="BZ145" s="13">
        <f>BY145*VLOOKUP('Données projet'!$B$12,Paramètres!$A$1:$I$89,3,0)*VLOOKUP('Données projet'!$B$12,Paramètres!$A$1:$I$89,5,0)</f>
        <v>453.16876800000063</v>
      </c>
      <c r="CA145" s="13">
        <f t="shared" si="147"/>
        <v>102.47628556920169</v>
      </c>
      <c r="CB145" s="20">
        <f t="shared" si="118"/>
        <v>967.74846829969408</v>
      </c>
      <c r="CC145" s="59">
        <f t="shared" si="119"/>
        <v>1253.4436258027531</v>
      </c>
      <c r="CD145" s="59">
        <f ca="1">AVERAGE(OFFSET($CC$3,0,0,'Données projet'!$E$12+1,1))-AVERAGE(OFFSET($H$3,0,0,'Données projet'!$E$12+1,1))</f>
        <v>692.2706942067415</v>
      </c>
      <c r="CE145" s="59">
        <f t="shared" si="148"/>
        <v>316.17529091924803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59.829524960528005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59.829524960528005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1.1368683772161603E-13</v>
      </c>
      <c r="CU145" s="17">
        <f>CT145*VLOOKUP('Données projet'!$B$13,Paramètres!$A$1:$I$89,3,0)*VLOOKUP('Données projet'!$B$13,Paramètres!$A$1:$I$89,5,0)</f>
        <v>1.0818439477588981E-13</v>
      </c>
      <c r="CV145" s="13">
        <f t="shared" si="149"/>
        <v>1.6104228458716316E-12</v>
      </c>
      <c r="CW145" s="20">
        <f t="shared" si="121"/>
        <v>2.9932409441277661E-12</v>
      </c>
      <c r="CX145" s="59">
        <f t="shared" si="122"/>
        <v>285.69515750306209</v>
      </c>
      <c r="CY145" s="59">
        <f ca="1">AVERAGE(OFFSET($CX$3,0,0,'Données projet'!$E$13+1,1))-AVERAGE(OFFSET($H$3,0,0,'Données projet'!$E$13+1,1))</f>
        <v>424.5933338095914</v>
      </c>
      <c r="CZ145" s="59">
        <f t="shared" si="150"/>
        <v>159.28977188196134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125.42541291691064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125.42541291691064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-18.333333333333343</v>
      </c>
      <c r="DU145" s="59">
        <f t="shared" si="152"/>
        <v>-18.333333333333343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-18.333333333333343</v>
      </c>
      <c r="EP145" s="59">
        <f t="shared" si="154"/>
        <v>-18.333333333333343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8.1590000000000025</v>
      </c>
      <c r="FE145" s="12">
        <f>IF('Données projet'!$A$218&gt;35,FE144+FD145-FM144,IF(A145&lt;'Données projet'!$A$218,$FB$205^A145,IF(A145='Données projet'!$A$218,'Données projet'!$B$218,FE144+FD145-FM144)))</f>
        <v>446.9120000000006</v>
      </c>
      <c r="FF145" s="17">
        <f>FE145*VLOOKUP('Données projet'!$B$16,Paramètres!$A$1:$I$89,3,0)*VLOOKUP('Données projet'!$B$16,Paramètres!$A$1:$I$89,5,0)</f>
        <v>432.25328640000055</v>
      </c>
      <c r="FG145" s="13">
        <f t="shared" si="155"/>
        <v>98.2857215173903</v>
      </c>
      <c r="FH145" s="20">
        <f t="shared" si="130"/>
        <v>924.02210545612218</v>
      </c>
      <c r="FI145" s="59">
        <f t="shared" si="131"/>
        <v>1209.7172629591812</v>
      </c>
      <c r="FJ145" s="59">
        <f ca="1">AVERAGE(OFFSET($FI$3,0,0,'Données projet'!$E$16+1,1))-AVERAGE(OFFSET($H$3,0,0,'Données projet'!$E$16+1,1))</f>
        <v>664.59451650228573</v>
      </c>
      <c r="FK145" s="59">
        <f t="shared" si="156"/>
        <v>304.44325029106631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57.06816227004208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57.06816227004208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-6.8212102632969618E-13</v>
      </c>
      <c r="O146" s="13">
        <f>N146*VLOOKUP('Données projet'!$B$9,Paramètres!$A$1:$I$89,3,0)*VLOOKUP('Données projet'!$B$9,Paramètres!$A$1:$I$89,5,0)</f>
        <v>-4.0790837374515837E-13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460.88622650237176</v>
      </c>
      <c r="T146" s="59">
        <f t="shared" si="142"/>
        <v>396.05161661639647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67.436555993123932</v>
      </c>
      <c r="AA146" s="21">
        <f>EXP(-LN(2)/25)*AA145+(1-EXP(-LN(2)/25))/(LN(2)/25)*Calculateur!V146*Calculateur!X146*VLOOKUP('Données projet'!$B$9,Paramètres!$A$1:$I$89,3,0)*0.475*44/12</f>
        <v>6.0818297397857135</v>
      </c>
      <c r="AB146" s="21">
        <f>EXP(-LN(2)/2)*AB145+(1-EXP(-LN(2)/2))/(LN(2)/2)*V146*Y146*VLOOKUP('Données projet'!$B$9,Paramètres!$A$1:$I$89,3,0)*0.475*44/12</f>
        <v>3.3828957224011171E-9</v>
      </c>
      <c r="AC146" s="22">
        <f t="shared" si="111"/>
        <v>73.518385736292544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-4.5474735088646412E-13</v>
      </c>
      <c r="AJ146" s="13">
        <f>AI146*VLOOKUP('Données projet'!$B$10,Paramètres!$A$1:$I$89,3,0)*VLOOKUP('Données projet'!$B$10,Paramètres!$A$1:$I$89,5,0)</f>
        <v>-2.1282176021486519E-13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387.50901594883317</v>
      </c>
      <c r="AO146" s="59">
        <f t="shared" si="144"/>
        <v>361.3623790401972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107.81020262194531</v>
      </c>
      <c r="AV146" s="21">
        <f>EXP(-LN(2)/25)*AV145+(1-EXP(-LN(2)/25))/(LN(2)/25)*Calculateur!AQ146*Calculateur!AS146*VLOOKUP('Données projet'!$B$10,Paramètres!$A$1:$I$89,3,0)*0.475*44/12</f>
        <v>12.048342232449777</v>
      </c>
      <c r="AW146" s="21">
        <f>EXP(-LN(2)/2)*AW145+(1-EXP(-LN(2)/2))/(LN(2)/2)*AQ146*AT146*VLOOKUP('Données projet'!$B$10,Paramètres!$A$1:$I$89,3,0)*0.475*44/12</f>
        <v>3.3224765035117585E-5</v>
      </c>
      <c r="AX146" s="21">
        <f t="shared" si="114"/>
        <v>119.85857807916013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8.1590000000000025</v>
      </c>
      <c r="BD146" s="12">
        <f>IF('Données projet'!$A$88&gt;35,BD145+BC146-BL145,IF(A146&lt;'Données projet'!$A$88,$BA$205^A146,IF(A146='Données projet'!$A$88,'Données projet'!$B$88,BD145+BC146-BL145)))</f>
        <v>455.07100000000059</v>
      </c>
      <c r="BE146" s="13">
        <f>BD146*VLOOKUP('Données projet'!$B$11,Paramètres!$A$1:$I$89,3,0)*VLOOKUP('Données projet'!$B$11,Paramètres!$A$1:$I$89,5,0)</f>
        <v>411.74824080000053</v>
      </c>
      <c r="BF146" s="13">
        <f t="shared" si="145"/>
        <v>94.15441323509782</v>
      </c>
      <c r="BG146" s="20">
        <f t="shared" si="115"/>
        <v>881.11378911112968</v>
      </c>
      <c r="BH146" s="59">
        <f t="shared" si="116"/>
        <v>1166.9414518884412</v>
      </c>
      <c r="BI146" s="59">
        <f ca="1">AVERAGE(OFFSET($BH$3,0,0,'Données projet'!$E$11+1,1))-AVERAGE(OFFSET($H$3,0,0,'Données projet'!$E$11+1,1))</f>
        <v>627.65081154031589</v>
      </c>
      <c r="BJ146" s="59">
        <f t="shared" si="146"/>
        <v>288.78083487077618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52.339471679547984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52.339471679547984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8.1590000000000025</v>
      </c>
      <c r="BY146" s="12">
        <f>IF('Données projet'!$A$114&gt;35,BY145+BX146-CG145,IF(A146&lt;'Données projet'!$A$114,$BV$205^A146,IF(A146='Données projet'!$A$114,'Données projet'!$B$114,BY145+BX146-CG145)))</f>
        <v>455.07100000000059</v>
      </c>
      <c r="BZ146" s="13">
        <f>BY146*VLOOKUP('Données projet'!$B$12,Paramètres!$A$1:$I$89,3,0)*VLOOKUP('Données projet'!$B$12,Paramètres!$A$1:$I$89,5,0)</f>
        <v>461.44199400000065</v>
      </c>
      <c r="CA146" s="13">
        <f t="shared" si="147"/>
        <v>104.12762144113498</v>
      </c>
      <c r="CB146" s="20">
        <f t="shared" si="118"/>
        <v>985.03374689331122</v>
      </c>
      <c r="CC146" s="59">
        <f t="shared" si="119"/>
        <v>1270.8614096706226</v>
      </c>
      <c r="CD146" s="59">
        <f ca="1">AVERAGE(OFFSET($CC$3,0,0,'Données projet'!$E$12+1,1))-AVERAGE(OFFSET($H$3,0,0,'Données projet'!$E$12+1,1))</f>
        <v>692.2706942067415</v>
      </c>
      <c r="CE146" s="59">
        <f t="shared" si="148"/>
        <v>316.17529091924803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58.656304468458949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58.656304468458949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1.1368683772161603E-13</v>
      </c>
      <c r="CU146" s="17">
        <f>CT146*VLOOKUP('Données projet'!$B$13,Paramètres!$A$1:$I$89,3,0)*VLOOKUP('Données projet'!$B$13,Paramètres!$A$1:$I$89,5,0)</f>
        <v>1.0818439477588981E-13</v>
      </c>
      <c r="CV146" s="13">
        <f t="shared" si="149"/>
        <v>1.6104228458716316E-12</v>
      </c>
      <c r="CW146" s="20">
        <f t="shared" si="121"/>
        <v>2.9932409441277661E-12</v>
      </c>
      <c r="CX146" s="59">
        <f t="shared" si="122"/>
        <v>285.82766277731446</v>
      </c>
      <c r="CY146" s="59">
        <f ca="1">AVERAGE(OFFSET($CX$3,0,0,'Données projet'!$E$13+1,1))-AVERAGE(OFFSET($H$3,0,0,'Données projet'!$E$13+1,1))</f>
        <v>424.5933338095914</v>
      </c>
      <c r="CZ146" s="59">
        <f t="shared" si="150"/>
        <v>159.28977188196134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122.96589707155796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122.96589707155796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-18.333333333333343</v>
      </c>
      <c r="DU146" s="59">
        <f t="shared" si="152"/>
        <v>-18.333333333333343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-18.333333333333343</v>
      </c>
      <c r="EP146" s="59">
        <f t="shared" si="154"/>
        <v>-18.333333333333343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8.1590000000000025</v>
      </c>
      <c r="FE146" s="12">
        <f>IF('Données projet'!$A$218&gt;35,FE145+FD146-FM145,IF(A146&lt;'Données projet'!$A$218,$FB$205^A146,IF(A146='Données projet'!$A$218,'Données projet'!$B$218,FE145+FD146-FM145)))</f>
        <v>455.07100000000059</v>
      </c>
      <c r="FF146" s="17">
        <f>FE146*VLOOKUP('Données projet'!$B$16,Paramètres!$A$1:$I$89,3,0)*VLOOKUP('Données projet'!$B$16,Paramètres!$A$1:$I$89,5,0)</f>
        <v>440.14467120000057</v>
      </c>
      <c r="FG146" s="13">
        <f t="shared" si="155"/>
        <v>99.869529290466829</v>
      </c>
      <c r="FH146" s="20">
        <f t="shared" si="130"/>
        <v>940.52473252089715</v>
      </c>
      <c r="FI146" s="59">
        <f t="shared" si="131"/>
        <v>1226.3523952982086</v>
      </c>
      <c r="FJ146" s="59">
        <f ca="1">AVERAGE(OFFSET($FI$3,0,0,'Données projet'!$E$16+1,1))-AVERAGE(OFFSET($H$3,0,0,'Données projet'!$E$16+1,1))</f>
        <v>664.59451650228573</v>
      </c>
      <c r="FK146" s="59">
        <f t="shared" si="156"/>
        <v>304.44325029106631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55.949090416068522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55.949090416068522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-6.8212102632969618E-13</v>
      </c>
      <c r="O147" s="13">
        <f>N147*VLOOKUP('Données projet'!$B$9,Paramètres!$A$1:$I$89,3,0)*VLOOKUP('Données projet'!$B$9,Paramètres!$A$1:$I$89,5,0)</f>
        <v>-4.0790837374515837E-13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460.88622650237176</v>
      </c>
      <c r="T147" s="59">
        <f t="shared" si="142"/>
        <v>396.05161661639647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66.114166262336454</v>
      </c>
      <c r="AA147" s="21">
        <f>EXP(-LN(2)/25)*AA146+(1-EXP(-LN(2)/25))/(LN(2)/25)*Calculateur!V147*Calculateur!X147*VLOOKUP('Données projet'!$B$9,Paramètres!$A$1:$I$89,3,0)*0.475*44/12</f>
        <v>5.9155217857217472</v>
      </c>
      <c r="AB147" s="21">
        <f>EXP(-LN(2)/2)*AB146+(1-EXP(-LN(2)/2))/(LN(2)/2)*V147*Y147*VLOOKUP('Données projet'!$B$9,Paramètres!$A$1:$I$89,3,0)*0.475*44/12</f>
        <v>2.3920685053567943E-9</v>
      </c>
      <c r="AC147" s="22">
        <f t="shared" si="111"/>
        <v>72.029688050450275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-4.5474735088646412E-13</v>
      </c>
      <c r="AJ147" s="13">
        <f>AI147*VLOOKUP('Données projet'!$B$10,Paramètres!$A$1:$I$89,3,0)*VLOOKUP('Données projet'!$B$10,Paramètres!$A$1:$I$89,5,0)</f>
        <v>-2.1282176021486519E-13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387.50901594883317</v>
      </c>
      <c r="AO147" s="59">
        <f t="shared" si="144"/>
        <v>361.3623790401972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105.69611030625953</v>
      </c>
      <c r="AV147" s="21">
        <f>EXP(-LN(2)/25)*AV146+(1-EXP(-LN(2)/25))/(LN(2)/25)*Calculateur!AQ147*Calculateur!AS147*VLOOKUP('Données projet'!$B$10,Paramètres!$A$1:$I$89,3,0)*0.475*44/12</f>
        <v>11.718879680508657</v>
      </c>
      <c r="AW147" s="21">
        <f>EXP(-LN(2)/2)*AW146+(1-EXP(-LN(2)/2))/(LN(2)/2)*AQ147*AT147*VLOOKUP('Données projet'!$B$10,Paramètres!$A$1:$I$89,3,0)*0.475*44/12</f>
        <v>2.3493456659661346E-5</v>
      </c>
      <c r="AX147" s="21">
        <f t="shared" si="114"/>
        <v>117.41501348022484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463.23</v>
      </c>
      <c r="BB147" s="12">
        <f>VLOOKUP(A147,'Données projet'!$A$87:$I$107,9,0)</f>
        <v>8.1590000000000025</v>
      </c>
      <c r="BC147" s="12">
        <f t="array" ref="BC147">INDEX(BB:BB,MIN(IF(ISNUMBER(BB147:BB343),ROW(BB147:BB343),"")))</f>
        <v>8.1590000000000025</v>
      </c>
      <c r="BD147" s="12">
        <f>IF('Données projet'!$A$88&gt;35,BD146+BC147-BL146,IF(A147&lt;'Données projet'!$A$88,$BA$205^A147,IF(A147='Données projet'!$A$88,'Données projet'!$B$88,BD146+BC147-BL146)))</f>
        <v>463.23000000000059</v>
      </c>
      <c r="BE147" s="13">
        <f>BD147*VLOOKUP('Données projet'!$B$11,Paramètres!$A$1:$I$89,3,0)*VLOOKUP('Données projet'!$B$11,Paramètres!$A$1:$I$89,5,0)</f>
        <v>419.13050400000049</v>
      </c>
      <c r="BF147" s="13">
        <f t="shared" si="145"/>
        <v>95.644473208887277</v>
      </c>
      <c r="BG147" s="20">
        <f t="shared" si="115"/>
        <v>896.56641863881293</v>
      </c>
      <c r="BH147" s="59">
        <f t="shared" si="116"/>
        <v>1182.5242880201058</v>
      </c>
      <c r="BI147" s="59">
        <f ca="1">AVERAGE(OFFSET($BH$3,0,0,'Données projet'!$E$11+1,1))-AVERAGE(OFFSET($H$3,0,0,'Données projet'!$E$11+1,1))</f>
        <v>627.65081154031589</v>
      </c>
      <c r="BJ147" s="59">
        <f t="shared" si="146"/>
        <v>288.78083487077618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0.30099999999999999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68.176007382441966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68.176007382441966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463.23</v>
      </c>
      <c r="BW147" s="12">
        <f>VLOOKUP(A147,'Données projet'!$A$113:$I$133,9,0)</f>
        <v>8.1590000000000025</v>
      </c>
      <c r="BX147" s="12">
        <f t="array" ref="BX147">INDEX(BW:BW,MIN(IF(ISNUMBER(BW147:BW343),ROW(BW147:BW343),"")))</f>
        <v>8.1590000000000025</v>
      </c>
      <c r="BY147" s="12">
        <f>IF('Données projet'!$A$114&gt;35,BY146+BX147-CG146,IF(A147&lt;'Données projet'!$A$114,$BV$205^A147,IF(A147='Données projet'!$A$114,'Données projet'!$B$114,BY146+BX147-CG146)))</f>
        <v>463.23000000000059</v>
      </c>
      <c r="BZ147" s="13">
        <f>BY147*VLOOKUP('Données projet'!$B$12,Paramètres!$A$1:$I$89,3,0)*VLOOKUP('Données projet'!$B$12,Paramètres!$A$1:$I$89,5,0)</f>
        <v>469.71522000000061</v>
      </c>
      <c r="CA147" s="13">
        <f t="shared" si="147"/>
        <v>105.77551446647743</v>
      </c>
      <c r="CB147" s="20">
        <f t="shared" si="118"/>
        <v>1002.3130291957826</v>
      </c>
      <c r="CC147" s="59">
        <f t="shared" si="119"/>
        <v>1288.2708985770755</v>
      </c>
      <c r="CD147" s="59">
        <f ca="1">AVERAGE(OFFSET($CC$3,0,0,'Données projet'!$E$12+1,1))-AVERAGE(OFFSET($H$3,0,0,'Données projet'!$E$12+1,1))</f>
        <v>692.2706942067415</v>
      </c>
      <c r="CE147" s="59">
        <f t="shared" si="148"/>
        <v>316.17529091924803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0.30099999999999999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76.404146204460829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76.404146204460829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1.1368683772161603E-13</v>
      </c>
      <c r="CU147" s="17">
        <f>CT147*VLOOKUP('Données projet'!$B$13,Paramètres!$A$1:$I$89,3,0)*VLOOKUP('Données projet'!$B$13,Paramètres!$A$1:$I$89,5,0)</f>
        <v>1.0818439477588981E-13</v>
      </c>
      <c r="CV147" s="13">
        <f t="shared" si="149"/>
        <v>1.6104228458716316E-12</v>
      </c>
      <c r="CW147" s="20">
        <f t="shared" si="121"/>
        <v>2.9932409441277661E-12</v>
      </c>
      <c r="CX147" s="59">
        <f t="shared" si="122"/>
        <v>285.95786938129589</v>
      </c>
      <c r="CY147" s="59">
        <f ca="1">AVERAGE(OFFSET($CX$3,0,0,'Données projet'!$E$13+1,1))-AVERAGE(OFFSET($H$3,0,0,'Données projet'!$E$13+1,1))</f>
        <v>424.5933338095914</v>
      </c>
      <c r="CZ147" s="59">
        <f t="shared" si="150"/>
        <v>159.28977188196134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120.55461083177612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120.55461083177612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-18.333333333333343</v>
      </c>
      <c r="DU147" s="59">
        <f t="shared" si="152"/>
        <v>-18.333333333333343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-18.333333333333343</v>
      </c>
      <c r="EP147" s="59">
        <f t="shared" si="154"/>
        <v>-18.333333333333343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>
        <f>VLOOKUP(A147,'Données projet'!$A$217:$I$237,2,0)</f>
        <v>463.23</v>
      </c>
      <c r="FC147" s="12">
        <f>VLOOKUP(A147,'Données projet'!$A$217:$I$237,9,0)</f>
        <v>8.1590000000000025</v>
      </c>
      <c r="FD147" s="12">
        <f t="array" ref="FD147">INDEX(FC:FC,MIN(IF(ISNUMBER(FC147:FC343),ROW(FC147:FC343),"")))</f>
        <v>8.1590000000000025</v>
      </c>
      <c r="FE147" s="12">
        <f>IF('Données projet'!$A$218&gt;35,FE146+FD147-FM146,IF(A147&lt;'Données projet'!$A$218,$FB$205^A147,IF(A147='Données projet'!$A$218,'Données projet'!$B$218,FE146+FD147-FM146)))</f>
        <v>463.23000000000059</v>
      </c>
      <c r="FF147" s="17">
        <f>FE147*VLOOKUP('Données projet'!$B$16,Paramètres!$A$1:$I$89,3,0)*VLOOKUP('Données projet'!$B$16,Paramètres!$A$1:$I$89,5,0)</f>
        <v>448.0360560000006</v>
      </c>
      <c r="FG147" s="13">
        <f t="shared" si="155"/>
        <v>101.45003500532212</v>
      </c>
      <c r="FH147" s="20">
        <f t="shared" si="130"/>
        <v>957.02160850093696</v>
      </c>
      <c r="FI147" s="59">
        <f t="shared" si="131"/>
        <v>1242.9794778822297</v>
      </c>
      <c r="FJ147" s="59">
        <f ca="1">AVERAGE(OFFSET($FI$3,0,0,'Données projet'!$E$16+1,1))-AVERAGE(OFFSET($H$3,0,0,'Données projet'!$E$16+1,1))</f>
        <v>664.59451650228573</v>
      </c>
      <c r="FK147" s="59">
        <f t="shared" si="156"/>
        <v>304.44325029106631</v>
      </c>
      <c r="FL147" s="15">
        <f>IF(ISNA(VLOOKUP(A147,'Données projet'!$A$217:$I$237,3,0)),0,VLOOKUP(A147,'Données projet'!$A$217:$I$237,3,0))</f>
        <v>12</v>
      </c>
      <c r="FM147" s="15">
        <f>IF(ISNA(VLOOKUP(A147,'Données projet'!$A$217:$I$237,4,0)),0,VLOOKUP(A147,'Données projet'!$A$217:$I$237,4,0))</f>
        <v>56.01</v>
      </c>
      <c r="FN147" s="16">
        <f>IF(ISNA(VLOOKUP(A147,'Données projet'!$A$217:$I$237,5,0)),0%,VLOOKUP(A147,'Données projet'!$A$217:$I$237,5,0)*VLOOKUP('Données projet'!$B$16,Paramètres!$A$1:$I$89,7,0))</f>
        <v>0.30099999999999999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72.87780099502416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72.87780099502416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-6.8212102632969618E-13</v>
      </c>
      <c r="O148" s="13">
        <f>N148*VLOOKUP('Données projet'!$B$9,Paramètres!$A$1:$I$89,3,0)*VLOOKUP('Données projet'!$B$9,Paramètres!$A$1:$I$89,5,0)</f>
        <v>-4.0790837374515837E-13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460.88622650237176</v>
      </c>
      <c r="T148" s="59">
        <f t="shared" si="142"/>
        <v>396.05161661639647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64.81770778759163</v>
      </c>
      <c r="AA148" s="21">
        <f>EXP(-LN(2)/25)*AA147+(1-EXP(-LN(2)/25))/(LN(2)/25)*Calculateur!V148*Calculateur!X148*VLOOKUP('Données projet'!$B$9,Paramètres!$A$1:$I$89,3,0)*0.475*44/12</f>
        <v>5.7537615314074158</v>
      </c>
      <c r="AB148" s="21">
        <f>EXP(-LN(2)/2)*AB147+(1-EXP(-LN(2)/2))/(LN(2)/2)*V148*Y148*VLOOKUP('Données projet'!$B$9,Paramètres!$A$1:$I$89,3,0)*0.475*44/12</f>
        <v>1.6914478612005585E-9</v>
      </c>
      <c r="AC148" s="22">
        <f t="shared" si="111"/>
        <v>70.571469320690497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-4.5474735088646412E-13</v>
      </c>
      <c r="AJ148" s="13">
        <f>AI148*VLOOKUP('Données projet'!$B$10,Paramètres!$A$1:$I$89,3,0)*VLOOKUP('Données projet'!$B$10,Paramètres!$A$1:$I$89,5,0)</f>
        <v>-2.1282176021486519E-13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387.50901594883317</v>
      </c>
      <c r="AO148" s="59">
        <f t="shared" si="144"/>
        <v>361.3623790401972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103.62347405141536</v>
      </c>
      <c r="AV148" s="21">
        <f>EXP(-LN(2)/25)*AV147+(1-EXP(-LN(2)/25))/(LN(2)/25)*Calculateur!AQ148*Calculateur!AS148*VLOOKUP('Données projet'!$B$10,Paramètres!$A$1:$I$89,3,0)*0.475*44/12</f>
        <v>11.39842629937605</v>
      </c>
      <c r="AW148" s="21">
        <f>EXP(-LN(2)/2)*AW147+(1-EXP(-LN(2)/2))/(LN(2)/2)*AQ148*AT148*VLOOKUP('Données projet'!$B$10,Paramètres!$A$1:$I$89,3,0)*0.475*44/12</f>
        <v>1.6612382517558792E-5</v>
      </c>
      <c r="AX148" s="21">
        <f t="shared" si="114"/>
        <v>115.02191696317394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8.3249999999999993</v>
      </c>
      <c r="BD148" s="12">
        <f>IF('Données projet'!$A$88&gt;35,BD147+BC148-BL147,IF(A148&lt;'Données projet'!$A$88,$BA$205^A148,IF(A148='Données projet'!$A$88,'Données projet'!$B$88,BD147+BC148-BL147)))</f>
        <v>415.54500000000058</v>
      </c>
      <c r="BE148" s="13">
        <f>BD148*VLOOKUP('Données projet'!$B$11,Paramètres!$A$1:$I$89,3,0)*VLOOKUP('Données projet'!$B$11,Paramètres!$A$1:$I$89,5,0)</f>
        <v>375.98511600000052</v>
      </c>
      <c r="BF148" s="13">
        <f t="shared" si="145"/>
        <v>86.890611547517153</v>
      </c>
      <c r="BG148" s="20">
        <f t="shared" si="115"/>
        <v>806.17522547859323</v>
      </c>
      <c r="BH148" s="59">
        <f t="shared" si="116"/>
        <v>1092.2610426703868</v>
      </c>
      <c r="BI148" s="59">
        <f ca="1">AVERAGE(OFFSET($BH$3,0,0,'Données projet'!$E$11+1,1))-AVERAGE(OFFSET($H$3,0,0,'Données projet'!$E$11+1,1))</f>
        <v>627.65081154031589</v>
      </c>
      <c r="BJ148" s="59">
        <f t="shared" si="146"/>
        <v>288.78083487077618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66.83911746093078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66.83911746093078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8.3249999999999993</v>
      </c>
      <c r="BY148" s="12">
        <f>IF('Données projet'!$A$114&gt;35,BY147+BX148-CG147,IF(A148&lt;'Données projet'!$A$114,$BV$205^A148,IF(A148='Données projet'!$A$114,'Données projet'!$B$114,BY147+BX148-CG147)))</f>
        <v>415.54500000000058</v>
      </c>
      <c r="BZ148" s="13">
        <f>BY148*VLOOKUP('Données projet'!$B$12,Paramètres!$A$1:$I$89,3,0)*VLOOKUP('Données projet'!$B$12,Paramètres!$A$1:$I$89,5,0)</f>
        <v>421.36263000000059</v>
      </c>
      <c r="CA148" s="13">
        <f t="shared" si="147"/>
        <v>96.094409121503247</v>
      </c>
      <c r="CB148" s="20">
        <f t="shared" si="118"/>
        <v>901.23767646995248</v>
      </c>
      <c r="CC148" s="59">
        <f t="shared" si="119"/>
        <v>1187.3234936617459</v>
      </c>
      <c r="CD148" s="59">
        <f ca="1">AVERAGE(OFFSET($CC$3,0,0,'Données projet'!$E$12+1,1))-AVERAGE(OFFSET($H$3,0,0,'Données projet'!$E$12+1,1))</f>
        <v>692.2706942067415</v>
      </c>
      <c r="CE148" s="59">
        <f t="shared" si="148"/>
        <v>316.17529091924803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74.905907499318985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74.905907499318985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1.1368683772161603E-13</v>
      </c>
      <c r="CU148" s="17">
        <f>CT148*VLOOKUP('Données projet'!$B$13,Paramètres!$A$1:$I$89,3,0)*VLOOKUP('Données projet'!$B$13,Paramètres!$A$1:$I$89,5,0)</f>
        <v>1.0818439477588981E-13</v>
      </c>
      <c r="CV148" s="13">
        <f t="shared" si="149"/>
        <v>1.6104228458716316E-12</v>
      </c>
      <c r="CW148" s="20">
        <f t="shared" si="121"/>
        <v>2.9932409441277661E-12</v>
      </c>
      <c r="CX148" s="59">
        <f t="shared" si="122"/>
        <v>286.08581719179659</v>
      </c>
      <c r="CY148" s="59">
        <f ca="1">AVERAGE(OFFSET($CX$3,0,0,'Données projet'!$E$13+1,1))-AVERAGE(OFFSET($H$3,0,0,'Données projet'!$E$13+1,1))</f>
        <v>424.5933338095914</v>
      </c>
      <c r="CZ148" s="59">
        <f t="shared" si="150"/>
        <v>159.28977188196134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118.19060844441701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118.19060844441701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-18.333333333333343</v>
      </c>
      <c r="DU148" s="59">
        <f t="shared" si="152"/>
        <v>-18.333333333333343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-18.333333333333343</v>
      </c>
      <c r="EP148" s="59">
        <f t="shared" si="154"/>
        <v>-18.333333333333343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8.3249999999999993</v>
      </c>
      <c r="FE148" s="12">
        <f>IF('Données projet'!$A$218&gt;35,FE147+FD148-FM147,IF(A148&lt;'Données projet'!$A$218,$FB$205^A148,IF(A148='Données projet'!$A$218,'Données projet'!$B$218,FE147+FD148-FM147)))</f>
        <v>415.54500000000058</v>
      </c>
      <c r="FF148" s="17">
        <f>FE148*VLOOKUP('Données projet'!$B$16,Paramètres!$A$1:$I$89,3,0)*VLOOKUP('Données projet'!$B$16,Paramètres!$A$1:$I$89,5,0)</f>
        <v>401.91512400000056</v>
      </c>
      <c r="FG148" s="13">
        <f t="shared" si="155"/>
        <v>92.164819224602709</v>
      </c>
      <c r="FH148" s="20">
        <f t="shared" si="130"/>
        <v>860.52256778285062</v>
      </c>
      <c r="FI148" s="59">
        <f t="shared" si="131"/>
        <v>1146.6083849746442</v>
      </c>
      <c r="FJ148" s="59">
        <f ca="1">AVERAGE(OFFSET($FI$3,0,0,'Données projet'!$E$16+1,1))-AVERAGE(OFFSET($H$3,0,0,'Données projet'!$E$16+1,1))</f>
        <v>664.59451650228573</v>
      </c>
      <c r="FK148" s="59">
        <f t="shared" si="156"/>
        <v>304.44325029106631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71.448711768581163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71.448711768581163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-6.8212102632969618E-13</v>
      </c>
      <c r="O149" s="13">
        <f>N149*VLOOKUP('Données projet'!$B$9,Paramètres!$A$1:$I$89,3,0)*VLOOKUP('Données projet'!$B$9,Paramètres!$A$1:$I$89,5,0)</f>
        <v>-4.0790837374515837E-13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460.88622650237176</v>
      </c>
      <c r="T149" s="59">
        <f t="shared" si="142"/>
        <v>396.05161661639647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63.54667207277496</v>
      </c>
      <c r="AA149" s="21">
        <f>EXP(-LN(2)/25)*AA148+(1-EXP(-LN(2)/25))/(LN(2)/25)*Calculateur!V149*Calculateur!X149*VLOOKUP('Données projet'!$B$9,Paramètres!$A$1:$I$89,3,0)*0.475*44/12</f>
        <v>5.5964246197539111</v>
      </c>
      <c r="AB149" s="21">
        <f>EXP(-LN(2)/2)*AB148+(1-EXP(-LN(2)/2))/(LN(2)/2)*V149*Y149*VLOOKUP('Données projet'!$B$9,Paramètres!$A$1:$I$89,3,0)*0.475*44/12</f>
        <v>1.1960342526783971E-9</v>
      </c>
      <c r="AC149" s="22">
        <f t="shared" si="111"/>
        <v>69.1430966937249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-4.5474735088646412E-13</v>
      </c>
      <c r="AJ149" s="13">
        <f>AI149*VLOOKUP('Données projet'!$B$10,Paramètres!$A$1:$I$89,3,0)*VLOOKUP('Données projet'!$B$10,Paramètres!$A$1:$I$89,5,0)</f>
        <v>-2.1282176021486519E-13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387.50901594883317</v>
      </c>
      <c r="AO149" s="59">
        <f t="shared" si="144"/>
        <v>361.3623790401972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101.59148092934539</v>
      </c>
      <c r="AV149" s="21">
        <f>EXP(-LN(2)/25)*AV148+(1-EXP(-LN(2)/25))/(LN(2)/25)*Calculateur!AQ149*Calculateur!AS149*VLOOKUP('Données projet'!$B$10,Paramètres!$A$1:$I$89,3,0)*0.475*44/12</f>
        <v>11.086735732802424</v>
      </c>
      <c r="AW149" s="21">
        <f>EXP(-LN(2)/2)*AW148+(1-EXP(-LN(2)/2))/(LN(2)/2)*AQ149*AT149*VLOOKUP('Données projet'!$B$10,Paramètres!$A$1:$I$89,3,0)*0.475*44/12</f>
        <v>1.1746728329830673E-5</v>
      </c>
      <c r="AX149" s="21">
        <f t="shared" si="114"/>
        <v>112.67822840887615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8.3249999999999993</v>
      </c>
      <c r="BD149" s="12">
        <f>IF('Données projet'!$A$88&gt;35,BD148+BC149-BL148,IF(A149&lt;'Données projet'!$A$88,$BA$205^A149,IF(A149='Données projet'!$A$88,'Données projet'!$B$88,BD148+BC149-BL148)))</f>
        <v>423.87000000000057</v>
      </c>
      <c r="BE149" s="13">
        <f>BD149*VLOOKUP('Données projet'!$B$11,Paramètres!$A$1:$I$89,3,0)*VLOOKUP('Données projet'!$B$11,Paramètres!$A$1:$I$89,5,0)</f>
        <v>383.51757600000053</v>
      </c>
      <c r="BF149" s="13">
        <f t="shared" si="145"/>
        <v>88.426967368766455</v>
      </c>
      <c r="BG149" s="20">
        <f t="shared" si="115"/>
        <v>821.97007970060247</v>
      </c>
      <c r="BH149" s="59">
        <f t="shared" si="116"/>
        <v>1108.181625094433</v>
      </c>
      <c r="BI149" s="59">
        <f ca="1">AVERAGE(OFFSET($BH$3,0,0,'Données projet'!$E$11+1,1))-AVERAGE(OFFSET($H$3,0,0,'Données projet'!$E$11+1,1))</f>
        <v>627.65081154031589</v>
      </c>
      <c r="BJ149" s="59">
        <f t="shared" si="146"/>
        <v>288.78083487077618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65.528443135358089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65.528443135358089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8.3249999999999993</v>
      </c>
      <c r="BY149" s="12">
        <f>IF('Données projet'!$A$114&gt;35,BY148+BX149-CG148,IF(A149&lt;'Données projet'!$A$114,$BV$205^A149,IF(A149='Données projet'!$A$114,'Données projet'!$B$114,BY148+BX149-CG148)))</f>
        <v>423.87000000000057</v>
      </c>
      <c r="BZ149" s="13">
        <f>BY149*VLOOKUP('Données projet'!$B$12,Paramètres!$A$1:$I$89,3,0)*VLOOKUP('Données projet'!$B$12,Paramètres!$A$1:$I$89,5,0)</f>
        <v>429.8041800000006</v>
      </c>
      <c r="CA149" s="13">
        <f t="shared" si="147"/>
        <v>97.793501833753268</v>
      </c>
      <c r="CB149" s="20">
        <f t="shared" si="118"/>
        <v>918.89929586045457</v>
      </c>
      <c r="CC149" s="59">
        <f t="shared" si="119"/>
        <v>1205.1108412542853</v>
      </c>
      <c r="CD149" s="59">
        <f ca="1">AVERAGE(OFFSET($CC$3,0,0,'Données projet'!$E$12+1,1))-AVERAGE(OFFSET($H$3,0,0,'Données projet'!$E$12+1,1))</f>
        <v>692.2706942067415</v>
      </c>
      <c r="CE149" s="59">
        <f t="shared" si="148"/>
        <v>316.17529091924803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73.437048341349595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73.437048341349595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1.1368683772161603E-13</v>
      </c>
      <c r="CU149" s="17">
        <f>CT149*VLOOKUP('Données projet'!$B$13,Paramètres!$A$1:$I$89,3,0)*VLOOKUP('Données projet'!$B$13,Paramètres!$A$1:$I$89,5,0)</f>
        <v>1.0818439477588981E-13</v>
      </c>
      <c r="CV149" s="13">
        <f t="shared" si="149"/>
        <v>1.6104228458716316E-12</v>
      </c>
      <c r="CW149" s="20">
        <f t="shared" si="121"/>
        <v>2.9932409441277661E-12</v>
      </c>
      <c r="CX149" s="59">
        <f t="shared" si="122"/>
        <v>286.21154539383366</v>
      </c>
      <c r="CY149" s="59">
        <f ca="1">AVERAGE(OFFSET($CX$3,0,0,'Données projet'!$E$13+1,1))-AVERAGE(OFFSET($H$3,0,0,'Données projet'!$E$13+1,1))</f>
        <v>424.5933338095914</v>
      </c>
      <c r="CZ149" s="59">
        <f t="shared" si="150"/>
        <v>159.28977188196134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115.87296270197493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115.87296270197493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-18.333333333333343</v>
      </c>
      <c r="DU149" s="59">
        <f t="shared" si="152"/>
        <v>-18.333333333333343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-18.333333333333343</v>
      </c>
      <c r="EP149" s="59">
        <f t="shared" si="154"/>
        <v>-18.333333333333343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8.3249999999999993</v>
      </c>
      <c r="FE149" s="12">
        <f>IF('Données projet'!$A$218&gt;35,FE148+FD149-FM148,IF(A149&lt;'Données projet'!$A$218,$FB$205^A149,IF(A149='Données projet'!$A$218,'Données projet'!$B$218,FE148+FD149-FM148)))</f>
        <v>423.87000000000057</v>
      </c>
      <c r="FF149" s="17">
        <f>FE149*VLOOKUP('Données projet'!$B$16,Paramètres!$A$1:$I$89,3,0)*VLOOKUP('Données projet'!$B$16,Paramètres!$A$1:$I$89,5,0)</f>
        <v>409.96706400000051</v>
      </c>
      <c r="FG149" s="13">
        <f t="shared" si="155"/>
        <v>93.79443091691617</v>
      </c>
      <c r="FH149" s="20">
        <f t="shared" si="130"/>
        <v>877.38460364696311</v>
      </c>
      <c r="FI149" s="59">
        <f t="shared" si="131"/>
        <v>1163.5961490407938</v>
      </c>
      <c r="FJ149" s="59">
        <f ca="1">AVERAGE(OFFSET($FI$3,0,0,'Données projet'!$E$16+1,1))-AVERAGE(OFFSET($H$3,0,0,'Données projet'!$E$16+1,1))</f>
        <v>664.59451650228573</v>
      </c>
      <c r="FK149" s="59">
        <f t="shared" si="156"/>
        <v>304.44325029106631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70.047646110210351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70.047646110210351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-6.8212102632969618E-13</v>
      </c>
      <c r="O150" s="13">
        <f>N150*VLOOKUP('Données projet'!$B$9,Paramètres!$A$1:$I$89,3,0)*VLOOKUP('Données projet'!$B$9,Paramètres!$A$1:$I$89,5,0)</f>
        <v>-4.0790837374515837E-13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460.88622650237176</v>
      </c>
      <c r="T150" s="59">
        <f t="shared" si="142"/>
        <v>396.05161661639647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62.300560593070614</v>
      </c>
      <c r="AA150" s="21">
        <f>EXP(-LN(2)/25)*AA149+(1-EXP(-LN(2)/25))/(LN(2)/25)*Calculateur!V150*Calculateur!X150*VLOOKUP('Données projet'!$B$9,Paramètres!$A$1:$I$89,3,0)*0.475*44/12</f>
        <v>5.4433900942235605</v>
      </c>
      <c r="AB150" s="21">
        <f>EXP(-LN(2)/2)*AB149+(1-EXP(-LN(2)/2))/(LN(2)/2)*V150*Y150*VLOOKUP('Données projet'!$B$9,Paramètres!$A$1:$I$89,3,0)*0.475*44/12</f>
        <v>8.4572393060027927E-10</v>
      </c>
      <c r="AC150" s="22">
        <f t="shared" si="111"/>
        <v>67.743950688139904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-4.5474735088646412E-13</v>
      </c>
      <c r="AJ150" s="13">
        <f>AI150*VLOOKUP('Données projet'!$B$10,Paramètres!$A$1:$I$89,3,0)*VLOOKUP('Données projet'!$B$10,Paramètres!$A$1:$I$89,5,0)</f>
        <v>-2.1282176021486519E-13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387.50901594883317</v>
      </c>
      <c r="AO150" s="59">
        <f t="shared" si="144"/>
        <v>361.3623790401972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99.599333953005797</v>
      </c>
      <c r="AV150" s="21">
        <f>EXP(-LN(2)/25)*AV149+(1-EXP(-LN(2)/25))/(LN(2)/25)*Calculateur!AQ150*Calculateur!AS150*VLOOKUP('Données projet'!$B$10,Paramètres!$A$1:$I$89,3,0)*0.475*44/12</f>
        <v>10.783568361162848</v>
      </c>
      <c r="AW150" s="21">
        <f>EXP(-LN(2)/2)*AW149+(1-EXP(-LN(2)/2))/(LN(2)/2)*AQ150*AT150*VLOOKUP('Données projet'!$B$10,Paramètres!$A$1:$I$89,3,0)*0.475*44/12</f>
        <v>8.3061912587793961E-6</v>
      </c>
      <c r="AX150" s="21">
        <f t="shared" si="114"/>
        <v>110.38291062035991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8.3249999999999993</v>
      </c>
      <c r="BD150" s="12">
        <f>IF('Données projet'!$A$88&gt;35,BD149+BC150-BL149,IF(A150&lt;'Données projet'!$A$88,$BA$205^A150,IF(A150='Données projet'!$A$88,'Données projet'!$B$88,BD149+BC150-BL149)))</f>
        <v>432.19500000000056</v>
      </c>
      <c r="BE150" s="13">
        <f>BD150*VLOOKUP('Données projet'!$B$11,Paramètres!$A$1:$I$89,3,0)*VLOOKUP('Données projet'!$B$11,Paramètres!$A$1:$I$89,5,0)</f>
        <v>391.05003600000049</v>
      </c>
      <c r="BF150" s="13">
        <f t="shared" si="145"/>
        <v>89.959814624965674</v>
      </c>
      <c r="BG150" s="20">
        <f t="shared" si="115"/>
        <v>837.75882317181595</v>
      </c>
      <c r="BH150" s="59">
        <f t="shared" si="116"/>
        <v>1124.0939156644645</v>
      </c>
      <c r="BI150" s="59">
        <f ca="1">AVERAGE(OFFSET($BH$3,0,0,'Données projet'!$E$11+1,1))-AVERAGE(OFFSET($H$3,0,0,'Données projet'!$E$11+1,1))</f>
        <v>627.65081154031589</v>
      </c>
      <c r="BJ150" s="59">
        <f t="shared" si="146"/>
        <v>288.78083487077618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64.243470333877482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64.243470333877482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8.3249999999999993</v>
      </c>
      <c r="BY150" s="12">
        <f>IF('Données projet'!$A$114&gt;35,BY149+BX150-CG149,IF(A150&lt;'Données projet'!$A$114,$BV$205^A150,IF(A150='Données projet'!$A$114,'Données projet'!$B$114,BY149+BX150-CG149)))</f>
        <v>432.19500000000056</v>
      </c>
      <c r="BZ150" s="13">
        <f>BY150*VLOOKUP('Données projet'!$B$12,Paramètres!$A$1:$I$89,3,0)*VLOOKUP('Données projet'!$B$12,Paramètres!$A$1:$I$89,5,0)</f>
        <v>438.24573000000061</v>
      </c>
      <c r="CA150" s="13">
        <f t="shared" si="147"/>
        <v>99.488714339852734</v>
      </c>
      <c r="CB150" s="20">
        <f t="shared" si="118"/>
        <v>936.55415722524458</v>
      </c>
      <c r="CC150" s="59">
        <f t="shared" si="119"/>
        <v>1222.8892497178931</v>
      </c>
      <c r="CD150" s="59">
        <f ca="1">AVERAGE(OFFSET($CC$3,0,0,'Données projet'!$E$12+1,1))-AVERAGE(OFFSET($H$3,0,0,'Données projet'!$E$12+1,1))</f>
        <v>692.2706942067415</v>
      </c>
      <c r="CE150" s="59">
        <f t="shared" si="148"/>
        <v>316.17529091924803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71.996992615552358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71.996992615552358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1.1368683772161603E-13</v>
      </c>
      <c r="CU150" s="17">
        <f>CT150*VLOOKUP('Données projet'!$B$13,Paramètres!$A$1:$I$89,3,0)*VLOOKUP('Données projet'!$B$13,Paramètres!$A$1:$I$89,5,0)</f>
        <v>1.0818439477588981E-13</v>
      </c>
      <c r="CV150" s="13">
        <f t="shared" si="149"/>
        <v>1.6104228458716316E-12</v>
      </c>
      <c r="CW150" s="20">
        <f t="shared" si="121"/>
        <v>2.9932409441277661E-12</v>
      </c>
      <c r="CX150" s="59">
        <f t="shared" si="122"/>
        <v>286.33509249265143</v>
      </c>
      <c r="CY150" s="59">
        <f ca="1">AVERAGE(OFFSET($CX$3,0,0,'Données projet'!$E$13+1,1))-AVERAGE(OFFSET($H$3,0,0,'Données projet'!$E$13+1,1))</f>
        <v>424.5933338095914</v>
      </c>
      <c r="CZ150" s="59">
        <f t="shared" si="150"/>
        <v>159.28977188196134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113.60076457891782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113.60076457891782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-18.333333333333343</v>
      </c>
      <c r="DU150" s="59">
        <f t="shared" si="152"/>
        <v>-18.333333333333343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-18.333333333333343</v>
      </c>
      <c r="EP150" s="59">
        <f t="shared" si="154"/>
        <v>-18.333333333333343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8.3249999999999993</v>
      </c>
      <c r="FE150" s="12">
        <f>IF('Données projet'!$A$218&gt;35,FE149+FD150-FM149,IF(A150&lt;'Données projet'!$A$218,$FB$205^A150,IF(A150='Données projet'!$A$218,'Données projet'!$B$218,FE149+FD150-FM149)))</f>
        <v>432.19500000000056</v>
      </c>
      <c r="FF150" s="17">
        <f>FE150*VLOOKUP('Données projet'!$B$16,Paramètres!$A$1:$I$89,3,0)*VLOOKUP('Données projet'!$B$16,Paramètres!$A$1:$I$89,5,0)</f>
        <v>418.01900400000051</v>
      </c>
      <c r="FG150" s="13">
        <f t="shared" si="155"/>
        <v>95.420321076398807</v>
      </c>
      <c r="FH150" s="20">
        <f t="shared" si="130"/>
        <v>894.24015784139544</v>
      </c>
      <c r="FI150" s="59">
        <f t="shared" si="131"/>
        <v>1180.5752503340439</v>
      </c>
      <c r="FJ150" s="59">
        <f ca="1">AVERAGE(OFFSET($FI$3,0,0,'Données projet'!$E$16+1,1))-AVERAGE(OFFSET($H$3,0,0,'Données projet'!$E$16+1,1))</f>
        <v>664.59451650228573</v>
      </c>
      <c r="FK150" s="59">
        <f t="shared" si="156"/>
        <v>304.44325029106631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68.674054494834522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68.674054494834522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-6.8212102632969618E-13</v>
      </c>
      <c r="O151" s="13">
        <f>N151*VLOOKUP('Données projet'!$B$9,Paramètres!$A$1:$I$89,3,0)*VLOOKUP('Données projet'!$B$9,Paramètres!$A$1:$I$89,5,0)</f>
        <v>-4.0790837374515837E-13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460.88622650237176</v>
      </c>
      <c r="T151" s="59">
        <f t="shared" si="142"/>
        <v>396.05161661639647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61.07888459943031</v>
      </c>
      <c r="AA151" s="21">
        <f>EXP(-LN(2)/25)*AA150+(1-EXP(-LN(2)/25))/(LN(2)/25)*Calculateur!V151*Calculateur!X151*VLOOKUP('Données projet'!$B$9,Paramètres!$A$1:$I$89,3,0)*0.475*44/12</f>
        <v>5.294540305841573</v>
      </c>
      <c r="AB151" s="21">
        <f>EXP(-LN(2)/2)*AB150+(1-EXP(-LN(2)/2))/(LN(2)/2)*V151*Y151*VLOOKUP('Données projet'!$B$9,Paramètres!$A$1:$I$89,3,0)*0.475*44/12</f>
        <v>5.9801712633919857E-10</v>
      </c>
      <c r="AC151" s="22">
        <f t="shared" si="111"/>
        <v>66.373424905869911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-4.5474735088646412E-13</v>
      </c>
      <c r="AJ151" s="13">
        <f>AI151*VLOOKUP('Données projet'!$B$10,Paramètres!$A$1:$I$89,3,0)*VLOOKUP('Données projet'!$B$10,Paramètres!$A$1:$I$89,5,0)</f>
        <v>-2.1282176021486519E-13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387.50901594883317</v>
      </c>
      <c r="AO151" s="59">
        <f t="shared" si="144"/>
        <v>361.3623790401972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97.646251763782544</v>
      </c>
      <c r="AV151" s="21">
        <f>EXP(-LN(2)/25)*AV150+(1-EXP(-LN(2)/25))/(LN(2)/25)*Calculateur!AQ151*Calculateur!AS151*VLOOKUP('Données projet'!$B$10,Paramètres!$A$1:$I$89,3,0)*0.475*44/12</f>
        <v>10.488691117243636</v>
      </c>
      <c r="AW151" s="21">
        <f>EXP(-LN(2)/2)*AW150+(1-EXP(-LN(2)/2))/(LN(2)/2)*AQ151*AT151*VLOOKUP('Données projet'!$B$10,Paramètres!$A$1:$I$89,3,0)*0.475*44/12</f>
        <v>5.8733641649153364E-6</v>
      </c>
      <c r="AX151" s="21">
        <f t="shared" si="114"/>
        <v>108.13494875439034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8.3249999999999993</v>
      </c>
      <c r="BD151" s="12">
        <f>IF('Données projet'!$A$88&gt;35,BD150+BC151-BL150,IF(A151&lt;'Données projet'!$A$88,$BA$205^A151,IF(A151='Données projet'!$A$88,'Données projet'!$B$88,BD150+BC151-BL150)))</f>
        <v>440.52000000000055</v>
      </c>
      <c r="BE151" s="13">
        <f>BD151*VLOOKUP('Données projet'!$B$11,Paramètres!$A$1:$I$89,3,0)*VLOOKUP('Données projet'!$B$11,Paramètres!$A$1:$I$89,5,0)</f>
        <v>398.5824960000005</v>
      </c>
      <c r="BF151" s="13">
        <f t="shared" si="145"/>
        <v>91.489228690064536</v>
      </c>
      <c r="BG151" s="20">
        <f t="shared" si="115"/>
        <v>853.54158716852999</v>
      </c>
      <c r="BH151" s="59">
        <f t="shared" si="116"/>
        <v>1139.9980834940416</v>
      </c>
      <c r="BI151" s="59">
        <f ca="1">AVERAGE(OFFSET($BH$3,0,0,'Données projet'!$E$11+1,1))-AVERAGE(OFFSET($H$3,0,0,'Données projet'!$E$11+1,1))</f>
        <v>627.65081154031589</v>
      </c>
      <c r="BJ151" s="59">
        <f t="shared" si="146"/>
        <v>288.78083487077618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62.983695065277885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62.983695065277885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8.3249999999999993</v>
      </c>
      <c r="BY151" s="12">
        <f>IF('Données projet'!$A$114&gt;35,BY150+BX151-CG150,IF(A151&lt;'Données projet'!$A$114,$BV$205^A151,IF(A151='Données projet'!$A$114,'Données projet'!$B$114,BY150+BX151-CG150)))</f>
        <v>440.52000000000055</v>
      </c>
      <c r="BZ151" s="13">
        <f>BY151*VLOOKUP('Données projet'!$B$12,Paramètres!$A$1:$I$89,3,0)*VLOOKUP('Données projet'!$B$12,Paramètres!$A$1:$I$89,5,0)</f>
        <v>446.68728000000056</v>
      </c>
      <c r="CA151" s="13">
        <f t="shared" si="147"/>
        <v>101.18012999765861</v>
      </c>
      <c r="CB151" s="20">
        <f t="shared" si="118"/>
        <v>954.20240574592299</v>
      </c>
      <c r="CC151" s="59">
        <f t="shared" si="119"/>
        <v>1240.6589020714346</v>
      </c>
      <c r="CD151" s="59">
        <f ca="1">AVERAGE(OFFSET($CC$3,0,0,'Données projet'!$E$12+1,1))-AVERAGE(OFFSET($H$3,0,0,'Données projet'!$E$12+1,1))</f>
        <v>692.2706942067415</v>
      </c>
      <c r="CE151" s="59">
        <f t="shared" si="148"/>
        <v>316.17529091924803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70.585175504190744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70.585175504190744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1.1368683772161603E-13</v>
      </c>
      <c r="CU151" s="17">
        <f>CT151*VLOOKUP('Données projet'!$B$13,Paramètres!$A$1:$I$89,3,0)*VLOOKUP('Données projet'!$B$13,Paramètres!$A$1:$I$89,5,0)</f>
        <v>1.0818439477588981E-13</v>
      </c>
      <c r="CV151" s="13">
        <f t="shared" si="149"/>
        <v>1.6104228458716316E-12</v>
      </c>
      <c r="CW151" s="20">
        <f t="shared" si="121"/>
        <v>2.9932409441277661E-12</v>
      </c>
      <c r="CX151" s="59">
        <f t="shared" si="122"/>
        <v>286.45649632551471</v>
      </c>
      <c r="CY151" s="59">
        <f ca="1">AVERAGE(OFFSET($CX$3,0,0,'Données projet'!$E$13+1,1))-AVERAGE(OFFSET($H$3,0,0,'Données projet'!$E$13+1,1))</f>
        <v>424.5933338095914</v>
      </c>
      <c r="CZ151" s="59">
        <f t="shared" si="150"/>
        <v>159.28977188196134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111.37312287514985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111.37312287514985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-18.333333333333343</v>
      </c>
      <c r="DU151" s="59">
        <f t="shared" si="152"/>
        <v>-18.333333333333343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-18.333333333333343</v>
      </c>
      <c r="EP151" s="59">
        <f t="shared" si="154"/>
        <v>-18.333333333333343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8.3249999999999993</v>
      </c>
      <c r="FE151" s="12">
        <f>IF('Données projet'!$A$218&gt;35,FE150+FD151-FM150,IF(A151&lt;'Données projet'!$A$218,$FB$205^A151,IF(A151='Données projet'!$A$218,'Données projet'!$B$218,FE150+FD151-FM150)))</f>
        <v>440.52000000000055</v>
      </c>
      <c r="FF151" s="17">
        <f>FE151*VLOOKUP('Données projet'!$B$16,Paramètres!$A$1:$I$89,3,0)*VLOOKUP('Données projet'!$B$16,Paramètres!$A$1:$I$89,5,0)</f>
        <v>426.07094400000051</v>
      </c>
      <c r="FG151" s="13">
        <f t="shared" si="155"/>
        <v>97.042569652153361</v>
      </c>
      <c r="FH151" s="20">
        <f t="shared" si="130"/>
        <v>911.08936961083464</v>
      </c>
      <c r="FI151" s="59">
        <f t="shared" si="131"/>
        <v>1197.5458659363462</v>
      </c>
      <c r="FJ151" s="59">
        <f ca="1">AVERAGE(OFFSET($FI$3,0,0,'Données projet'!$E$16+1,1))-AVERAGE(OFFSET($H$3,0,0,'Données projet'!$E$16+1,1))</f>
        <v>664.59451650228573</v>
      </c>
      <c r="FK151" s="59">
        <f t="shared" si="156"/>
        <v>304.44325029106631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67.327398173228062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67.327398173228062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-6.8212102632969618E-13</v>
      </c>
      <c r="O152" s="13">
        <f>N152*VLOOKUP('Données projet'!$B$9,Paramètres!$A$1:$I$89,3,0)*VLOOKUP('Données projet'!$B$9,Paramètres!$A$1:$I$89,5,0)</f>
        <v>-4.0790837374515837E-13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460.88622650237176</v>
      </c>
      <c r="T152" s="59">
        <f t="shared" si="142"/>
        <v>396.05161661639647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59.881164926876515</v>
      </c>
      <c r="AA152" s="21">
        <f>EXP(-LN(2)/25)*AA151+(1-EXP(-LN(2)/25))/(LN(2)/25)*Calculateur!V152*Calculateur!X152*VLOOKUP('Données projet'!$B$9,Paramètres!$A$1:$I$89,3,0)*0.475*44/12</f>
        <v>5.1497608227505616</v>
      </c>
      <c r="AB152" s="21">
        <f>EXP(-LN(2)/2)*AB151+(1-EXP(-LN(2)/2))/(LN(2)/2)*V152*Y152*VLOOKUP('Données projet'!$B$9,Paramètres!$A$1:$I$89,3,0)*0.475*44/12</f>
        <v>4.2286196530013963E-10</v>
      </c>
      <c r="AC152" s="22">
        <f t="shared" si="111"/>
        <v>65.030925750049931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-4.5474735088646412E-13</v>
      </c>
      <c r="AJ152" s="13">
        <f>AI152*VLOOKUP('Données projet'!$B$10,Paramètres!$A$1:$I$89,3,0)*VLOOKUP('Données projet'!$B$10,Paramètres!$A$1:$I$89,5,0)</f>
        <v>-2.1282176021486519E-13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387.50901594883317</v>
      </c>
      <c r="AO152" s="59">
        <f t="shared" si="144"/>
        <v>361.3623790401972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95.73146832502745</v>
      </c>
      <c r="AV152" s="21">
        <f>EXP(-LN(2)/25)*AV151+(1-EXP(-LN(2)/25))/(LN(2)/25)*Calculateur!AQ152*Calculateur!AS152*VLOOKUP('Données projet'!$B$10,Paramètres!$A$1:$I$89,3,0)*0.475*44/12</f>
        <v>10.201877307066315</v>
      </c>
      <c r="AW152" s="21">
        <f>EXP(-LN(2)/2)*AW151+(1-EXP(-LN(2)/2))/(LN(2)/2)*AQ152*AT152*VLOOKUP('Données projet'!$B$10,Paramètres!$A$1:$I$89,3,0)*0.475*44/12</f>
        <v>4.1530956293896981E-6</v>
      </c>
      <c r="AX152" s="21">
        <f t="shared" si="114"/>
        <v>105.93334978518939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8.3249999999999993</v>
      </c>
      <c r="BD152" s="12">
        <f>IF('Données projet'!$A$88&gt;35,BD151+BC152-BL151,IF(A152&lt;'Données projet'!$A$88,$BA$205^A152,IF(A152='Données projet'!$A$88,'Données projet'!$B$88,BD151+BC152-BL151)))</f>
        <v>448.84500000000054</v>
      </c>
      <c r="BE152" s="13">
        <f>BD152*VLOOKUP('Données projet'!$B$11,Paramètres!$A$1:$I$89,3,0)*VLOOKUP('Données projet'!$B$11,Paramètres!$A$1:$I$89,5,0)</f>
        <v>406.11495600000046</v>
      </c>
      <c r="BF152" s="13">
        <f t="shared" si="145"/>
        <v>93.015281926133852</v>
      </c>
      <c r="BG152" s="20">
        <f t="shared" si="115"/>
        <v>869.31849772135058</v>
      </c>
      <c r="BH152" s="59">
        <f t="shared" si="116"/>
        <v>1155.8942917946438</v>
      </c>
      <c r="BI152" s="59">
        <f ca="1">AVERAGE(OFFSET($BH$3,0,0,'Données projet'!$E$11+1,1))-AVERAGE(OFFSET($H$3,0,0,'Données projet'!$E$11+1,1))</f>
        <v>627.65081154031589</v>
      </c>
      <c r="BJ152" s="59">
        <f t="shared" si="146"/>
        <v>288.78083487077618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61.748623221308485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61.748623221308485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8.3249999999999993</v>
      </c>
      <c r="BY152" s="12">
        <f>IF('Données projet'!$A$114&gt;35,BY151+BX152-CG151,IF(A152&lt;'Données projet'!$A$114,$BV$205^A152,IF(A152='Données projet'!$A$114,'Données projet'!$B$114,BY151+BX152-CG151)))</f>
        <v>448.84500000000054</v>
      </c>
      <c r="BZ152" s="13">
        <f>BY152*VLOOKUP('Données projet'!$B$12,Paramètres!$A$1:$I$89,3,0)*VLOOKUP('Données projet'!$B$12,Paramètres!$A$1:$I$89,5,0)</f>
        <v>455.12883000000056</v>
      </c>
      <c r="CA152" s="13">
        <f t="shared" si="147"/>
        <v>102.86782883411858</v>
      </c>
      <c r="CB152" s="20">
        <f t="shared" si="118"/>
        <v>971.84418080275736</v>
      </c>
      <c r="CC152" s="59">
        <f t="shared" si="119"/>
        <v>1258.4199748760504</v>
      </c>
      <c r="CD152" s="59">
        <f ca="1">AVERAGE(OFFSET($CC$3,0,0,'Données projet'!$E$12+1,1))-AVERAGE(OFFSET($H$3,0,0,'Données projet'!$E$12+1,1))</f>
        <v>692.2706942067415</v>
      </c>
      <c r="CE152" s="59">
        <f t="shared" si="148"/>
        <v>316.17529091924803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69.201043265259514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69.201043265259514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1.1368683772161603E-13</v>
      </c>
      <c r="CU152" s="17">
        <f>CT152*VLOOKUP('Données projet'!$B$13,Paramètres!$A$1:$I$89,3,0)*VLOOKUP('Données projet'!$B$13,Paramètres!$A$1:$I$89,5,0)</f>
        <v>1.0818439477588981E-13</v>
      </c>
      <c r="CV152" s="13">
        <f t="shared" si="149"/>
        <v>1.6104228458716316E-12</v>
      </c>
      <c r="CW152" s="20">
        <f t="shared" si="121"/>
        <v>2.9932409441277661E-12</v>
      </c>
      <c r="CX152" s="59">
        <f t="shared" si="122"/>
        <v>286.57579407329609</v>
      </c>
      <c r="CY152" s="59">
        <f ca="1">AVERAGE(OFFSET($CX$3,0,0,'Données projet'!$E$13+1,1))-AVERAGE(OFFSET($H$3,0,0,'Données projet'!$E$13+1,1))</f>
        <v>424.5933338095914</v>
      </c>
      <c r="CZ152" s="59">
        <f t="shared" si="150"/>
        <v>159.28977188196134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109.18916386646549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109.18916386646549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-18.333333333333343</v>
      </c>
      <c r="DU152" s="59">
        <f t="shared" si="152"/>
        <v>-18.333333333333343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-18.333333333333343</v>
      </c>
      <c r="EP152" s="59">
        <f t="shared" si="154"/>
        <v>-18.333333333333343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8.3249999999999993</v>
      </c>
      <c r="FE152" s="12">
        <f>IF('Données projet'!$A$218&gt;35,FE151+FD152-FM151,IF(A152&lt;'Données projet'!$A$218,$FB$205^A152,IF(A152='Données projet'!$A$218,'Données projet'!$B$218,FE151+FD152-FM151)))</f>
        <v>448.84500000000054</v>
      </c>
      <c r="FF152" s="17">
        <f>FE152*VLOOKUP('Données projet'!$B$16,Paramètres!$A$1:$I$89,3,0)*VLOOKUP('Données projet'!$B$16,Paramètres!$A$1:$I$89,5,0)</f>
        <v>434.12288400000057</v>
      </c>
      <c r="FG152" s="13">
        <f t="shared" si="155"/>
        <v>98.661253398584833</v>
      </c>
      <c r="FH152" s="20">
        <f t="shared" si="130"/>
        <v>927.93237263586946</v>
      </c>
      <c r="FI152" s="59">
        <f t="shared" si="131"/>
        <v>1214.5081667091627</v>
      </c>
      <c r="FJ152" s="59">
        <f ca="1">AVERAGE(OFFSET($FI$3,0,0,'Données projet'!$E$16+1,1))-AVERAGE(OFFSET($H$3,0,0,'Données projet'!$E$16+1,1))</f>
        <v>664.59451650228573</v>
      </c>
      <c r="FK152" s="59">
        <f t="shared" si="156"/>
        <v>304.44325029106631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66.007148960709046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66.007148960709046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-6.8212102632969618E-13</v>
      </c>
      <c r="O153" s="13">
        <f>N153*VLOOKUP('Données projet'!$B$9,Paramètres!$A$1:$I$89,3,0)*VLOOKUP('Données projet'!$B$9,Paramètres!$A$1:$I$89,5,0)</f>
        <v>-4.0790837374515837E-13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460.88622650237176</v>
      </c>
      <c r="T153" s="59">
        <f t="shared" si="142"/>
        <v>396.05161661639647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58.706931806564633</v>
      </c>
      <c r="AA153" s="21">
        <f>EXP(-LN(2)/25)*AA152+(1-EXP(-LN(2)/25))/(LN(2)/25)*Calculateur!V153*Calculateur!X153*VLOOKUP('Données projet'!$B$9,Paramètres!$A$1:$I$89,3,0)*0.475*44/12</f>
        <v>5.0089403422382954</v>
      </c>
      <c r="AB153" s="21">
        <f>EXP(-LN(2)/2)*AB152+(1-EXP(-LN(2)/2))/(LN(2)/2)*V153*Y153*VLOOKUP('Données projet'!$B$9,Paramètres!$A$1:$I$89,3,0)*0.475*44/12</f>
        <v>2.9900856316959928E-10</v>
      </c>
      <c r="AC153" s="22">
        <f t="shared" si="111"/>
        <v>63.715872149101941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-4.5474735088646412E-13</v>
      </c>
      <c r="AJ153" s="13">
        <f>AI153*VLOOKUP('Données projet'!$B$10,Paramètres!$A$1:$I$89,3,0)*VLOOKUP('Données projet'!$B$10,Paramètres!$A$1:$I$89,5,0)</f>
        <v>-2.1282176021486519E-13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387.50901594883317</v>
      </c>
      <c r="AO153" s="59">
        <f t="shared" si="144"/>
        <v>361.3623790401972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93.854232621603771</v>
      </c>
      <c r="AV153" s="21">
        <f>EXP(-LN(2)/25)*AV152+(1-EXP(-LN(2)/25))/(LN(2)/25)*Calculateur!AQ153*Calculateur!AS153*VLOOKUP('Données projet'!$B$10,Paramètres!$A$1:$I$89,3,0)*0.475*44/12</f>
        <v>9.9229064356111767</v>
      </c>
      <c r="AW153" s="21">
        <f>EXP(-LN(2)/2)*AW152+(1-EXP(-LN(2)/2))/(LN(2)/2)*AQ153*AT153*VLOOKUP('Données projet'!$B$10,Paramètres!$A$1:$I$89,3,0)*0.475*44/12</f>
        <v>2.9366820824576682E-6</v>
      </c>
      <c r="AX153" s="21">
        <f t="shared" si="114"/>
        <v>103.77714199389703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8.3249999999999993</v>
      </c>
      <c r="BD153" s="12">
        <f>IF('Données projet'!$A$88&gt;35,BD152+BC153-BL152,IF(A153&lt;'Données projet'!$A$88,$BA$205^A153,IF(A153='Données projet'!$A$88,'Données projet'!$B$88,BD152+BC153-BL152)))</f>
        <v>457.17000000000053</v>
      </c>
      <c r="BE153" s="13">
        <f>BD153*VLOOKUP('Données projet'!$B$11,Paramètres!$A$1:$I$89,3,0)*VLOOKUP('Données projet'!$B$11,Paramètres!$A$1:$I$89,5,0)</f>
        <v>413.64741600000042</v>
      </c>
      <c r="BF153" s="13">
        <f t="shared" si="145"/>
        <v>94.538043857309361</v>
      </c>
      <c r="BG153" s="20">
        <f t="shared" si="115"/>
        <v>885.0896759181478</v>
      </c>
      <c r="BH153" s="59">
        <f t="shared" si="116"/>
        <v>1171.7826981900082</v>
      </c>
      <c r="BI153" s="59">
        <f ca="1">AVERAGE(OFFSET($BH$3,0,0,'Données projet'!$E$11+1,1))-AVERAGE(OFFSET($H$3,0,0,'Données projet'!$E$11+1,1))</f>
        <v>627.65081154031589</v>
      </c>
      <c r="BJ153" s="59">
        <f t="shared" si="146"/>
        <v>288.78083487077618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60.537770382879884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60.537770382879884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8.3249999999999993</v>
      </c>
      <c r="BY153" s="12">
        <f>IF('Données projet'!$A$114&gt;35,BY152+BX153-CG152,IF(A153&lt;'Données projet'!$A$114,$BV$205^A153,IF(A153='Données projet'!$A$114,'Données projet'!$B$114,BY152+BX153-CG152)))</f>
        <v>457.17000000000053</v>
      </c>
      <c r="BZ153" s="13">
        <f>BY153*VLOOKUP('Données projet'!$B$12,Paramètres!$A$1:$I$89,3,0)*VLOOKUP('Données projet'!$B$12,Paramètres!$A$1:$I$89,5,0)</f>
        <v>463.57038000000057</v>
      </c>
      <c r="CA153" s="13">
        <f t="shared" si="147"/>
        <v>104.55188773764013</v>
      </c>
      <c r="CB153" s="20">
        <f t="shared" si="118"/>
        <v>989.47961630972395</v>
      </c>
      <c r="CC153" s="59">
        <f t="shared" si="119"/>
        <v>1276.1726385815844</v>
      </c>
      <c r="CD153" s="59">
        <f ca="1">AVERAGE(OFFSET($CC$3,0,0,'Données projet'!$E$12+1,1))-AVERAGE(OFFSET($H$3,0,0,'Données projet'!$E$12+1,1))</f>
        <v>692.2706942067415</v>
      </c>
      <c r="CE153" s="59">
        <f t="shared" si="148"/>
        <v>316.17529091924803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67.844053015296424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67.844053015296424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1.1368683772161603E-13</v>
      </c>
      <c r="CU153" s="17">
        <f>CT153*VLOOKUP('Données projet'!$B$13,Paramètres!$A$1:$I$89,3,0)*VLOOKUP('Données projet'!$B$13,Paramètres!$A$1:$I$89,5,0)</f>
        <v>1.0818439477588981E-13</v>
      </c>
      <c r="CV153" s="13">
        <f t="shared" si="149"/>
        <v>1.6104228458716316E-12</v>
      </c>
      <c r="CW153" s="20">
        <f t="shared" si="121"/>
        <v>2.9932409441277661E-12</v>
      </c>
      <c r="CX153" s="59">
        <f t="shared" si="122"/>
        <v>286.69302227186336</v>
      </c>
      <c r="CY153" s="59">
        <f ca="1">AVERAGE(OFFSET($CX$3,0,0,'Données projet'!$E$13+1,1))-AVERAGE(OFFSET($H$3,0,0,'Données projet'!$E$13+1,1))</f>
        <v>424.5933338095914</v>
      </c>
      <c r="CZ153" s="59">
        <f t="shared" si="150"/>
        <v>159.28977188196134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107.04803096185798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107.04803096185798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-18.333333333333343</v>
      </c>
      <c r="DU153" s="59">
        <f t="shared" si="152"/>
        <v>-18.333333333333343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-18.333333333333343</v>
      </c>
      <c r="EP153" s="59">
        <f t="shared" si="154"/>
        <v>-18.333333333333343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8.3249999999999993</v>
      </c>
      <c r="FE153" s="12">
        <f>IF('Données projet'!$A$218&gt;35,FE152+FD153-FM152,IF(A153&lt;'Données projet'!$A$218,$FB$205^A153,IF(A153='Données projet'!$A$218,'Données projet'!$B$218,FE152+FD153-FM152)))</f>
        <v>457.17000000000053</v>
      </c>
      <c r="FF153" s="17">
        <f>FE153*VLOOKUP('Données projet'!$B$16,Paramètres!$A$1:$I$89,3,0)*VLOOKUP('Données projet'!$B$16,Paramètres!$A$1:$I$89,5,0)</f>
        <v>442.17482400000057</v>
      </c>
      <c r="FG153" s="13">
        <f t="shared" si="155"/>
        <v>100.27644605990184</v>
      </c>
      <c r="FH153" s="20">
        <f t="shared" si="130"/>
        <v>944.76929535432998</v>
      </c>
      <c r="FI153" s="59">
        <f t="shared" si="131"/>
        <v>1231.4623176261903</v>
      </c>
      <c r="FJ153" s="59">
        <f ca="1">AVERAGE(OFFSET($FI$3,0,0,'Données projet'!$E$16+1,1))-AVERAGE(OFFSET($H$3,0,0,'Données projet'!$E$16+1,1))</f>
        <v>664.59451650228573</v>
      </c>
      <c r="FK153" s="59">
        <f t="shared" si="156"/>
        <v>304.44325029106631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64.712789029975028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64.712789029975028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-6.8212102632969618E-13</v>
      </c>
      <c r="O154" s="13">
        <f>N154*VLOOKUP('Données projet'!$B$9,Paramètres!$A$1:$I$89,3,0)*VLOOKUP('Données projet'!$B$9,Paramètres!$A$1:$I$89,5,0)</f>
        <v>-4.0790837374515837E-13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460.88622650237176</v>
      </c>
      <c r="T154" s="59">
        <f t="shared" si="142"/>
        <v>396.05161661639647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57.555724681530585</v>
      </c>
      <c r="AA154" s="21">
        <f>EXP(-LN(2)/25)*AA153+(1-EXP(-LN(2)/25))/(LN(2)/25)*Calculateur!V154*Calculateur!X154*VLOOKUP('Données projet'!$B$9,Paramètres!$A$1:$I$89,3,0)*0.475*44/12</f>
        <v>4.8719706051710645</v>
      </c>
      <c r="AB154" s="21">
        <f>EXP(-LN(2)/2)*AB153+(1-EXP(-LN(2)/2))/(LN(2)/2)*V154*Y154*VLOOKUP('Données projet'!$B$9,Paramètres!$A$1:$I$89,3,0)*0.475*44/12</f>
        <v>2.1143098265006982E-10</v>
      </c>
      <c r="AC154" s="22">
        <f t="shared" ref="AC154:AC203" si="163">SUM(Z154:AB154)</f>
        <v>62.427695286913078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-4.5474735088646412E-13</v>
      </c>
      <c r="AJ154" s="13">
        <f>AI154*VLOOKUP('Données projet'!$B$10,Paramètres!$A$1:$I$89,3,0)*VLOOKUP('Données projet'!$B$10,Paramètres!$A$1:$I$89,5,0)</f>
        <v>-2.1282176021486519E-13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387.50901594883317</v>
      </c>
      <c r="AO154" s="59">
        <f t="shared" si="144"/>
        <v>361.3623790401972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92.013808365323499</v>
      </c>
      <c r="AV154" s="21">
        <f>EXP(-LN(2)/25)*AV153+(1-EXP(-LN(2)/25))/(LN(2)/25)*Calculateur!AQ154*Calculateur!AS154*VLOOKUP('Données projet'!$B$10,Paramètres!$A$1:$I$89,3,0)*0.475*44/12</f>
        <v>9.651564037306418</v>
      </c>
      <c r="AW154" s="21">
        <f>EXP(-LN(2)/2)*AW153+(1-EXP(-LN(2)/2))/(LN(2)/2)*AQ154*AT154*VLOOKUP('Données projet'!$B$10,Paramètres!$A$1:$I$89,3,0)*0.475*44/12</f>
        <v>2.076547814694849E-6</v>
      </c>
      <c r="AX154" s="21">
        <f t="shared" ref="AX154:AX203" si="166">SUM(AU154:AW154)</f>
        <v>101.66537447917773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8.3249999999999993</v>
      </c>
      <c r="BD154" s="12">
        <f>IF('Données projet'!$A$88&gt;35,BD153+BC154-BL153,IF(A154&lt;'Données projet'!$A$88,$BA$205^A154,IF(A154='Données projet'!$A$88,'Données projet'!$B$88,BD153+BC154-BL153)))</f>
        <v>465.49500000000052</v>
      </c>
      <c r="BE154" s="13">
        <f>BD154*VLOOKUP('Données projet'!$B$11,Paramètres!$A$1:$I$89,3,0)*VLOOKUP('Données projet'!$B$11,Paramètres!$A$1:$I$89,5,0)</f>
        <v>421.17987600000043</v>
      </c>
      <c r="BF154" s="13">
        <f t="shared" ref="BF154:BF203" si="167">EXP(-1.0587+0.8836*LN(BE154)+0.284)</f>
        <v>96.057581330707137</v>
      </c>
      <c r="BG154" s="20">
        <f t="shared" ref="BG154:BG203" si="168">(BE154+BF154)*0.475*44/12</f>
        <v>900.85523818431557</v>
      </c>
      <c r="BH154" s="59">
        <f t="shared" si="116"/>
        <v>1187.663455007581</v>
      </c>
      <c r="BI154" s="59">
        <f ca="1">AVERAGE(OFFSET($BH$3,0,0,'Données projet'!$E$11+1,1))-AVERAGE(OFFSET($H$3,0,0,'Données projet'!$E$11+1,1))</f>
        <v>627.65081154031589</v>
      </c>
      <c r="BJ154" s="59">
        <f t="shared" si="146"/>
        <v>288.78083487077618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59.350661630065559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59.350661630065559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8.3249999999999993</v>
      </c>
      <c r="BY154" s="12">
        <f>IF('Données projet'!$A$114&gt;35,BY153+BX154-CG153,IF(A154&lt;'Données projet'!$A$114,$BV$205^A154,IF(A154='Données projet'!$A$114,'Données projet'!$B$114,BY153+BX154-CG153)))</f>
        <v>465.49500000000052</v>
      </c>
      <c r="BZ154" s="13">
        <f>BY154*VLOOKUP('Données projet'!$B$12,Paramètres!$A$1:$I$89,3,0)*VLOOKUP('Données projet'!$B$12,Paramètres!$A$1:$I$89,5,0)</f>
        <v>472.01193000000058</v>
      </c>
      <c r="CA154" s="13">
        <f t="shared" ref="CA154:CA203" si="170">EXP(-1.0587+0.8836*LN(BZ154)+0.284)</f>
        <v>106.23238063605056</v>
      </c>
      <c r="CB154" s="20">
        <f t="shared" ref="CB154:CB203" si="171">(BZ154+CA154)*0.475*44/12</f>
        <v>1007.108841024456</v>
      </c>
      <c r="CC154" s="59">
        <f t="shared" si="119"/>
        <v>1293.9170578477213</v>
      </c>
      <c r="CD154" s="59">
        <f ca="1">AVERAGE(OFFSET($CC$3,0,0,'Données projet'!$E$12+1,1))-AVERAGE(OFFSET($H$3,0,0,'Données projet'!$E$12+1,1))</f>
        <v>692.2706942067415</v>
      </c>
      <c r="CE154" s="59">
        <f t="shared" si="148"/>
        <v>316.17529091924803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66.513672516452786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66.513672516452786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1.1368683772161603E-13</v>
      </c>
      <c r="CU154" s="17">
        <f>CT154*VLOOKUP('Données projet'!$B$13,Paramètres!$A$1:$I$89,3,0)*VLOOKUP('Données projet'!$B$13,Paramètres!$A$1:$I$89,5,0)</f>
        <v>1.0818439477588981E-13</v>
      </c>
      <c r="CV154" s="13">
        <f t="shared" ref="CV154:CV203" si="173">EXP(-1.0587+0.8836*LN(CU154)+0.284)</f>
        <v>1.6104228458716316E-12</v>
      </c>
      <c r="CW154" s="20">
        <f t="shared" ref="CW154:CW203" si="174">(CU154+CV154)*0.475*44/12</f>
        <v>2.9932409441277661E-12</v>
      </c>
      <c r="CX154" s="59">
        <f t="shared" si="122"/>
        <v>286.80821682326837</v>
      </c>
      <c r="CY154" s="59">
        <f ca="1">AVERAGE(OFFSET($CX$3,0,0,'Données projet'!$E$13+1,1))-AVERAGE(OFFSET($H$3,0,0,'Données projet'!$E$13+1,1))</f>
        <v>424.5933338095914</v>
      </c>
      <c r="CZ154" s="59">
        <f t="shared" si="150"/>
        <v>159.28977188196134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104.94888436754769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104.94888436754769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-18.333333333333343</v>
      </c>
      <c r="DU154" s="59">
        <f t="shared" si="152"/>
        <v>-18.333333333333343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-18.333333333333343</v>
      </c>
      <c r="EP154" s="59">
        <f t="shared" si="154"/>
        <v>-18.333333333333343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8.3249999999999993</v>
      </c>
      <c r="FE154" s="12">
        <f>IF('Données projet'!$A$218&gt;35,FE153+FD154-FM153,IF(A154&lt;'Données projet'!$A$218,$FB$205^A154,IF(A154='Données projet'!$A$218,'Données projet'!$B$218,FE153+FD154-FM153)))</f>
        <v>465.49500000000052</v>
      </c>
      <c r="FF154" s="17">
        <f>FE154*VLOOKUP('Données projet'!$B$16,Paramètres!$A$1:$I$89,3,0)*VLOOKUP('Données projet'!$B$16,Paramètres!$A$1:$I$89,5,0)</f>
        <v>450.22676400000051</v>
      </c>
      <c r="FG154" s="13">
        <f t="shared" ref="FG154:FG203" si="182">EXP(-1.0587+0.8836*LN(FF154)+0.284)</f>
        <v>101.88821854080018</v>
      </c>
      <c r="FH154" s="20">
        <f t="shared" ref="FH154:FH203" si="183">(FF154+FG154)*0.475*44/12</f>
        <v>961.6002612585612</v>
      </c>
      <c r="FI154" s="59">
        <f t="shared" si="131"/>
        <v>1248.4084780818266</v>
      </c>
      <c r="FJ154" s="59">
        <f ca="1">AVERAGE(OFFSET($FI$3,0,0,'Données projet'!$E$16+1,1))-AVERAGE(OFFSET($H$3,0,0,'Données projet'!$E$16+1,1))</f>
        <v>664.59451650228573</v>
      </c>
      <c r="FK154" s="59">
        <f t="shared" si="156"/>
        <v>304.44325029106631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63.443810708001095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63.443810708001095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-6.8212102632969618E-13</v>
      </c>
      <c r="O155" s="13">
        <f>N155*VLOOKUP('Données projet'!$B$9,Paramètres!$A$1:$I$89,3,0)*VLOOKUP('Données projet'!$B$9,Paramètres!$A$1:$I$89,5,0)</f>
        <v>-4.0790837374515837E-13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460.88622650237176</v>
      </c>
      <c r="T155" s="59">
        <f t="shared" si="142"/>
        <v>396.05161661639647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56.42709202605144</v>
      </c>
      <c r="AA155" s="21">
        <f>EXP(-LN(2)/25)*AA154+(1-EXP(-LN(2)/25))/(LN(2)/25)*Calculateur!V155*Calculateur!X155*VLOOKUP('Données projet'!$B$9,Paramètres!$A$1:$I$89,3,0)*0.475*44/12</f>
        <v>4.738746312766863</v>
      </c>
      <c r="AB155" s="21">
        <f>EXP(-LN(2)/2)*AB154+(1-EXP(-LN(2)/2))/(LN(2)/2)*V155*Y155*VLOOKUP('Données projet'!$B$9,Paramètres!$A$1:$I$89,3,0)*0.475*44/12</f>
        <v>1.4950428158479964E-10</v>
      </c>
      <c r="AC155" s="22">
        <f t="shared" si="163"/>
        <v>61.165838338967809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-4.5474735088646412E-13</v>
      </c>
      <c r="AJ155" s="13">
        <f>AI155*VLOOKUP('Données projet'!$B$10,Paramètres!$A$1:$I$89,3,0)*VLOOKUP('Données projet'!$B$10,Paramètres!$A$1:$I$89,5,0)</f>
        <v>-2.1282176021486519E-13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387.50901594883317</v>
      </c>
      <c r="AO155" s="59">
        <f t="shared" si="144"/>
        <v>361.3623790401972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90.209473706160935</v>
      </c>
      <c r="AV155" s="21">
        <f>EXP(-LN(2)/25)*AV154+(1-EXP(-LN(2)/25))/(LN(2)/25)*Calculateur!AQ155*Calculateur!AS155*VLOOKUP('Données projet'!$B$10,Paramètres!$A$1:$I$89,3,0)*0.475*44/12</f>
        <v>9.3876415111525802</v>
      </c>
      <c r="AW155" s="21">
        <f>EXP(-LN(2)/2)*AW154+(1-EXP(-LN(2)/2))/(LN(2)/2)*AQ155*AT155*VLOOKUP('Données projet'!$B$10,Paramètres!$A$1:$I$89,3,0)*0.475*44/12</f>
        <v>1.4683410412288341E-6</v>
      </c>
      <c r="AX155" s="21">
        <f t="shared" si="166"/>
        <v>99.597116685654555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8.3249999999999993</v>
      </c>
      <c r="BD155" s="12">
        <f>IF('Données projet'!$A$88&gt;35,BD154+BC155-BL154,IF(A155&lt;'Données projet'!$A$88,$BA$205^A155,IF(A155='Données projet'!$A$88,'Données projet'!$B$88,BD154+BC155-BL154)))</f>
        <v>473.8200000000005</v>
      </c>
      <c r="BE155" s="13">
        <f>BD155*VLOOKUP('Données projet'!$B$11,Paramètres!$A$1:$I$89,3,0)*VLOOKUP('Données projet'!$B$11,Paramètres!$A$1:$I$89,5,0)</f>
        <v>428.71233600000051</v>
      </c>
      <c r="BF155" s="13">
        <f t="shared" si="167"/>
        <v>97.57395866550209</v>
      </c>
      <c r="BG155" s="20">
        <f t="shared" si="168"/>
        <v>916.61529654241701</v>
      </c>
      <c r="BH155" s="59">
        <f t="shared" si="116"/>
        <v>1203.536709549157</v>
      </c>
      <c r="BI155" s="59">
        <f ca="1">AVERAGE(OFFSET($BH$3,0,0,'Données projet'!$E$11+1,1))-AVERAGE(OFFSET($H$3,0,0,'Données projet'!$E$11+1,1))</f>
        <v>627.65081154031589</v>
      </c>
      <c r="BJ155" s="59">
        <f t="shared" si="146"/>
        <v>288.78083487077618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58.186831355829085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58.186831355829085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8.3249999999999993</v>
      </c>
      <c r="BY155" s="12">
        <f>IF('Données projet'!$A$114&gt;35,BY154+BX155-CG154,IF(A155&lt;'Données projet'!$A$114,$BV$205^A155,IF(A155='Données projet'!$A$114,'Données projet'!$B$114,BY154+BX155-CG154)))</f>
        <v>473.8200000000005</v>
      </c>
      <c r="BZ155" s="13">
        <f>BY155*VLOOKUP('Données projet'!$B$12,Paramètres!$A$1:$I$89,3,0)*VLOOKUP('Données projet'!$B$12,Paramètres!$A$1:$I$89,5,0)</f>
        <v>480.45348000000058</v>
      </c>
      <c r="CA155" s="13">
        <f t="shared" si="170"/>
        <v>107.90937866146631</v>
      </c>
      <c r="CB155" s="20">
        <f t="shared" si="171"/>
        <v>1024.7319788353882</v>
      </c>
      <c r="CC155" s="59">
        <f t="shared" si="119"/>
        <v>1311.653391842128</v>
      </c>
      <c r="CD155" s="59">
        <f ca="1">AVERAGE(OFFSET($CC$3,0,0,'Données projet'!$E$12+1,1))-AVERAGE(OFFSET($H$3,0,0,'Données projet'!$E$12+1,1))</f>
        <v>692.2706942067415</v>
      </c>
      <c r="CE155" s="59">
        <f t="shared" si="148"/>
        <v>316.17529091924803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65.209379967739494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65.209379967739494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1.1368683772161603E-13</v>
      </c>
      <c r="CU155" s="17">
        <f>CT155*VLOOKUP('Données projet'!$B$13,Paramètres!$A$1:$I$89,3,0)*VLOOKUP('Données projet'!$B$13,Paramètres!$A$1:$I$89,5,0)</f>
        <v>1.0818439477588981E-13</v>
      </c>
      <c r="CV155" s="13">
        <f t="shared" si="173"/>
        <v>1.6104228458716316E-12</v>
      </c>
      <c r="CW155" s="20">
        <f t="shared" si="174"/>
        <v>2.9932409441277661E-12</v>
      </c>
      <c r="CX155" s="59">
        <f t="shared" si="122"/>
        <v>286.92141300674291</v>
      </c>
      <c r="CY155" s="59">
        <f ca="1">AVERAGE(OFFSET($CX$3,0,0,'Données projet'!$E$13+1,1))-AVERAGE(OFFSET($H$3,0,0,'Données projet'!$E$13+1,1))</f>
        <v>424.5933338095914</v>
      </c>
      <c r="CZ155" s="59">
        <f t="shared" si="150"/>
        <v>159.28977188196134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102.89090075759884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102.89090075759884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-18.333333333333343</v>
      </c>
      <c r="DU155" s="59">
        <f t="shared" si="152"/>
        <v>-18.333333333333343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-18.333333333333343</v>
      </c>
      <c r="EP155" s="59">
        <f t="shared" si="154"/>
        <v>-18.333333333333343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8.3249999999999993</v>
      </c>
      <c r="FE155" s="12">
        <f>IF('Données projet'!$A$218&gt;35,FE154+FD155-FM154,IF(A155&lt;'Données projet'!$A$218,$FB$205^A155,IF(A155='Données projet'!$A$218,'Données projet'!$B$218,FE154+FD155-FM154)))</f>
        <v>473.8200000000005</v>
      </c>
      <c r="FF155" s="17">
        <f>FE155*VLOOKUP('Données projet'!$B$16,Paramètres!$A$1:$I$89,3,0)*VLOOKUP('Données projet'!$B$16,Paramètres!$A$1:$I$89,5,0)</f>
        <v>458.27870400000052</v>
      </c>
      <c r="FG155" s="13">
        <f t="shared" si="182"/>
        <v>103.49663906458966</v>
      </c>
      <c r="FH155" s="20">
        <f t="shared" si="183"/>
        <v>978.42538917082777</v>
      </c>
      <c r="FI155" s="59">
        <f t="shared" si="131"/>
        <v>1265.3468021775677</v>
      </c>
      <c r="FJ155" s="59">
        <f ca="1">AVERAGE(OFFSET($FI$3,0,0,'Données projet'!$E$16+1,1))-AVERAGE(OFFSET($H$3,0,0,'Données projet'!$E$16+1,1))</f>
        <v>664.59451650228573</v>
      </c>
      <c r="FK155" s="59">
        <f t="shared" si="156"/>
        <v>304.44325029106631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62.199716276920725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62.199716276920725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-6.8212102632969618E-13</v>
      </c>
      <c r="O156" s="13">
        <f>N156*VLOOKUP('Données projet'!$B$9,Paramètres!$A$1:$I$89,3,0)*VLOOKUP('Données projet'!$B$9,Paramètres!$A$1:$I$89,5,0)</f>
        <v>-4.0790837374515837E-13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460.88622650237176</v>
      </c>
      <c r="T156" s="59">
        <f t="shared" si="142"/>
        <v>396.05161661639647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55.320591168548297</v>
      </c>
      <c r="AA156" s="21">
        <f>EXP(-LN(2)/25)*AA155+(1-EXP(-LN(2)/25))/(LN(2)/25)*Calculateur!V156*Calculateur!X156*VLOOKUP('Données projet'!$B$9,Paramètres!$A$1:$I$89,3,0)*0.475*44/12</f>
        <v>4.6091650456444153</v>
      </c>
      <c r="AB156" s="21">
        <f>EXP(-LN(2)/2)*AB155+(1-EXP(-LN(2)/2))/(LN(2)/2)*V156*Y156*VLOOKUP('Données projet'!$B$9,Paramètres!$A$1:$I$89,3,0)*0.475*44/12</f>
        <v>1.0571549132503491E-10</v>
      </c>
      <c r="AC156" s="22">
        <f t="shared" si="163"/>
        <v>59.929756214298429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-4.5474735088646412E-13</v>
      </c>
      <c r="AJ156" s="13">
        <f>AI156*VLOOKUP('Données projet'!$B$10,Paramètres!$A$1:$I$89,3,0)*VLOOKUP('Données projet'!$B$10,Paramètres!$A$1:$I$89,5,0)</f>
        <v>-2.1282176021486519E-13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387.50901594883317</v>
      </c>
      <c r="AO156" s="59">
        <f t="shared" si="144"/>
        <v>361.3623790401972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88.44052094912908</v>
      </c>
      <c r="AV156" s="21">
        <f>EXP(-LN(2)/25)*AV155+(1-EXP(-LN(2)/25))/(LN(2)/25)*Calculateur!AQ156*Calculateur!AS156*VLOOKUP('Données projet'!$B$10,Paramètres!$A$1:$I$89,3,0)*0.475*44/12</f>
        <v>9.1309359603555009</v>
      </c>
      <c r="AW156" s="21">
        <f>EXP(-LN(2)/2)*AW155+(1-EXP(-LN(2)/2))/(LN(2)/2)*AQ156*AT156*VLOOKUP('Données projet'!$B$10,Paramètres!$A$1:$I$89,3,0)*0.475*44/12</f>
        <v>1.0382739073474245E-6</v>
      </c>
      <c r="AX156" s="21">
        <f t="shared" si="166"/>
        <v>97.571457947758489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8.3249999999999993</v>
      </c>
      <c r="BD156" s="12">
        <f>IF('Données projet'!$A$88&gt;35,BD155+BC156-BL155,IF(A156&lt;'Données projet'!$A$88,$BA$205^A156,IF(A156='Données projet'!$A$88,'Données projet'!$B$88,BD155+BC156-BL155)))</f>
        <v>482.14500000000049</v>
      </c>
      <c r="BE156" s="13">
        <f>BD156*VLOOKUP('Données projet'!$B$11,Paramètres!$A$1:$I$89,3,0)*VLOOKUP('Données projet'!$B$11,Paramètres!$A$1:$I$89,5,0)</f>
        <v>436.24479600000041</v>
      </c>
      <c r="BF156" s="13">
        <f t="shared" si="167"/>
        <v>99.087237791231857</v>
      </c>
      <c r="BG156" s="20">
        <f t="shared" si="168"/>
        <v>932.36995885306271</v>
      </c>
      <c r="BH156" s="59">
        <f t="shared" si="116"/>
        <v>1219.4026043425627</v>
      </c>
      <c r="BI156" s="59">
        <f ca="1">AVERAGE(OFFSET($BH$3,0,0,'Données projet'!$E$11+1,1))-AVERAGE(OFFSET($H$3,0,0,'Données projet'!$E$11+1,1))</f>
        <v>627.65081154031589</v>
      </c>
      <c r="BJ156" s="59">
        <f t="shared" si="146"/>
        <v>288.78083487077618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57.045823083404009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57.045823083404009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8.3249999999999993</v>
      </c>
      <c r="BY156" s="12">
        <f>IF('Données projet'!$A$114&gt;35,BY155+BX156-CG155,IF(A156&lt;'Données projet'!$A$114,$BV$205^A156,IF(A156='Données projet'!$A$114,'Données projet'!$B$114,BY155+BX156-CG155)))</f>
        <v>482.14500000000049</v>
      </c>
      <c r="BZ156" s="13">
        <f>BY156*VLOOKUP('Données projet'!$B$12,Paramètres!$A$1:$I$89,3,0)*VLOOKUP('Données projet'!$B$12,Paramètres!$A$1:$I$89,5,0)</f>
        <v>488.89503000000053</v>
      </c>
      <c r="CA156" s="13">
        <f t="shared" si="170"/>
        <v>109.582950303247</v>
      </c>
      <c r="CB156" s="20">
        <f t="shared" si="171"/>
        <v>1042.349149028156</v>
      </c>
      <c r="CC156" s="59">
        <f t="shared" si="119"/>
        <v>1329.3817945176561</v>
      </c>
      <c r="CD156" s="59">
        <f ca="1">AVERAGE(OFFSET($CC$3,0,0,'Données projet'!$E$12+1,1))-AVERAGE(OFFSET($H$3,0,0,'Données projet'!$E$12+1,1))</f>
        <v>692.2706942067415</v>
      </c>
      <c r="CE156" s="59">
        <f t="shared" si="148"/>
        <v>316.17529091924803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63.930663800366567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63.930663800366567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1.1368683772161603E-13</v>
      </c>
      <c r="CU156" s="17">
        <f>CT156*VLOOKUP('Données projet'!$B$13,Paramètres!$A$1:$I$89,3,0)*VLOOKUP('Données projet'!$B$13,Paramètres!$A$1:$I$89,5,0)</f>
        <v>1.0818439477588981E-13</v>
      </c>
      <c r="CV156" s="13">
        <f t="shared" si="173"/>
        <v>1.6104228458716316E-12</v>
      </c>
      <c r="CW156" s="20">
        <f t="shared" si="174"/>
        <v>2.9932409441277661E-12</v>
      </c>
      <c r="CX156" s="59">
        <f t="shared" si="122"/>
        <v>287.03264548950301</v>
      </c>
      <c r="CY156" s="59">
        <f ca="1">AVERAGE(OFFSET($CX$3,0,0,'Données projet'!$E$13+1,1))-AVERAGE(OFFSET($H$3,0,0,'Données projet'!$E$13+1,1))</f>
        <v>424.5933338095914</v>
      </c>
      <c r="CZ156" s="59">
        <f t="shared" si="150"/>
        <v>159.28977188196134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100.87327295099503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100.87327295099503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-18.333333333333343</v>
      </c>
      <c r="DU156" s="59">
        <f t="shared" si="152"/>
        <v>-18.333333333333343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-18.333333333333343</v>
      </c>
      <c r="EP156" s="59">
        <f t="shared" si="154"/>
        <v>-18.333333333333343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8.3249999999999993</v>
      </c>
      <c r="FE156" s="12">
        <f>IF('Données projet'!$A$218&gt;35,FE155+FD156-FM155,IF(A156&lt;'Données projet'!$A$218,$FB$205^A156,IF(A156='Données projet'!$A$218,'Données projet'!$B$218,FE155+FD156-FM155)))</f>
        <v>482.14500000000049</v>
      </c>
      <c r="FF156" s="17">
        <f>FE156*VLOOKUP('Données projet'!$B$16,Paramètres!$A$1:$I$89,3,0)*VLOOKUP('Données projet'!$B$16,Paramètres!$A$1:$I$89,5,0)</f>
        <v>466.33064400000052</v>
      </c>
      <c r="FG156" s="13">
        <f t="shared" si="182"/>
        <v>105.10177331989394</v>
      </c>
      <c r="FH156" s="20">
        <f t="shared" si="183"/>
        <v>995.24479349881619</v>
      </c>
      <c r="FI156" s="59">
        <f t="shared" si="131"/>
        <v>1282.2774389883161</v>
      </c>
      <c r="FJ156" s="59">
        <f ca="1">AVERAGE(OFFSET($FI$3,0,0,'Données projet'!$E$16+1,1))-AVERAGE(OFFSET($H$3,0,0,'Données projet'!$E$16+1,1))</f>
        <v>664.59451650228573</v>
      </c>
      <c r="FK156" s="59">
        <f t="shared" si="156"/>
        <v>304.44325029106631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60.980017778811167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60.980017778811167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-6.8212102632969618E-13</v>
      </c>
      <c r="O157" s="13">
        <f>N157*VLOOKUP('Données projet'!$B$9,Paramètres!$A$1:$I$89,3,0)*VLOOKUP('Données projet'!$B$9,Paramètres!$A$1:$I$89,5,0)</f>
        <v>-4.0790837374515837E-13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460.88622650237176</v>
      </c>
      <c r="T157" s="59">
        <f t="shared" si="142"/>
        <v>396.05161661639647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54.23578811796191</v>
      </c>
      <c r="AA157" s="21">
        <f>EXP(-LN(2)/25)*AA156+(1-EXP(-LN(2)/25))/(LN(2)/25)*Calculateur!V157*Calculateur!X157*VLOOKUP('Données projet'!$B$9,Paramètres!$A$1:$I$89,3,0)*0.475*44/12</f>
        <v>4.483127185085813</v>
      </c>
      <c r="AB157" s="21">
        <f>EXP(-LN(2)/2)*AB156+(1-EXP(-LN(2)/2))/(LN(2)/2)*V157*Y157*VLOOKUP('Données projet'!$B$9,Paramètres!$A$1:$I$89,3,0)*0.475*44/12</f>
        <v>7.4752140792399821E-11</v>
      </c>
      <c r="AC157" s="22">
        <f t="shared" si="163"/>
        <v>58.718915303122472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-4.5474735088646412E-13</v>
      </c>
      <c r="AJ157" s="13">
        <f>AI157*VLOOKUP('Données projet'!$B$10,Paramètres!$A$1:$I$89,3,0)*VLOOKUP('Données projet'!$B$10,Paramètres!$A$1:$I$89,5,0)</f>
        <v>-2.1282176021486519E-13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387.50901594883317</v>
      </c>
      <c r="AO157" s="59">
        <f t="shared" si="144"/>
        <v>361.3623790401972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86.706256276707975</v>
      </c>
      <c r="AV157" s="21">
        <f>EXP(-LN(2)/25)*AV156+(1-EXP(-LN(2)/25))/(LN(2)/25)*Calculateur!AQ157*Calculateur!AS157*VLOOKUP('Données projet'!$B$10,Paramètres!$A$1:$I$89,3,0)*0.475*44/12</f>
        <v>8.881250036344527</v>
      </c>
      <c r="AW157" s="21">
        <f>EXP(-LN(2)/2)*AW156+(1-EXP(-LN(2)/2))/(LN(2)/2)*AQ157*AT157*VLOOKUP('Données projet'!$B$10,Paramètres!$A$1:$I$89,3,0)*0.475*44/12</f>
        <v>7.3417052061441705E-7</v>
      </c>
      <c r="AX157" s="21">
        <f t="shared" si="166"/>
        <v>95.587507047223028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490.47</v>
      </c>
      <c r="BB157" s="12">
        <f>VLOOKUP(A157,'Données projet'!$A$87:$I$107,9,0)</f>
        <v>8.3249999999999993</v>
      </c>
      <c r="BC157" s="12">
        <f t="array" ref="BC157">INDEX(BB:BB,MIN(IF(ISNUMBER(BB157:BB353),ROW(BB157:BB353),"")))</f>
        <v>8.3249999999999993</v>
      </c>
      <c r="BD157" s="12">
        <f>IF('Données projet'!$A$88&gt;35,BD156+BC157-BL156,IF(A157&lt;'Données projet'!$A$88,$BA$205^A157,IF(A157='Données projet'!$A$88,'Données projet'!$B$88,BD156+BC157-BL156)))</f>
        <v>490.47000000000048</v>
      </c>
      <c r="BE157" s="13">
        <f>BD157*VLOOKUP('Données projet'!$B$11,Paramètres!$A$1:$I$89,3,0)*VLOOKUP('Données projet'!$B$11,Paramètres!$A$1:$I$89,5,0)</f>
        <v>443.77725600000048</v>
      </c>
      <c r="BF157" s="13">
        <f t="shared" si="167"/>
        <v>100.59747837627934</v>
      </c>
      <c r="BG157" s="20">
        <f t="shared" si="168"/>
        <v>948.11932903868717</v>
      </c>
      <c r="BH157" s="59">
        <f t="shared" si="116"/>
        <v>1235.26127737605</v>
      </c>
      <c r="BI157" s="59">
        <f ca="1">AVERAGE(OFFSET($BH$3,0,0,'Données projet'!$E$11+1,1))-AVERAGE(OFFSET($H$3,0,0,'Données projet'!$E$11+1,1))</f>
        <v>627.65081154031589</v>
      </c>
      <c r="BJ157" s="59">
        <f t="shared" si="146"/>
        <v>288.78083487077618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0.30099999999999999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72.525129289569833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72.525129289569833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490.47</v>
      </c>
      <c r="BW157" s="12">
        <f>VLOOKUP(A157,'Données projet'!$A$113:$I$133,9,0)</f>
        <v>8.3249999999999993</v>
      </c>
      <c r="BX157" s="12">
        <f t="array" ref="BX157">INDEX(BW:BW,MIN(IF(ISNUMBER(BW157:BW353),ROW(BW157:BW353),"")))</f>
        <v>8.3249999999999993</v>
      </c>
      <c r="BY157" s="12">
        <f>IF('Données projet'!$A$114&gt;35,BY156+BX157-CG156,IF(A157&lt;'Données projet'!$A$114,$BV$205^A157,IF(A157='Données projet'!$A$114,'Données projet'!$B$114,BY156+BX157-CG156)))</f>
        <v>490.47000000000048</v>
      </c>
      <c r="BZ157" s="13">
        <f>BY157*VLOOKUP('Données projet'!$B$12,Paramètres!$A$1:$I$89,3,0)*VLOOKUP('Données projet'!$B$12,Paramètres!$A$1:$I$89,5,0)</f>
        <v>497.33658000000054</v>
      </c>
      <c r="CA157" s="13">
        <f t="shared" si="170"/>
        <v>111.2531615500869</v>
      </c>
      <c r="CB157" s="20">
        <f t="shared" si="171"/>
        <v>1059.9604665330687</v>
      </c>
      <c r="CC157" s="59">
        <f t="shared" si="119"/>
        <v>1347.1024148704314</v>
      </c>
      <c r="CD157" s="59">
        <f ca="1">AVERAGE(OFFSET($CC$3,0,0,'Données projet'!$E$12+1,1))-AVERAGE(OFFSET($H$3,0,0,'Données projet'!$E$12+1,1))</f>
        <v>692.2706942067415</v>
      </c>
      <c r="CE157" s="59">
        <f t="shared" si="148"/>
        <v>316.17529091924803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0.30099999999999999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81.278162134862754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81.278162134862754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1.1368683772161603E-13</v>
      </c>
      <c r="CU157" s="17">
        <f>CT157*VLOOKUP('Données projet'!$B$13,Paramètres!$A$1:$I$89,3,0)*VLOOKUP('Données projet'!$B$13,Paramètres!$A$1:$I$89,5,0)</f>
        <v>1.0818439477588981E-13</v>
      </c>
      <c r="CV157" s="13">
        <f t="shared" si="173"/>
        <v>1.6104228458716316E-12</v>
      </c>
      <c r="CW157" s="20">
        <f t="shared" si="174"/>
        <v>2.9932409441277661E-12</v>
      </c>
      <c r="CX157" s="59">
        <f t="shared" si="122"/>
        <v>287.14194833736576</v>
      </c>
      <c r="CY157" s="59">
        <f ca="1">AVERAGE(OFFSET($CX$3,0,0,'Données projet'!$E$13+1,1))-AVERAGE(OFFSET($H$3,0,0,'Données projet'!$E$13+1,1))</f>
        <v>424.5933338095914</v>
      </c>
      <c r="CZ157" s="59">
        <f t="shared" si="150"/>
        <v>159.28977188196134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98.895209595047262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98.895209595047262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-18.333333333333343</v>
      </c>
      <c r="DU157" s="59">
        <f t="shared" si="152"/>
        <v>-18.333333333333343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-18.333333333333343</v>
      </c>
      <c r="EP157" s="59">
        <f t="shared" si="154"/>
        <v>-18.333333333333343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>
        <f>VLOOKUP(A157,'Données projet'!$A$217:$I$237,2,0)</f>
        <v>490.47</v>
      </c>
      <c r="FC157" s="12">
        <f>VLOOKUP(A157,'Données projet'!$A$217:$I$237,9,0)</f>
        <v>8.3249999999999993</v>
      </c>
      <c r="FD157" s="12">
        <f t="array" ref="FD157">INDEX(FC:FC,MIN(IF(ISNUMBER(FC157:FC353),ROW(FC157:FC353),"")))</f>
        <v>8.3249999999999993</v>
      </c>
      <c r="FE157" s="12">
        <f>IF('Données projet'!$A$218&gt;35,FE156+FD157-FM156,IF(A157&lt;'Données projet'!$A$218,$FB$205^A157,IF(A157='Données projet'!$A$218,'Données projet'!$B$218,FE156+FD157-FM156)))</f>
        <v>490.47000000000048</v>
      </c>
      <c r="FF157" s="17">
        <f>FE157*VLOOKUP('Données projet'!$B$16,Paramètres!$A$1:$I$89,3,0)*VLOOKUP('Données projet'!$B$16,Paramètres!$A$1:$I$89,5,0)</f>
        <v>474.38258400000052</v>
      </c>
      <c r="FG157" s="13">
        <f t="shared" si="182"/>
        <v>106.70368459693037</v>
      </c>
      <c r="FH157" s="20">
        <f t="shared" si="183"/>
        <v>1012.0585844729879</v>
      </c>
      <c r="FI157" s="59">
        <f t="shared" si="131"/>
        <v>1299.2005328103508</v>
      </c>
      <c r="FJ157" s="59">
        <f ca="1">AVERAGE(OFFSET($FI$3,0,0,'Données projet'!$E$16+1,1))-AVERAGE(OFFSET($H$3,0,0,'Données projet'!$E$16+1,1))</f>
        <v>664.59451650228573</v>
      </c>
      <c r="FK157" s="59">
        <f t="shared" si="156"/>
        <v>304.44325029106631</v>
      </c>
      <c r="FL157" s="15">
        <f>IF(ISNA(VLOOKUP(A157,'Données projet'!$A$217:$I$237,3,0)),0,VLOOKUP(A157,'Données projet'!$A$217:$I$237,3,0))</f>
        <v>13</v>
      </c>
      <c r="FM157" s="15">
        <f>IF(ISNA(VLOOKUP(A157,'Données projet'!$A$217:$I$237,4,0)),0,VLOOKUP(A157,'Données projet'!$A$217:$I$237,4,0))</f>
        <v>55.13</v>
      </c>
      <c r="FN157" s="16">
        <f>IF(ISNA(VLOOKUP(A157,'Données projet'!$A$217:$I$237,5,0)),0%,VLOOKUP(A157,'Données projet'!$A$217:$I$237,5,0)*VLOOKUP('Données projet'!$B$16,Paramètres!$A$1:$I$89,7,0))</f>
        <v>0.30099999999999999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77.526862344022916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77.526862344022916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-6.8212102632969618E-13</v>
      </c>
      <c r="O158" s="13">
        <f>N158*VLOOKUP('Données projet'!$B$9,Paramètres!$A$1:$I$89,3,0)*VLOOKUP('Données projet'!$B$9,Paramètres!$A$1:$I$89,5,0)</f>
        <v>-4.0790837374515837E-13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460.88622650237176</v>
      </c>
      <c r="T158" s="59">
        <f t="shared" si="142"/>
        <v>396.05161661639647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53.172257393532995</v>
      </c>
      <c r="AA158" s="21">
        <f>EXP(-LN(2)/25)*AA157+(1-EXP(-LN(2)/25))/(LN(2)/25)*Calculateur!V158*Calculateur!X158*VLOOKUP('Données projet'!$B$9,Paramètres!$A$1:$I$89,3,0)*0.475*44/12</f>
        <v>4.3605358364522289</v>
      </c>
      <c r="AB158" s="21">
        <f>EXP(-LN(2)/2)*AB157+(1-EXP(-LN(2)/2))/(LN(2)/2)*V158*Y158*VLOOKUP('Données projet'!$B$9,Paramètres!$A$1:$I$89,3,0)*0.475*44/12</f>
        <v>5.2857745662517454E-11</v>
      </c>
      <c r="AC158" s="22">
        <f t="shared" si="163"/>
        <v>57.532793230038081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-4.5474735088646412E-13</v>
      </c>
      <c r="AJ158" s="13">
        <f>AI158*VLOOKUP('Données projet'!$B$10,Paramètres!$A$1:$I$89,3,0)*VLOOKUP('Données projet'!$B$10,Paramètres!$A$1:$I$89,5,0)</f>
        <v>-2.1282176021486519E-13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387.50901594883317</v>
      </c>
      <c r="AO158" s="59">
        <f t="shared" si="144"/>
        <v>361.3623790401972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85.005999476716042</v>
      </c>
      <c r="AV158" s="21">
        <f>EXP(-LN(2)/25)*AV157+(1-EXP(-LN(2)/25))/(LN(2)/25)*Calculateur!AQ158*Calculateur!AS158*VLOOKUP('Données projet'!$B$10,Paramètres!$A$1:$I$89,3,0)*0.475*44/12</f>
        <v>8.6383917870560456</v>
      </c>
      <c r="AW158" s="21">
        <f>EXP(-LN(2)/2)*AW157+(1-EXP(-LN(2)/2))/(LN(2)/2)*AQ158*AT158*VLOOKUP('Données projet'!$B$10,Paramètres!$A$1:$I$89,3,0)*0.475*44/12</f>
        <v>5.1913695367371226E-7</v>
      </c>
      <c r="AX158" s="21">
        <f t="shared" si="166"/>
        <v>93.64439178290904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8.4429999999999943</v>
      </c>
      <c r="BD158" s="12">
        <f>IF('Données projet'!$A$88&gt;35,BD157+BC158-BL157,IF(A158&lt;'Données projet'!$A$88,$BA$205^A158,IF(A158='Données projet'!$A$88,'Données projet'!$B$88,BD157+BC158-BL157)))</f>
        <v>443.78300000000047</v>
      </c>
      <c r="BE158" s="13">
        <f>BD158*VLOOKUP('Données projet'!$B$11,Paramètres!$A$1:$I$89,3,0)*VLOOKUP('Données projet'!$B$11,Paramètres!$A$1:$I$89,5,0)</f>
        <v>401.53485840000047</v>
      </c>
      <c r="BF158" s="13">
        <f t="shared" si="167"/>
        <v>92.087764815279797</v>
      </c>
      <c r="BG158" s="20">
        <f t="shared" si="168"/>
        <v>859.72606876661303</v>
      </c>
      <c r="BH158" s="59">
        <f t="shared" si="116"/>
        <v>1146.9754237917928</v>
      </c>
      <c r="BI158" s="59">
        <f ca="1">AVERAGE(OFFSET($BH$3,0,0,'Données projet'!$E$11+1,1))-AVERAGE(OFFSET($H$3,0,0,'Données projet'!$E$11+1,1))</f>
        <v>627.65081154031589</v>
      </c>
      <c r="BJ158" s="59">
        <f t="shared" si="146"/>
        <v>288.78083487077618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71.102955740162301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71.102955740162301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8.4429999999999943</v>
      </c>
      <c r="BY158" s="12">
        <f>IF('Données projet'!$A$114&gt;35,BY157+BX158-CG157,IF(A158&lt;'Données projet'!$A$114,$BV$205^A158,IF(A158='Données projet'!$A$114,'Données projet'!$B$114,BY157+BX158-CG157)))</f>
        <v>443.78300000000047</v>
      </c>
      <c r="BZ158" s="13">
        <f>BY158*VLOOKUP('Données projet'!$B$12,Paramètres!$A$1:$I$89,3,0)*VLOOKUP('Données projet'!$B$12,Paramètres!$A$1:$I$89,5,0)</f>
        <v>449.99596200000047</v>
      </c>
      <c r="CA158" s="13">
        <f t="shared" si="170"/>
        <v>101.84206543885381</v>
      </c>
      <c r="CB158" s="20">
        <f t="shared" si="171"/>
        <v>961.1178977893378</v>
      </c>
      <c r="CC158" s="59">
        <f t="shared" si="119"/>
        <v>1248.3672528145175</v>
      </c>
      <c r="CD158" s="59">
        <f ca="1">AVERAGE(OFFSET($CC$3,0,0,'Données projet'!$E$12+1,1))-AVERAGE(OFFSET($H$3,0,0,'Données projet'!$E$12+1,1))</f>
        <v>692.2706942067415</v>
      </c>
      <c r="CE158" s="59">
        <f t="shared" si="148"/>
        <v>316.17529091924803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79.68434695018189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79.68434695018189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1.1368683772161603E-13</v>
      </c>
      <c r="CU158" s="17">
        <f>CT158*VLOOKUP('Données projet'!$B$13,Paramètres!$A$1:$I$89,3,0)*VLOOKUP('Données projet'!$B$13,Paramètres!$A$1:$I$89,5,0)</f>
        <v>1.0818439477588981E-13</v>
      </c>
      <c r="CV158" s="13">
        <f t="shared" si="173"/>
        <v>1.6104228458716316E-12</v>
      </c>
      <c r="CW158" s="20">
        <f t="shared" si="174"/>
        <v>2.9932409441277661E-12</v>
      </c>
      <c r="CX158" s="59">
        <f t="shared" si="122"/>
        <v>287.24935502518269</v>
      </c>
      <c r="CY158" s="59">
        <f ca="1">AVERAGE(OFFSET($CX$3,0,0,'Données projet'!$E$13+1,1))-AVERAGE(OFFSET($H$3,0,0,'Données projet'!$E$13+1,1))</f>
        <v>424.5933338095914</v>
      </c>
      <c r="CZ158" s="59">
        <f t="shared" si="150"/>
        <v>159.28977188196134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96.955934855010128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96.955934855010128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-18.333333333333343</v>
      </c>
      <c r="DU158" s="59">
        <f t="shared" si="152"/>
        <v>-18.333333333333343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-18.333333333333343</v>
      </c>
      <c r="EP158" s="59">
        <f t="shared" si="154"/>
        <v>-18.333333333333343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8.4429999999999943</v>
      </c>
      <c r="FE158" s="12">
        <f>IF('Données projet'!$A$218&gt;35,FE157+FD158-FM157,IF(A158&lt;'Données projet'!$A$218,$FB$205^A158,IF(A158='Données projet'!$A$218,'Données projet'!$B$218,FE157+FD158-FM157)))</f>
        <v>443.78300000000047</v>
      </c>
      <c r="FF158" s="17">
        <f>FE158*VLOOKUP('Données projet'!$B$16,Paramètres!$A$1:$I$89,3,0)*VLOOKUP('Données projet'!$B$16,Paramètres!$A$1:$I$89,5,0)</f>
        <v>429.22691760000049</v>
      </c>
      <c r="FG158" s="13">
        <f t="shared" si="182"/>
        <v>97.677436558915673</v>
      </c>
      <c r="FH158" s="20">
        <f t="shared" si="183"/>
        <v>917.69175016011229</v>
      </c>
      <c r="FI158" s="59">
        <f t="shared" si="131"/>
        <v>1204.9411051852919</v>
      </c>
      <c r="FJ158" s="59">
        <f ca="1">AVERAGE(OFFSET($FI$3,0,0,'Données projet'!$E$16+1,1))-AVERAGE(OFFSET($H$3,0,0,'Données projet'!$E$16+1,1))</f>
        <v>664.59451650228573</v>
      </c>
      <c r="FK158" s="59">
        <f t="shared" si="156"/>
        <v>304.44325029106631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76.006607860173474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76.006607860173474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-6.8212102632969618E-13</v>
      </c>
      <c r="O159" s="13">
        <f>N159*VLOOKUP('Données projet'!$B$9,Paramètres!$A$1:$I$89,3,0)*VLOOKUP('Données projet'!$B$9,Paramètres!$A$1:$I$89,5,0)</f>
        <v>-4.0790837374515837E-13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460.88622650237176</v>
      </c>
      <c r="T159" s="59">
        <f t="shared" si="142"/>
        <v>396.05161661639647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52.129581857920442</v>
      </c>
      <c r="AA159" s="21">
        <f>EXP(-LN(2)/25)*AA158+(1-EXP(-LN(2)/25))/(LN(2)/25)*Calculateur!V159*Calculateur!X159*VLOOKUP('Données projet'!$B$9,Paramètres!$A$1:$I$89,3,0)*0.475*44/12</f>
        <v>4.2412967546938294</v>
      </c>
      <c r="AB159" s="21">
        <f>EXP(-LN(2)/2)*AB158+(1-EXP(-LN(2)/2))/(LN(2)/2)*V159*Y159*VLOOKUP('Données projet'!$B$9,Paramètres!$A$1:$I$89,3,0)*0.475*44/12</f>
        <v>3.7376070396199911E-11</v>
      </c>
      <c r="AC159" s="22">
        <f t="shared" si="163"/>
        <v>56.370878612651644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-4.5474735088646412E-13</v>
      </c>
      <c r="AJ159" s="13">
        <f>AI159*VLOOKUP('Données projet'!$B$10,Paramètres!$A$1:$I$89,3,0)*VLOOKUP('Données projet'!$B$10,Paramètres!$A$1:$I$89,5,0)</f>
        <v>-2.1282176021486519E-13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387.50901594883317</v>
      </c>
      <c r="AO159" s="59">
        <f t="shared" si="144"/>
        <v>361.3623790401972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83.339083675517699</v>
      </c>
      <c r="AV159" s="21">
        <f>EXP(-LN(2)/25)*AV158+(1-EXP(-LN(2)/25))/(LN(2)/25)*Calculateur!AQ159*Calculateur!AS159*VLOOKUP('Données projet'!$B$10,Paramètres!$A$1:$I$89,3,0)*0.475*44/12</f>
        <v>8.4021745093657181</v>
      </c>
      <c r="AW159" s="21">
        <f>EXP(-LN(2)/2)*AW158+(1-EXP(-LN(2)/2))/(LN(2)/2)*AQ159*AT159*VLOOKUP('Données projet'!$B$10,Paramètres!$A$1:$I$89,3,0)*0.475*44/12</f>
        <v>3.6708526030720852E-7</v>
      </c>
      <c r="AX159" s="21">
        <f t="shared" si="166"/>
        <v>91.741258551968684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8.4429999999999943</v>
      </c>
      <c r="BD159" s="12">
        <f>IF('Données projet'!$A$88&gt;35,BD158+BC159-BL158,IF(A159&lt;'Données projet'!$A$88,$BA$205^A159,IF(A159='Données projet'!$A$88,'Données projet'!$B$88,BD158+BC159-BL158)))</f>
        <v>452.22600000000045</v>
      </c>
      <c r="BE159" s="13">
        <f>BD159*VLOOKUP('Données projet'!$B$11,Paramètres!$A$1:$I$89,3,0)*VLOOKUP('Données projet'!$B$11,Paramètres!$A$1:$I$89,5,0)</f>
        <v>409.1740848000004</v>
      </c>
      <c r="BF159" s="13">
        <f t="shared" si="167"/>
        <v>93.634108404325715</v>
      </c>
      <c r="BG159" s="20">
        <f t="shared" si="168"/>
        <v>875.72426983086791</v>
      </c>
      <c r="BH159" s="59">
        <f t="shared" si="116"/>
        <v>1163.0791682779563</v>
      </c>
      <c r="BI159" s="59">
        <f ca="1">AVERAGE(OFFSET($BH$3,0,0,'Données projet'!$E$11+1,1))-AVERAGE(OFFSET($H$3,0,0,'Données projet'!$E$11+1,1))</f>
        <v>627.65081154031589</v>
      </c>
      <c r="BJ159" s="59">
        <f t="shared" si="146"/>
        <v>288.78083487077618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69.708670146618431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69.708670146618431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8.4429999999999943</v>
      </c>
      <c r="BY159" s="12">
        <f>IF('Données projet'!$A$114&gt;35,BY158+BX159-CG158,IF(A159&lt;'Données projet'!$A$114,$BV$205^A159,IF(A159='Données projet'!$A$114,'Données projet'!$B$114,BY158+BX159-CG158)))</f>
        <v>452.22600000000045</v>
      </c>
      <c r="BZ159" s="13">
        <f>BY159*VLOOKUP('Données projet'!$B$12,Paramètres!$A$1:$I$89,3,0)*VLOOKUP('Données projet'!$B$12,Paramètres!$A$1:$I$89,5,0)</f>
        <v>458.55716400000051</v>
      </c>
      <c r="CA159" s="13">
        <f t="shared" si="170"/>
        <v>103.55220386280693</v>
      </c>
      <c r="CB159" s="20">
        <f t="shared" si="171"/>
        <v>979.00714902772279</v>
      </c>
      <c r="CC159" s="59">
        <f t="shared" si="119"/>
        <v>1266.3620474748111</v>
      </c>
      <c r="CD159" s="59">
        <f ca="1">AVERAGE(OFFSET($CC$3,0,0,'Données projet'!$E$12+1,1))-AVERAGE(OFFSET($H$3,0,0,'Données projet'!$E$12+1,1))</f>
        <v>692.2706942067415</v>
      </c>
      <c r="CE159" s="59">
        <f t="shared" si="148"/>
        <v>316.17529091924803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78.121785509141347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78.121785509141347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1.1368683772161603E-13</v>
      </c>
      <c r="CU159" s="17">
        <f>CT159*VLOOKUP('Données projet'!$B$13,Paramètres!$A$1:$I$89,3,0)*VLOOKUP('Données projet'!$B$13,Paramètres!$A$1:$I$89,5,0)</f>
        <v>1.0818439477588981E-13</v>
      </c>
      <c r="CV159" s="13">
        <f t="shared" si="173"/>
        <v>1.6104228458716316E-12</v>
      </c>
      <c r="CW159" s="20">
        <f t="shared" si="174"/>
        <v>2.9932409441277661E-12</v>
      </c>
      <c r="CX159" s="59">
        <f t="shared" si="122"/>
        <v>287.35489844709133</v>
      </c>
      <c r="CY159" s="59">
        <f ca="1">AVERAGE(OFFSET($CX$3,0,0,'Données projet'!$E$13+1,1))-AVERAGE(OFFSET($H$3,0,0,'Données projet'!$E$13+1,1))</f>
        <v>424.5933338095914</v>
      </c>
      <c r="CZ159" s="59">
        <f t="shared" si="150"/>
        <v>159.28977188196134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95.054688109784323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95.054688109784323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-18.333333333333343</v>
      </c>
      <c r="DU159" s="59">
        <f t="shared" si="152"/>
        <v>-18.333333333333343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-18.333333333333343</v>
      </c>
      <c r="EP159" s="59">
        <f t="shared" si="154"/>
        <v>-18.333333333333343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8.4429999999999943</v>
      </c>
      <c r="FE159" s="12">
        <f>IF('Données projet'!$A$218&gt;35,FE158+FD159-FM158,IF(A159&lt;'Données projet'!$A$218,$FB$205^A159,IF(A159='Données projet'!$A$218,'Données projet'!$B$218,FE158+FD159-FM158)))</f>
        <v>452.22600000000045</v>
      </c>
      <c r="FF159" s="17">
        <f>FE159*VLOOKUP('Données projet'!$B$16,Paramètres!$A$1:$I$89,3,0)*VLOOKUP('Données projet'!$B$16,Paramètres!$A$1:$I$89,5,0)</f>
        <v>437.39298720000045</v>
      </c>
      <c r="FG159" s="13">
        <f t="shared" si="182"/>
        <v>99.317642270502773</v>
      </c>
      <c r="FH159" s="20">
        <f t="shared" si="183"/>
        <v>934.77101299445985</v>
      </c>
      <c r="FI159" s="59">
        <f t="shared" si="131"/>
        <v>1222.1259114415482</v>
      </c>
      <c r="FJ159" s="59">
        <f ca="1">AVERAGE(OFFSET($FI$3,0,0,'Données projet'!$E$16+1,1))-AVERAGE(OFFSET($H$3,0,0,'Données projet'!$E$16+1,1))</f>
        <v>664.59451650228573</v>
      </c>
      <c r="FK159" s="59">
        <f t="shared" si="156"/>
        <v>304.44325029106631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74.51616463948865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74.51616463948865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-6.8212102632969618E-13</v>
      </c>
      <c r="O160" s="13">
        <f>N160*VLOOKUP('Données projet'!$B$9,Paramètres!$A$1:$I$89,3,0)*VLOOKUP('Données projet'!$B$9,Paramètres!$A$1:$I$89,5,0)</f>
        <v>-4.0790837374515837E-13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460.88622650237176</v>
      </c>
      <c r="T160" s="59">
        <f t="shared" si="142"/>
        <v>396.05161661639647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51.107352553591973</v>
      </c>
      <c r="AA160" s="21">
        <f>EXP(-LN(2)/25)*AA159+(1-EXP(-LN(2)/25))/(LN(2)/25)*Calculateur!V160*Calculateur!X160*VLOOKUP('Données projet'!$B$9,Paramètres!$A$1:$I$89,3,0)*0.475*44/12</f>
        <v>4.1253182718966235</v>
      </c>
      <c r="AB160" s="21">
        <f>EXP(-LN(2)/2)*AB159+(1-EXP(-LN(2)/2))/(LN(2)/2)*V160*Y160*VLOOKUP('Données projet'!$B$9,Paramètres!$A$1:$I$89,3,0)*0.475*44/12</f>
        <v>2.6428872831258727E-11</v>
      </c>
      <c r="AC160" s="22">
        <f t="shared" si="163"/>
        <v>55.232670825515029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-4.5474735088646412E-13</v>
      </c>
      <c r="AJ160" s="13">
        <f>AI160*VLOOKUP('Données projet'!$B$10,Paramètres!$A$1:$I$89,3,0)*VLOOKUP('Données projet'!$B$10,Paramètres!$A$1:$I$89,5,0)</f>
        <v>-2.1282176021486519E-13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387.50901594883317</v>
      </c>
      <c r="AO160" s="59">
        <f t="shared" si="144"/>
        <v>361.3623790401972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81.704855076462607</v>
      </c>
      <c r="AV160" s="21">
        <f>EXP(-LN(2)/25)*AV159+(1-EXP(-LN(2)/25))/(LN(2)/25)*Calculateur!AQ160*Calculateur!AS160*VLOOKUP('Données projet'!$B$10,Paramètres!$A$1:$I$89,3,0)*0.475*44/12</f>
        <v>8.1724166055559593</v>
      </c>
      <c r="AW160" s="21">
        <f>EXP(-LN(2)/2)*AW159+(1-EXP(-LN(2)/2))/(LN(2)/2)*AQ160*AT160*VLOOKUP('Données projet'!$B$10,Paramètres!$A$1:$I$89,3,0)*0.475*44/12</f>
        <v>2.5956847683685613E-7</v>
      </c>
      <c r="AX160" s="21">
        <f t="shared" si="166"/>
        <v>89.877271941587054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8.4429999999999943</v>
      </c>
      <c r="BD160" s="12">
        <f>IF('Données projet'!$A$88&gt;35,BD159+BC160-BL159,IF(A160&lt;'Données projet'!$A$88,$BA$205^A160,IF(A160='Données projet'!$A$88,'Données projet'!$B$88,BD159+BC160-BL159)))</f>
        <v>460.66900000000044</v>
      </c>
      <c r="BE160" s="13">
        <f>BD160*VLOOKUP('Données projet'!$B$11,Paramètres!$A$1:$I$89,3,0)*VLOOKUP('Données projet'!$B$11,Paramètres!$A$1:$I$89,5,0)</f>
        <v>416.81331120000038</v>
      </c>
      <c r="BF160" s="13">
        <f t="shared" si="167"/>
        <v>95.177094964322421</v>
      </c>
      <c r="BG160" s="20">
        <f t="shared" si="168"/>
        <v>891.71662406952885</v>
      </c>
      <c r="BH160" s="59">
        <f t="shared" si="116"/>
        <v>1179.1752349961155</v>
      </c>
      <c r="BI160" s="59">
        <f ca="1">AVERAGE(OFFSET($BH$3,0,0,'Données projet'!$E$11+1,1))-AVERAGE(OFFSET($H$3,0,0,'Données projet'!$E$11+1,1))</f>
        <v>627.65081154031589</v>
      </c>
      <c r="BJ160" s="59">
        <f t="shared" si="146"/>
        <v>288.78083487077618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68.341725643133714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68.341725643133714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8.4429999999999943</v>
      </c>
      <c r="BY160" s="12">
        <f>IF('Données projet'!$A$114&gt;35,BY159+BX160-CG159,IF(A160&lt;'Données projet'!$A$114,$BV$205^A160,IF(A160='Données projet'!$A$114,'Données projet'!$B$114,BY159+BX160-CG159)))</f>
        <v>460.66900000000044</v>
      </c>
      <c r="BZ160" s="13">
        <f>BY160*VLOOKUP('Données projet'!$B$12,Paramètres!$A$1:$I$89,3,0)*VLOOKUP('Données projet'!$B$12,Paramètres!$A$1:$I$89,5,0)</f>
        <v>467.11836600000044</v>
      </c>
      <c r="CA160" s="13">
        <f t="shared" si="170"/>
        <v>105.25862966790358</v>
      </c>
      <c r="CB160" s="20">
        <f t="shared" si="171"/>
        <v>996.88993412159937</v>
      </c>
      <c r="CC160" s="59">
        <f t="shared" si="119"/>
        <v>1284.348545048186</v>
      </c>
      <c r="CD160" s="59">
        <f ca="1">AVERAGE(OFFSET($CC$3,0,0,'Données projet'!$E$12+1,1))-AVERAGE(OFFSET($H$3,0,0,'Données projet'!$E$12+1,1))</f>
        <v>692.2706942067415</v>
      </c>
      <c r="CE160" s="59">
        <f t="shared" si="148"/>
        <v>316.17529091924803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76.589864944891247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76.589864944891247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1.1368683772161603E-13</v>
      </c>
      <c r="CU160" s="17">
        <f>CT160*VLOOKUP('Données projet'!$B$13,Paramètres!$A$1:$I$89,3,0)*VLOOKUP('Données projet'!$B$13,Paramètres!$A$1:$I$89,5,0)</f>
        <v>1.0818439477588981E-13</v>
      </c>
      <c r="CV160" s="13">
        <f t="shared" si="173"/>
        <v>1.6104228458716316E-12</v>
      </c>
      <c r="CW160" s="20">
        <f t="shared" si="174"/>
        <v>2.9932409441277661E-12</v>
      </c>
      <c r="CX160" s="59">
        <f t="shared" si="122"/>
        <v>287.45861092658959</v>
      </c>
      <c r="CY160" s="59">
        <f ca="1">AVERAGE(OFFSET($CX$3,0,0,'Données projet'!$E$13+1,1))-AVERAGE(OFFSET($H$3,0,0,'Données projet'!$E$13+1,1))</f>
        <v>424.5933338095914</v>
      </c>
      <c r="CZ160" s="59">
        <f t="shared" si="150"/>
        <v>159.28977188196134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93.190723653586389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93.190723653586389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-18.333333333333343</v>
      </c>
      <c r="DU160" s="59">
        <f t="shared" si="152"/>
        <v>-18.333333333333343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-18.333333333333343</v>
      </c>
      <c r="EP160" s="59">
        <f t="shared" si="154"/>
        <v>-18.333333333333343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8.4429999999999943</v>
      </c>
      <c r="FE160" s="12">
        <f>IF('Données projet'!$A$218&gt;35,FE159+FD160-FM159,IF(A160&lt;'Données projet'!$A$218,$FB$205^A160,IF(A160='Données projet'!$A$218,'Données projet'!$B$218,FE159+FD160-FM159)))</f>
        <v>460.66900000000044</v>
      </c>
      <c r="FF160" s="17">
        <f>FE160*VLOOKUP('Données projet'!$B$16,Paramètres!$A$1:$I$89,3,0)*VLOOKUP('Données projet'!$B$16,Paramètres!$A$1:$I$89,5,0)</f>
        <v>445.55905680000046</v>
      </c>
      <c r="FG160" s="13">
        <f t="shared" si="182"/>
        <v>100.95428718340372</v>
      </c>
      <c r="FH160" s="20">
        <f t="shared" si="183"/>
        <v>951.84407410442907</v>
      </c>
      <c r="FI160" s="59">
        <f t="shared" si="131"/>
        <v>1239.3026850310157</v>
      </c>
      <c r="FJ160" s="59">
        <f ca="1">AVERAGE(OFFSET($FI$3,0,0,'Données projet'!$E$16+1,1))-AVERAGE(OFFSET($H$3,0,0,'Données projet'!$E$16+1,1))</f>
        <v>664.59451650228573</v>
      </c>
      <c r="FK160" s="59">
        <f t="shared" si="156"/>
        <v>304.44325029106631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73.054948101280857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73.054948101280857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-6.8212102632969618E-13</v>
      </c>
      <c r="O161" s="13">
        <f>N161*VLOOKUP('Données projet'!$B$9,Paramètres!$A$1:$I$89,3,0)*VLOOKUP('Données projet'!$B$9,Paramètres!$A$1:$I$89,5,0)</f>
        <v>-4.0790837374515837E-13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460.88622650237176</v>
      </c>
      <c r="T161" s="59">
        <f t="shared" si="142"/>
        <v>396.05161661639647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50.105168542423073</v>
      </c>
      <c r="AA161" s="21">
        <f>EXP(-LN(2)/25)*AA160+(1-EXP(-LN(2)/25))/(LN(2)/25)*Calculateur!V161*Calculateur!X161*VLOOKUP('Données projet'!$B$9,Paramètres!$A$1:$I$89,3,0)*0.475*44/12</f>
        <v>4.0125112268105507</v>
      </c>
      <c r="AB161" s="21">
        <f>EXP(-LN(2)/2)*AB160+(1-EXP(-LN(2)/2))/(LN(2)/2)*V161*Y161*VLOOKUP('Données projet'!$B$9,Paramètres!$A$1:$I$89,3,0)*0.475*44/12</f>
        <v>1.8688035198099955E-11</v>
      </c>
      <c r="AC161" s="22">
        <f t="shared" si="163"/>
        <v>54.117679769252312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-4.5474735088646412E-13</v>
      </c>
      <c r="AJ161" s="13">
        <f>AI161*VLOOKUP('Données projet'!$B$10,Paramètres!$A$1:$I$89,3,0)*VLOOKUP('Données projet'!$B$10,Paramètres!$A$1:$I$89,5,0)</f>
        <v>-2.1282176021486519E-13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387.50901594883317</v>
      </c>
      <c r="AO161" s="59">
        <f t="shared" si="144"/>
        <v>361.3623790401972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80.102672703453976</v>
      </c>
      <c r="AV161" s="21">
        <f>EXP(-LN(2)/25)*AV160+(1-EXP(-LN(2)/25))/(LN(2)/25)*Calculateur!AQ161*Calculateur!AS161*VLOOKUP('Données projet'!$B$10,Paramètres!$A$1:$I$89,3,0)*0.475*44/12</f>
        <v>7.9489414437083203</v>
      </c>
      <c r="AW161" s="21">
        <f>EXP(-LN(2)/2)*AW160+(1-EXP(-LN(2)/2))/(LN(2)/2)*AQ161*AT161*VLOOKUP('Données projet'!$B$10,Paramètres!$A$1:$I$89,3,0)*0.475*44/12</f>
        <v>1.8354263015360426E-7</v>
      </c>
      <c r="AX161" s="21">
        <f t="shared" si="166"/>
        <v>88.051614330704922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8.4429999999999943</v>
      </c>
      <c r="BD161" s="12">
        <f>IF('Données projet'!$A$88&gt;35,BD160+BC161-BL160,IF(A161&lt;'Données projet'!$A$88,$BA$205^A161,IF(A161='Données projet'!$A$88,'Données projet'!$B$88,BD160+BC161-BL160)))</f>
        <v>469.11200000000042</v>
      </c>
      <c r="BE161" s="13">
        <f>BD161*VLOOKUP('Données projet'!$B$11,Paramètres!$A$1:$I$89,3,0)*VLOOKUP('Données projet'!$B$11,Paramètres!$A$1:$I$89,5,0)</f>
        <v>424.45253760000043</v>
      </c>
      <c r="BF161" s="13">
        <f t="shared" si="167"/>
        <v>96.716793118095666</v>
      </c>
      <c r="BG161" s="20">
        <f t="shared" si="168"/>
        <v>907.70325100068385</v>
      </c>
      <c r="BH161" s="59">
        <f t="shared" si="116"/>
        <v>1195.2637752271157</v>
      </c>
      <c r="BI161" s="59">
        <f ca="1">AVERAGE(OFFSET($BH$3,0,0,'Données projet'!$E$11+1,1))-AVERAGE(OFFSET($H$3,0,0,'Données projet'!$E$11+1,1))</f>
        <v>627.65081154031589</v>
      </c>
      <c r="BJ161" s="59">
        <f t="shared" si="146"/>
        <v>288.78083487077618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67.001586087608516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67.001586087608516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8.4429999999999943</v>
      </c>
      <c r="BY161" s="12">
        <f>IF('Données projet'!$A$114&gt;35,BY160+BX161-CG160,IF(A161&lt;'Données projet'!$A$114,$BV$205^A161,IF(A161='Données projet'!$A$114,'Données projet'!$B$114,BY160+BX161-CG160)))</f>
        <v>469.11200000000042</v>
      </c>
      <c r="BZ161" s="13">
        <f>BY161*VLOOKUP('Données projet'!$B$12,Paramètres!$A$1:$I$89,3,0)*VLOOKUP('Données projet'!$B$12,Paramètres!$A$1:$I$89,5,0)</f>
        <v>475.67956800000047</v>
      </c>
      <c r="CA161" s="13">
        <f t="shared" si="170"/>
        <v>106.96141874577063</v>
      </c>
      <c r="CB161" s="20">
        <f t="shared" si="171"/>
        <v>1014.7663852488846</v>
      </c>
      <c r="CC161" s="59">
        <f t="shared" si="119"/>
        <v>1302.3269094753166</v>
      </c>
      <c r="CD161" s="59">
        <f ca="1">AVERAGE(OFFSET($CC$3,0,0,'Données projet'!$E$12+1,1))-AVERAGE(OFFSET($H$3,0,0,'Données projet'!$E$12+1,1))</f>
        <v>692.2706942067415</v>
      </c>
      <c r="CE161" s="59">
        <f t="shared" si="148"/>
        <v>316.17529091924803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75.087984408526808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75.087984408526808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1.1368683772161603E-13</v>
      </c>
      <c r="CU161" s="17">
        <f>CT161*VLOOKUP('Données projet'!$B$13,Paramètres!$A$1:$I$89,3,0)*VLOOKUP('Données projet'!$B$13,Paramètres!$A$1:$I$89,5,0)</f>
        <v>1.0818439477588981E-13</v>
      </c>
      <c r="CV161" s="13">
        <f t="shared" si="173"/>
        <v>1.6104228458716316E-12</v>
      </c>
      <c r="CW161" s="20">
        <f t="shared" si="174"/>
        <v>2.9932409441277661E-12</v>
      </c>
      <c r="CX161" s="59">
        <f t="shared" si="122"/>
        <v>287.56052422643501</v>
      </c>
      <c r="CY161" s="59">
        <f ca="1">AVERAGE(OFFSET($CX$3,0,0,'Données projet'!$E$13+1,1))-AVERAGE(OFFSET($H$3,0,0,'Données projet'!$E$13+1,1))</f>
        <v>424.5933338095914</v>
      </c>
      <c r="CZ161" s="59">
        <f t="shared" si="150"/>
        <v>159.28977188196134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91.363310403468432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91.363310403468432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-18.333333333333343</v>
      </c>
      <c r="DU161" s="59">
        <f t="shared" si="152"/>
        <v>-18.333333333333343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-18.333333333333343</v>
      </c>
      <c r="EP161" s="59">
        <f t="shared" si="154"/>
        <v>-18.333333333333343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8.4429999999999943</v>
      </c>
      <c r="FE161" s="12">
        <f>IF('Données projet'!$A$218&gt;35,FE160+FD161-FM160,IF(A161&lt;'Données projet'!$A$218,$FB$205^A161,IF(A161='Données projet'!$A$218,'Données projet'!$B$218,FE160+FD161-FM160)))</f>
        <v>469.11200000000042</v>
      </c>
      <c r="FF161" s="17">
        <f>FE161*VLOOKUP('Données projet'!$B$16,Paramètres!$A$1:$I$89,3,0)*VLOOKUP('Données projet'!$B$16,Paramètres!$A$1:$I$89,5,0)</f>
        <v>453.72512640000042</v>
      </c>
      <c r="FG161" s="13">
        <f t="shared" si="182"/>
        <v>102.5874440858081</v>
      </c>
      <c r="FH161" s="20">
        <f t="shared" si="183"/>
        <v>968.91106026278305</v>
      </c>
      <c r="FI161" s="59">
        <f t="shared" si="131"/>
        <v>1256.471584489215</v>
      </c>
      <c r="FJ161" s="59">
        <f ca="1">AVERAGE(OFFSET($FI$3,0,0,'Données projet'!$E$16+1,1))-AVERAGE(OFFSET($H$3,0,0,'Données projet'!$E$16+1,1))</f>
        <v>664.59451650228573</v>
      </c>
      <c r="FK161" s="59">
        <f t="shared" si="156"/>
        <v>304.44325029106631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71.622385128133232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71.622385128133232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-6.8212102632969618E-13</v>
      </c>
      <c r="O162" s="13">
        <f>N162*VLOOKUP('Données projet'!$B$9,Paramètres!$A$1:$I$89,3,0)*VLOOKUP('Données projet'!$B$9,Paramètres!$A$1:$I$89,5,0)</f>
        <v>-4.0790837374515837E-13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460.88622650237176</v>
      </c>
      <c r="T162" s="59">
        <f t="shared" si="142"/>
        <v>396.05161661639647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49.122636748441309</v>
      </c>
      <c r="AA162" s="21">
        <f>EXP(-LN(2)/25)*AA161+(1-EXP(-LN(2)/25))/(LN(2)/25)*Calculateur!V162*Calculateur!X162*VLOOKUP('Données projet'!$B$9,Paramètres!$A$1:$I$89,3,0)*0.475*44/12</f>
        <v>3.9027888963046213</v>
      </c>
      <c r="AB162" s="21">
        <f>EXP(-LN(2)/2)*AB161+(1-EXP(-LN(2)/2))/(LN(2)/2)*V162*Y162*VLOOKUP('Données projet'!$B$9,Paramètres!$A$1:$I$89,3,0)*0.475*44/12</f>
        <v>1.3214436415629364E-11</v>
      </c>
      <c r="AC162" s="22">
        <f t="shared" si="163"/>
        <v>53.025425644759146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-4.5474735088646412E-13</v>
      </c>
      <c r="AJ162" s="13">
        <f>AI162*VLOOKUP('Données projet'!$B$10,Paramètres!$A$1:$I$89,3,0)*VLOOKUP('Données projet'!$B$10,Paramètres!$A$1:$I$89,5,0)</f>
        <v>-2.1282176021486519E-13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387.50901594883317</v>
      </c>
      <c r="AO162" s="59">
        <f t="shared" si="144"/>
        <v>361.3623790401972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78.531908149545288</v>
      </c>
      <c r="AV162" s="21">
        <f>EXP(-LN(2)/25)*AV161+(1-EXP(-LN(2)/25))/(LN(2)/25)*Calculateur!AQ162*Calculateur!AS162*VLOOKUP('Données projet'!$B$10,Paramètres!$A$1:$I$89,3,0)*0.475*44/12</f>
        <v>7.7315772219134535</v>
      </c>
      <c r="AW162" s="21">
        <f>EXP(-LN(2)/2)*AW161+(1-EXP(-LN(2)/2))/(LN(2)/2)*AQ162*AT162*VLOOKUP('Données projet'!$B$10,Paramètres!$A$1:$I$89,3,0)*0.475*44/12</f>
        <v>1.2978423841842806E-7</v>
      </c>
      <c r="AX162" s="21">
        <f t="shared" si="166"/>
        <v>86.263485501242982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8.4429999999999943</v>
      </c>
      <c r="BD162" s="12">
        <f>IF('Données projet'!$A$88&gt;35,BD161+BC162-BL161,IF(A162&lt;'Données projet'!$A$88,$BA$205^A162,IF(A162='Données projet'!$A$88,'Données projet'!$B$88,BD161+BC162-BL161)))</f>
        <v>477.5550000000004</v>
      </c>
      <c r="BE162" s="13">
        <f>BD162*VLOOKUP('Données projet'!$B$11,Paramètres!$A$1:$I$89,3,0)*VLOOKUP('Données projet'!$B$11,Paramètres!$A$1:$I$89,5,0)</f>
        <v>432.09176400000035</v>
      </c>
      <c r="BF162" s="13">
        <f t="shared" si="167"/>
        <v>98.253268876899142</v>
      </c>
      <c r="BG162" s="20">
        <f t="shared" si="168"/>
        <v>923.68426559393322</v>
      </c>
      <c r="BH162" s="59">
        <f t="shared" si="116"/>
        <v>1211.3449351523022</v>
      </c>
      <c r="BI162" s="59">
        <f ca="1">AVERAGE(OFFSET($BH$3,0,0,'Données projet'!$E$11+1,1))-AVERAGE(OFFSET($H$3,0,0,'Données projet'!$E$11+1,1))</f>
        <v>627.65081154031589</v>
      </c>
      <c r="BJ162" s="59">
        <f t="shared" si="146"/>
        <v>288.78083487077618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65.687725851362757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65.687725851362757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8.4429999999999943</v>
      </c>
      <c r="BY162" s="12">
        <f>IF('Données projet'!$A$114&gt;35,BY161+BX162-CG161,IF(A162&lt;'Données projet'!$A$114,$BV$205^A162,IF(A162='Données projet'!$A$114,'Données projet'!$B$114,BY161+BX162-CG161)))</f>
        <v>477.5550000000004</v>
      </c>
      <c r="BZ162" s="13">
        <f>BY162*VLOOKUP('Données projet'!$B$12,Paramètres!$A$1:$I$89,3,0)*VLOOKUP('Données projet'!$B$12,Paramètres!$A$1:$I$89,5,0)</f>
        <v>484.24077000000045</v>
      </c>
      <c r="CA162" s="13">
        <f t="shared" si="170"/>
        <v>108.66064409983538</v>
      </c>
      <c r="CB162" s="20">
        <f t="shared" si="171"/>
        <v>1032.6366295572141</v>
      </c>
      <c r="CC162" s="59">
        <f t="shared" si="119"/>
        <v>1320.297299115583</v>
      </c>
      <c r="CD162" s="59">
        <f ca="1">AVERAGE(OFFSET($CC$3,0,0,'Données projet'!$E$12+1,1))-AVERAGE(OFFSET($H$3,0,0,'Données projet'!$E$12+1,1))</f>
        <v>692.2706942067415</v>
      </c>
      <c r="CE162" s="59">
        <f t="shared" si="148"/>
        <v>316.17529091924803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73.615554833423801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73.615554833423801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1.1368683772161603E-13</v>
      </c>
      <c r="CU162" s="17">
        <f>CT162*VLOOKUP('Données projet'!$B$13,Paramètres!$A$1:$I$89,3,0)*VLOOKUP('Données projet'!$B$13,Paramètres!$A$1:$I$89,5,0)</f>
        <v>1.0818439477588981E-13</v>
      </c>
      <c r="CV162" s="13">
        <f t="shared" si="173"/>
        <v>1.6104228458716316E-12</v>
      </c>
      <c r="CW162" s="20">
        <f t="shared" si="174"/>
        <v>2.9932409441277661E-12</v>
      </c>
      <c r="CX162" s="59">
        <f t="shared" si="122"/>
        <v>287.66066955837198</v>
      </c>
      <c r="CY162" s="59">
        <f ca="1">AVERAGE(OFFSET($CX$3,0,0,'Données projet'!$E$13+1,1))-AVERAGE(OFFSET($H$3,0,0,'Données projet'!$E$13+1,1))</f>
        <v>424.5933338095914</v>
      </c>
      <c r="CZ162" s="59">
        <f t="shared" si="150"/>
        <v>159.28977188196134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89.571731612573259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89.571731612573259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-18.333333333333343</v>
      </c>
      <c r="DU162" s="59">
        <f t="shared" si="152"/>
        <v>-18.333333333333343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-18.333333333333343</v>
      </c>
      <c r="EP162" s="59">
        <f t="shared" si="154"/>
        <v>-18.333333333333343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8.4429999999999943</v>
      </c>
      <c r="FE162" s="12">
        <f>IF('Données projet'!$A$218&gt;35,FE161+FD162-FM161,IF(A162&lt;'Données projet'!$A$218,$FB$205^A162,IF(A162='Données projet'!$A$218,'Données projet'!$B$218,FE161+FD162-FM161)))</f>
        <v>477.5550000000004</v>
      </c>
      <c r="FF162" s="17">
        <f>FE162*VLOOKUP('Données projet'!$B$16,Paramètres!$A$1:$I$89,3,0)*VLOOKUP('Données projet'!$B$16,Paramètres!$A$1:$I$89,5,0)</f>
        <v>461.89119600000043</v>
      </c>
      <c r="FG162" s="13">
        <f t="shared" si="182"/>
        <v>104.21718299581295</v>
      </c>
      <c r="FH162" s="20">
        <f t="shared" si="183"/>
        <v>985.97209341770815</v>
      </c>
      <c r="FI162" s="59">
        <f t="shared" si="131"/>
        <v>1273.6327629760772</v>
      </c>
      <c r="FJ162" s="59">
        <f ca="1">AVERAGE(OFFSET($FI$3,0,0,'Données projet'!$E$16+1,1))-AVERAGE(OFFSET($H$3,0,0,'Données projet'!$E$16+1,1))</f>
        <v>664.59451650228573</v>
      </c>
      <c r="FK162" s="59">
        <f t="shared" si="156"/>
        <v>304.44325029106631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70.217913841111894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70.217913841111894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-6.8212102632969618E-13</v>
      </c>
      <c r="O163" s="13">
        <f>N163*VLOOKUP('Données projet'!$B$9,Paramètres!$A$1:$I$89,3,0)*VLOOKUP('Données projet'!$B$9,Paramètres!$A$1:$I$89,5,0)</f>
        <v>-4.0790837374515837E-13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460.88622650237176</v>
      </c>
      <c r="T163" s="59">
        <f t="shared" si="142"/>
        <v>396.05161661639647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48.159371803654302</v>
      </c>
      <c r="AA163" s="21">
        <f>EXP(-LN(2)/25)*AA162+(1-EXP(-LN(2)/25))/(LN(2)/25)*Calculateur!V163*Calculateur!X163*VLOOKUP('Données projet'!$B$9,Paramètres!$A$1:$I$89,3,0)*0.475*44/12</f>
        <v>3.7960669286964235</v>
      </c>
      <c r="AB163" s="21">
        <f>EXP(-LN(2)/2)*AB162+(1-EXP(-LN(2)/2))/(LN(2)/2)*V163*Y163*VLOOKUP('Données projet'!$B$9,Paramètres!$A$1:$I$89,3,0)*0.475*44/12</f>
        <v>9.3440175990499776E-12</v>
      </c>
      <c r="AC163" s="22">
        <f t="shared" si="163"/>
        <v>51.955438732360072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-4.5474735088646412E-13</v>
      </c>
      <c r="AJ163" s="13">
        <f>AI163*VLOOKUP('Données projet'!$B$10,Paramètres!$A$1:$I$89,3,0)*VLOOKUP('Données projet'!$B$10,Paramètres!$A$1:$I$89,5,0)</f>
        <v>-2.1282176021486519E-13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387.50901594883317</v>
      </c>
      <c r="AO163" s="59">
        <f t="shared" si="144"/>
        <v>361.3623790401972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76.991945330466976</v>
      </c>
      <c r="AV163" s="21">
        <f>EXP(-LN(2)/25)*AV162+(1-EXP(-LN(2)/25))/(LN(2)/25)*Calculateur!AQ163*Calculateur!AS163*VLOOKUP('Données projet'!$B$10,Paramètres!$A$1:$I$89,3,0)*0.475*44/12</f>
        <v>7.5201568361942552</v>
      </c>
      <c r="AW163" s="21">
        <f>EXP(-LN(2)/2)*AW162+(1-EXP(-LN(2)/2))/(LN(2)/2)*AQ163*AT163*VLOOKUP('Données projet'!$B$10,Paramètres!$A$1:$I$89,3,0)*0.475*44/12</f>
        <v>9.1771315076802131E-8</v>
      </c>
      <c r="AX163" s="21">
        <f t="shared" si="166"/>
        <v>84.512102258432549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8.4429999999999943</v>
      </c>
      <c r="BD163" s="12">
        <f>IF('Données projet'!$A$88&gt;35,BD162+BC163-BL162,IF(A163&lt;'Données projet'!$A$88,$BA$205^A163,IF(A163='Données projet'!$A$88,'Données projet'!$B$88,BD162+BC163-BL162)))</f>
        <v>485.99800000000039</v>
      </c>
      <c r="BE163" s="13">
        <f>BD163*VLOOKUP('Données projet'!$B$11,Paramètres!$A$1:$I$89,3,0)*VLOOKUP('Données projet'!$B$11,Paramètres!$A$1:$I$89,5,0)</f>
        <v>439.73099040000034</v>
      </c>
      <c r="BF163" s="13">
        <f t="shared" si="167"/>
        <v>99.786585784186272</v>
      </c>
      <c r="BG163" s="20">
        <f t="shared" si="168"/>
        <v>939.65977852079175</v>
      </c>
      <c r="BH163" s="59">
        <f t="shared" si="116"/>
        <v>1227.4188561134802</v>
      </c>
      <c r="BI163" s="59">
        <f ca="1">AVERAGE(OFFSET($BH$3,0,0,'Données projet'!$E$11+1,1))-AVERAGE(OFFSET($H$3,0,0,'Données projet'!$E$11+1,1))</f>
        <v>627.65081154031589</v>
      </c>
      <c r="BJ163" s="59">
        <f t="shared" si="146"/>
        <v>288.78083487077618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64.399629612974152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64.399629612974152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8.4429999999999943</v>
      </c>
      <c r="BY163" s="12">
        <f>IF('Données projet'!$A$114&gt;35,BY162+BX163-CG162,IF(A163&lt;'Données projet'!$A$114,$BV$205^A163,IF(A163='Données projet'!$A$114,'Données projet'!$B$114,BY162+BX163-CG162)))</f>
        <v>485.99800000000039</v>
      </c>
      <c r="BZ163" s="13">
        <f>BY163*VLOOKUP('Données projet'!$B$12,Paramètres!$A$1:$I$89,3,0)*VLOOKUP('Données projet'!$B$12,Paramètres!$A$1:$I$89,5,0)</f>
        <v>492.80197200000038</v>
      </c>
      <c r="CA163" s="13">
        <f t="shared" si="170"/>
        <v>110.35637600432534</v>
      </c>
      <c r="CB163" s="20">
        <f t="shared" si="171"/>
        <v>1050.5007894408673</v>
      </c>
      <c r="CC163" s="59">
        <f t="shared" si="119"/>
        <v>1338.2598670335556</v>
      </c>
      <c r="CD163" s="59">
        <f ca="1">AVERAGE(OFFSET($CC$3,0,0,'Données projet'!$E$12+1,1))-AVERAGE(OFFSET($H$3,0,0,'Données projet'!$E$12+1,1))</f>
        <v>692.2706942067415</v>
      </c>
      <c r="CE163" s="59">
        <f t="shared" si="148"/>
        <v>316.17529091924803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72.171998704195204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72.171998704195204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1.1368683772161603E-13</v>
      </c>
      <c r="CU163" s="17">
        <f>CT163*VLOOKUP('Données projet'!$B$13,Paramètres!$A$1:$I$89,3,0)*VLOOKUP('Données projet'!$B$13,Paramètres!$A$1:$I$89,5,0)</f>
        <v>1.0818439477588981E-13</v>
      </c>
      <c r="CV163" s="13">
        <f t="shared" si="173"/>
        <v>1.6104228458716316E-12</v>
      </c>
      <c r="CW163" s="20">
        <f t="shared" si="174"/>
        <v>2.9932409441277661E-12</v>
      </c>
      <c r="CX163" s="59">
        <f t="shared" si="122"/>
        <v>287.75907759269137</v>
      </c>
      <c r="CY163" s="59">
        <f ca="1">AVERAGE(OFFSET($CX$3,0,0,'Données projet'!$E$13+1,1))-AVERAGE(OFFSET($H$3,0,0,'Données projet'!$E$13+1,1))</f>
        <v>424.5933338095914</v>
      </c>
      <c r="CZ163" s="59">
        <f t="shared" si="150"/>
        <v>159.28977188196134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87.815284589012379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87.815284589012379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-18.333333333333343</v>
      </c>
      <c r="DU163" s="59">
        <f t="shared" si="152"/>
        <v>-18.333333333333343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-18.333333333333343</v>
      </c>
      <c r="EP163" s="59">
        <f t="shared" si="154"/>
        <v>-18.333333333333343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8.4429999999999943</v>
      </c>
      <c r="FE163" s="12">
        <f>IF('Données projet'!$A$218&gt;35,FE162+FD163-FM162,IF(A163&lt;'Données projet'!$A$218,$FB$205^A163,IF(A163='Données projet'!$A$218,'Données projet'!$B$218,FE162+FD163-FM162)))</f>
        <v>485.99800000000039</v>
      </c>
      <c r="FF163" s="17">
        <f>FE163*VLOOKUP('Données projet'!$B$16,Paramètres!$A$1:$I$89,3,0)*VLOOKUP('Données projet'!$B$16,Paramètres!$A$1:$I$89,5,0)</f>
        <v>470.05726560000039</v>
      </c>
      <c r="FG163" s="13">
        <f t="shared" si="182"/>
        <v>105.843571313921</v>
      </c>
      <c r="FH163" s="20">
        <f t="shared" si="183"/>
        <v>1003.0272909584129</v>
      </c>
      <c r="FI163" s="59">
        <f t="shared" si="131"/>
        <v>1290.7863685511013</v>
      </c>
      <c r="FJ163" s="59">
        <f ca="1">AVERAGE(OFFSET($FI$3,0,0,'Données projet'!$E$16+1,1))-AVERAGE(OFFSET($H$3,0,0,'Données projet'!$E$16+1,1))</f>
        <v>664.59451650228573</v>
      </c>
      <c r="FK163" s="59">
        <f t="shared" si="156"/>
        <v>304.44325029106631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68.840983379386145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68.840983379386145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-6.8212102632969618E-13</v>
      </c>
      <c r="O164" s="13">
        <f>N164*VLOOKUP('Données projet'!$B$9,Paramètres!$A$1:$I$89,3,0)*VLOOKUP('Données projet'!$B$9,Paramètres!$A$1:$I$89,5,0)</f>
        <v>-4.0790837374515837E-13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460.88622650237176</v>
      </c>
      <c r="T164" s="59">
        <f t="shared" si="142"/>
        <v>396.05161661639647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47.214995896900966</v>
      </c>
      <c r="AA164" s="21">
        <f>EXP(-LN(2)/25)*AA163+(1-EXP(-LN(2)/25))/(LN(2)/25)*Calculateur!V164*Calculateur!X164*VLOOKUP('Données projet'!$B$9,Paramètres!$A$1:$I$89,3,0)*0.475*44/12</f>
        <v>3.6922632789047358</v>
      </c>
      <c r="AB164" s="21">
        <f>EXP(-LN(2)/2)*AB163+(1-EXP(-LN(2)/2))/(LN(2)/2)*V164*Y164*VLOOKUP('Données projet'!$B$9,Paramètres!$A$1:$I$89,3,0)*0.475*44/12</f>
        <v>6.6072182078146818E-12</v>
      </c>
      <c r="AC164" s="22">
        <f t="shared" si="163"/>
        <v>50.907259175812307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-4.5474735088646412E-13</v>
      </c>
      <c r="AJ164" s="13">
        <f>AI164*VLOOKUP('Données projet'!$B$10,Paramètres!$A$1:$I$89,3,0)*VLOOKUP('Données projet'!$B$10,Paramètres!$A$1:$I$89,5,0)</f>
        <v>-2.1282176021486519E-13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387.50901594883317</v>
      </c>
      <c r="AO164" s="59">
        <f t="shared" si="144"/>
        <v>361.3623790401972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75.482180242986217</v>
      </c>
      <c r="AV164" s="21">
        <f>EXP(-LN(2)/25)*AV163+(1-EXP(-LN(2)/25))/(LN(2)/25)*Calculateur!AQ164*Calculateur!AS164*VLOOKUP('Données projet'!$B$10,Paramètres!$A$1:$I$89,3,0)*0.475*44/12</f>
        <v>7.314517752040663</v>
      </c>
      <c r="AW164" s="21">
        <f>EXP(-LN(2)/2)*AW163+(1-EXP(-LN(2)/2))/(LN(2)/2)*AQ164*AT164*VLOOKUP('Données projet'!$B$10,Paramètres!$A$1:$I$89,3,0)*0.475*44/12</f>
        <v>6.4892119209214032E-8</v>
      </c>
      <c r="AX164" s="21">
        <f t="shared" si="166"/>
        <v>82.796698059918995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8.4429999999999943</v>
      </c>
      <c r="BD164" s="12">
        <f>IF('Données projet'!$A$88&gt;35,BD163+BC164-BL163,IF(A164&lt;'Données projet'!$A$88,$BA$205^A164,IF(A164='Données projet'!$A$88,'Données projet'!$B$88,BD163+BC164-BL163)))</f>
        <v>494.44100000000037</v>
      </c>
      <c r="BE164" s="13">
        <f>BD164*VLOOKUP('Données projet'!$B$11,Paramètres!$A$1:$I$89,3,0)*VLOOKUP('Données projet'!$B$11,Paramètres!$A$1:$I$89,5,0)</f>
        <v>447.37021680000026</v>
      </c>
      <c r="BF164" s="13">
        <f t="shared" si="167"/>
        <v>101.3168050491076</v>
      </c>
      <c r="BG164" s="20">
        <f t="shared" si="168"/>
        <v>955.62989638719603</v>
      </c>
      <c r="BH164" s="59">
        <f t="shared" si="116"/>
        <v>1243.4856748548157</v>
      </c>
      <c r="BI164" s="59">
        <f ca="1">AVERAGE(OFFSET($BH$3,0,0,'Données projet'!$E$11+1,1))-AVERAGE(OFFSET($H$3,0,0,'Données projet'!$E$11+1,1))</f>
        <v>627.65081154031589</v>
      </c>
      <c r="BJ164" s="59">
        <f t="shared" si="146"/>
        <v>288.78083487077618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63.136792156159224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63.136792156159224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8.4429999999999943</v>
      </c>
      <c r="BY164" s="12">
        <f>IF('Données projet'!$A$114&gt;35,BY163+BX164-CG163,IF(A164&lt;'Données projet'!$A$114,$BV$205^A164,IF(A164='Données projet'!$A$114,'Données projet'!$B$114,BY163+BX164-CG163)))</f>
        <v>494.44100000000037</v>
      </c>
      <c r="BZ164" s="13">
        <f>BY164*VLOOKUP('Données projet'!$B$12,Paramètres!$A$1:$I$89,3,0)*VLOOKUP('Données projet'!$B$12,Paramètres!$A$1:$I$89,5,0)</f>
        <v>501.36317400000041</v>
      </c>
      <c r="CA164" s="13">
        <f t="shared" si="170"/>
        <v>112.04868215190658</v>
      </c>
      <c r="CB164" s="20">
        <f t="shared" si="171"/>
        <v>1068.3589827979044</v>
      </c>
      <c r="CC164" s="59">
        <f t="shared" si="119"/>
        <v>1356.2147612655242</v>
      </c>
      <c r="CD164" s="59">
        <f ca="1">AVERAGE(OFFSET($CC$3,0,0,'Données projet'!$E$12+1,1))-AVERAGE(OFFSET($H$3,0,0,'Données projet'!$E$12+1,1))</f>
        <v>692.2706942067415</v>
      </c>
      <c r="CE164" s="59">
        <f t="shared" si="148"/>
        <v>316.17529091924803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70.756749830178478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70.756749830178478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1.1368683772161603E-13</v>
      </c>
      <c r="CU164" s="17">
        <f>CT164*VLOOKUP('Données projet'!$B$13,Paramètres!$A$1:$I$89,3,0)*VLOOKUP('Données projet'!$B$13,Paramètres!$A$1:$I$89,5,0)</f>
        <v>1.0818439477588981E-13</v>
      </c>
      <c r="CV164" s="13">
        <f t="shared" si="173"/>
        <v>1.6104228458716316E-12</v>
      </c>
      <c r="CW164" s="20">
        <f t="shared" si="174"/>
        <v>2.9932409441277661E-12</v>
      </c>
      <c r="CX164" s="59">
        <f t="shared" si="122"/>
        <v>287.85577846762271</v>
      </c>
      <c r="CY164" s="59">
        <f ca="1">AVERAGE(OFFSET($CX$3,0,0,'Données projet'!$E$13+1,1))-AVERAGE(OFFSET($H$3,0,0,'Données projet'!$E$13+1,1))</f>
        <v>424.5933338095914</v>
      </c>
      <c r="CZ164" s="59">
        <f t="shared" si="150"/>
        <v>159.28977188196134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86.093280420256633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86.093280420256633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-18.333333333333343</v>
      </c>
      <c r="DU164" s="59">
        <f t="shared" si="152"/>
        <v>-18.333333333333343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-18.333333333333343</v>
      </c>
      <c r="EP164" s="59">
        <f t="shared" si="154"/>
        <v>-18.333333333333343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8.4429999999999943</v>
      </c>
      <c r="FE164" s="12">
        <f>IF('Données projet'!$A$218&gt;35,FE163+FD164-FM163,IF(A164&lt;'Données projet'!$A$218,$FB$205^A164,IF(A164='Données projet'!$A$218,'Données projet'!$B$218,FE163+FD164-FM163)))</f>
        <v>494.44100000000037</v>
      </c>
      <c r="FF164" s="17">
        <f>FE164*VLOOKUP('Données projet'!$B$16,Paramètres!$A$1:$I$89,3,0)*VLOOKUP('Données projet'!$B$16,Paramètres!$A$1:$I$89,5,0)</f>
        <v>478.22333520000041</v>
      </c>
      <c r="FG164" s="13">
        <f t="shared" si="182"/>
        <v>107.46667396464125</v>
      </c>
      <c r="FH164" s="20">
        <f t="shared" si="183"/>
        <v>1020.0767659617509</v>
      </c>
      <c r="FI164" s="59">
        <f t="shared" si="131"/>
        <v>1307.9325444293706</v>
      </c>
      <c r="FJ164" s="59">
        <f ca="1">AVERAGE(OFFSET($FI$3,0,0,'Données projet'!$E$16+1,1))-AVERAGE(OFFSET($H$3,0,0,'Données projet'!$E$16+1,1))</f>
        <v>664.59451650228573</v>
      </c>
      <c r="FK164" s="59">
        <f t="shared" si="156"/>
        <v>304.44325029106631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67.491053684170183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67.491053684170183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-6.8212102632969618E-13</v>
      </c>
      <c r="O165" s="13">
        <f>N165*VLOOKUP('Données projet'!$B$9,Paramètres!$A$1:$I$89,3,0)*VLOOKUP('Données projet'!$B$9,Paramètres!$A$1:$I$89,5,0)</f>
        <v>-4.0790837374515837E-13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460.88622650237176</v>
      </c>
      <c r="T165" s="59">
        <f t="shared" si="142"/>
        <v>396.05161661639647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46.289138625666638</v>
      </c>
      <c r="AA165" s="21">
        <f>EXP(-LN(2)/25)*AA164+(1-EXP(-LN(2)/25))/(LN(2)/25)*Calculateur!V165*Calculateur!X165*VLOOKUP('Données projet'!$B$9,Paramètres!$A$1:$I$89,3,0)*0.475*44/12</f>
        <v>3.5912981453753989</v>
      </c>
      <c r="AB165" s="21">
        <f>EXP(-LN(2)/2)*AB164+(1-EXP(-LN(2)/2))/(LN(2)/2)*V165*Y165*VLOOKUP('Données projet'!$B$9,Paramètres!$A$1:$I$89,3,0)*0.475*44/12</f>
        <v>4.6720087995249888E-12</v>
      </c>
      <c r="AC165" s="22">
        <f t="shared" si="163"/>
        <v>49.88043677104671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projet'!$B$10,Paramètres!$A$1:$I$89,3,0)*VLOOKUP('Données projet'!$B$10,Paramètres!$A$1:$I$89,5,0)</f>
        <v>-2.1282176021486519E-13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387.50901594883317</v>
      </c>
      <c r="AO165" s="59">
        <f t="shared" si="144"/>
        <v>361.3623790401972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74.002020728005178</v>
      </c>
      <c r="AV165" s="21">
        <f>EXP(-LN(2)/25)*AV164+(1-EXP(-LN(2)/25))/(LN(2)/25)*Calculateur!AQ165*Calculateur!AS165*VLOOKUP('Données projet'!$B$10,Paramètres!$A$1:$I$89,3,0)*0.475*44/12</f>
        <v>7.1145018794573405</v>
      </c>
      <c r="AW165" s="21">
        <f>EXP(-LN(2)/2)*AW164+(1-EXP(-LN(2)/2))/(LN(2)/2)*AQ165*AT165*VLOOKUP('Données projet'!$B$10,Paramètres!$A$1:$I$89,3,0)*0.475*44/12</f>
        <v>4.5885657538401066E-8</v>
      </c>
      <c r="AX165" s="21">
        <f t="shared" si="166"/>
        <v>81.11652265334817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8.4429999999999943</v>
      </c>
      <c r="BD165" s="12">
        <f>IF('Données projet'!$A$88&gt;35,BD164+BC165-BL164,IF(A165&lt;'Données projet'!$A$88,$BA$205^A165,IF(A165='Données projet'!$A$88,'Données projet'!$B$88,BD164+BC165-BL164)))</f>
        <v>502.88400000000036</v>
      </c>
      <c r="BE165" s="13">
        <f>BD165*VLOOKUP('Données projet'!$B$11,Paramètres!$A$1:$I$89,3,0)*VLOOKUP('Données projet'!$B$11,Paramètres!$A$1:$I$89,5,0)</f>
        <v>455.00944320000031</v>
      </c>
      <c r="BF165" s="13">
        <f t="shared" si="167"/>
        <v>102.84398567063174</v>
      </c>
      <c r="BG165" s="20">
        <f t="shared" si="168"/>
        <v>971.59472194968396</v>
      </c>
      <c r="BH165" s="59">
        <f t="shared" si="116"/>
        <v>1259.5455237482456</v>
      </c>
      <c r="BI165" s="59">
        <f ca="1">AVERAGE(OFFSET($BH$3,0,0,'Données projet'!$E$11+1,1))-AVERAGE(OFFSET($H$3,0,0,'Données projet'!$E$11+1,1))</f>
        <v>627.65081154031589</v>
      </c>
      <c r="BJ165" s="59">
        <f t="shared" si="146"/>
        <v>288.78083487077618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61.898718171617645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61.898718171617645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8.4429999999999943</v>
      </c>
      <c r="BY165" s="12">
        <f>IF('Données projet'!$A$114&gt;35,BY164+BX165-CG164,IF(A165&lt;'Données projet'!$A$114,$BV$205^A165,IF(A165='Données projet'!$A$114,'Données projet'!$B$114,BY164+BX165-CG164)))</f>
        <v>502.88400000000036</v>
      </c>
      <c r="BZ165" s="13">
        <f>BY165*VLOOKUP('Données projet'!$B$12,Paramètres!$A$1:$I$89,3,0)*VLOOKUP('Données projet'!$B$12,Paramètres!$A$1:$I$89,5,0)</f>
        <v>509.92437600000034</v>
      </c>
      <c r="CA165" s="13">
        <f t="shared" si="170"/>
        <v>113.73762779095213</v>
      </c>
      <c r="CB165" s="20">
        <f t="shared" si="171"/>
        <v>1086.211323269242</v>
      </c>
      <c r="CC165" s="59">
        <f t="shared" si="119"/>
        <v>1374.1621250678038</v>
      </c>
      <c r="CD165" s="59">
        <f ca="1">AVERAGE(OFFSET($CC$3,0,0,'Données projet'!$E$12+1,1))-AVERAGE(OFFSET($H$3,0,0,'Données projet'!$E$12+1,1))</f>
        <v>692.2706942067415</v>
      </c>
      <c r="CE165" s="59">
        <f t="shared" si="148"/>
        <v>316.17529091924803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69.369253123364643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69.369253123364643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1.1368683772161603E-13</v>
      </c>
      <c r="CU165" s="17">
        <f>CT165*VLOOKUP('Données projet'!$B$13,Paramètres!$A$1:$I$89,3,0)*VLOOKUP('Données projet'!$B$13,Paramètres!$A$1:$I$89,5,0)</f>
        <v>1.0818439477588981E-13</v>
      </c>
      <c r="CV165" s="13">
        <f t="shared" si="173"/>
        <v>1.6104228458716316E-12</v>
      </c>
      <c r="CW165" s="20">
        <f t="shared" si="174"/>
        <v>2.9932409441277661E-12</v>
      </c>
      <c r="CX165" s="59">
        <f t="shared" si="122"/>
        <v>287.95080179856473</v>
      </c>
      <c r="CY165" s="59">
        <f ca="1">AVERAGE(OFFSET($CX$3,0,0,'Données projet'!$E$13+1,1))-AVERAGE(OFFSET($H$3,0,0,'Données projet'!$E$13+1,1))</f>
        <v>424.5933338095914</v>
      </c>
      <c r="CZ165" s="59">
        <f t="shared" si="150"/>
        <v>159.28977188196134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84.405043702931351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84.405043702931351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-18.333333333333343</v>
      </c>
      <c r="DU165" s="59">
        <f t="shared" si="152"/>
        <v>-18.333333333333343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-18.333333333333343</v>
      </c>
      <c r="EP165" s="59">
        <f t="shared" si="154"/>
        <v>-18.333333333333343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8.4429999999999943</v>
      </c>
      <c r="FE165" s="12">
        <f>IF('Données projet'!$A$218&gt;35,FE164+FD165-FM164,IF(A165&lt;'Données projet'!$A$218,$FB$205^A165,IF(A165='Données projet'!$A$218,'Données projet'!$B$218,FE164+FD165-FM164)))</f>
        <v>502.88400000000036</v>
      </c>
      <c r="FF165" s="17">
        <f>FE165*VLOOKUP('Données projet'!$B$16,Paramètres!$A$1:$I$89,3,0)*VLOOKUP('Données projet'!$B$16,Paramètres!$A$1:$I$89,5,0)</f>
        <v>486.38940480000036</v>
      </c>
      <c r="FG165" s="13">
        <f t="shared" si="182"/>
        <v>109.08655352814421</v>
      </c>
      <c r="FH165" s="20">
        <f t="shared" si="183"/>
        <v>1037.1206274215183</v>
      </c>
      <c r="FI165" s="59">
        <f t="shared" si="131"/>
        <v>1325.0714292200801</v>
      </c>
      <c r="FJ165" s="59">
        <f ca="1">AVERAGE(OFFSET($FI$3,0,0,'Données projet'!$E$16+1,1))-AVERAGE(OFFSET($H$3,0,0,'Données projet'!$E$16+1,1))</f>
        <v>664.59451650228573</v>
      </c>
      <c r="FK165" s="59">
        <f t="shared" si="156"/>
        <v>304.44325029106631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66.167595286901602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66.167595286901602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-6.8212102632969618E-13</v>
      </c>
      <c r="O166" s="13">
        <f>N166*VLOOKUP('Données projet'!$B$9,Paramètres!$A$1:$I$89,3,0)*VLOOKUP('Données projet'!$B$9,Paramètres!$A$1:$I$89,5,0)</f>
        <v>-4.0790837374515837E-13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460.88622650237176</v>
      </c>
      <c r="T166" s="59">
        <f t="shared" si="142"/>
        <v>396.05161661639647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45.381436850804043</v>
      </c>
      <c r="AA166" s="21">
        <f>EXP(-LN(2)/25)*AA165+(1-EXP(-LN(2)/25))/(LN(2)/25)*Calculateur!V166*Calculateur!X166*VLOOKUP('Données projet'!$B$9,Paramètres!$A$1:$I$89,3,0)*0.475*44/12</f>
        <v>3.493093908731947</v>
      </c>
      <c r="AB166" s="21">
        <f>EXP(-LN(2)/2)*AB165+(1-EXP(-LN(2)/2))/(LN(2)/2)*V166*Y166*VLOOKUP('Données projet'!$B$9,Paramètres!$A$1:$I$89,3,0)*0.475*44/12</f>
        <v>3.3036091039073409E-12</v>
      </c>
      <c r="AC166" s="22">
        <f t="shared" si="163"/>
        <v>48.874530759539297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projet'!$B$10,Paramètres!$A$1:$I$89,3,0)*VLOOKUP('Données projet'!$B$10,Paramètres!$A$1:$I$89,5,0)</f>
        <v>-2.1282176021486519E-13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387.50901594883317</v>
      </c>
      <c r="AO166" s="59">
        <f t="shared" si="144"/>
        <v>361.3623790401972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72.550886238304756</v>
      </c>
      <c r="AV166" s="21">
        <f>EXP(-LN(2)/25)*AV165+(1-EXP(-LN(2)/25))/(LN(2)/25)*Calculateur!AQ166*Calculateur!AS166*VLOOKUP('Données projet'!$B$10,Paramètres!$A$1:$I$89,3,0)*0.475*44/12</f>
        <v>6.9199554514281862</v>
      </c>
      <c r="AW166" s="21">
        <f>EXP(-LN(2)/2)*AW165+(1-EXP(-LN(2)/2))/(LN(2)/2)*AQ166*AT166*VLOOKUP('Données projet'!$B$10,Paramètres!$A$1:$I$89,3,0)*0.475*44/12</f>
        <v>3.2446059604607016E-8</v>
      </c>
      <c r="AX166" s="21">
        <f t="shared" si="166"/>
        <v>79.470841722178989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8.4429999999999943</v>
      </c>
      <c r="BD166" s="12">
        <f>IF('Données projet'!$A$88&gt;35,BD165+BC166-BL165,IF(A166&lt;'Données projet'!$A$88,$BA$205^A166,IF(A166='Données projet'!$A$88,'Données projet'!$B$88,BD165+BC166-BL165)))</f>
        <v>511.32700000000034</v>
      </c>
      <c r="BE166" s="13">
        <f>BD166*VLOOKUP('Données projet'!$B$11,Paramètres!$A$1:$I$89,3,0)*VLOOKUP('Données projet'!$B$11,Paramètres!$A$1:$I$89,5,0)</f>
        <v>462.64866960000029</v>
      </c>
      <c r="BF166" s="13">
        <f t="shared" si="167"/>
        <v>104.36818455309495</v>
      </c>
      <c r="BG166" s="20">
        <f t="shared" si="168"/>
        <v>987.5543543166408</v>
      </c>
      <c r="BH166" s="59">
        <f t="shared" si="116"/>
        <v>1275.5985310037931</v>
      </c>
      <c r="BI166" s="59">
        <f ca="1">AVERAGE(OFFSET($BH$3,0,0,'Données projet'!$E$11+1,1))-AVERAGE(OFFSET($H$3,0,0,'Données projet'!$E$11+1,1))</f>
        <v>627.65081154031589</v>
      </c>
      <c r="BJ166" s="59">
        <f t="shared" si="146"/>
        <v>288.78083487077618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60.684922062762361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60.684922062762361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8.4429999999999943</v>
      </c>
      <c r="BY166" s="12">
        <f>IF('Données projet'!$A$114&gt;35,BY165+BX166-CG165,IF(A166&lt;'Données projet'!$A$114,$BV$205^A166,IF(A166='Données projet'!$A$114,'Données projet'!$B$114,BY165+BX166-CG165)))</f>
        <v>511.32700000000034</v>
      </c>
      <c r="BZ166" s="13">
        <f>BY166*VLOOKUP('Données projet'!$B$12,Paramètres!$A$1:$I$89,3,0)*VLOOKUP('Données projet'!$B$12,Paramètres!$A$1:$I$89,5,0)</f>
        <v>518.48557800000037</v>
      </c>
      <c r="CA166" s="13">
        <f t="shared" si="170"/>
        <v>115.42327585333055</v>
      </c>
      <c r="CB166" s="20">
        <f t="shared" si="171"/>
        <v>1104.0579204612179</v>
      </c>
      <c r="CC166" s="59">
        <f t="shared" si="119"/>
        <v>1392.1020971483701</v>
      </c>
      <c r="CD166" s="59">
        <f ca="1">AVERAGE(OFFSET($CC$3,0,0,'Données projet'!$E$12+1,1))-AVERAGE(OFFSET($H$3,0,0,'Données projet'!$E$12+1,1))</f>
        <v>692.2706942067415</v>
      </c>
      <c r="CE166" s="59">
        <f t="shared" si="148"/>
        <v>316.17529091924803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68.008964380682002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68.008964380682002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1.1368683772161603E-13</v>
      </c>
      <c r="CU166" s="17">
        <f>CT166*VLOOKUP('Données projet'!$B$13,Paramètres!$A$1:$I$89,3,0)*VLOOKUP('Données projet'!$B$13,Paramètres!$A$1:$I$89,5,0)</f>
        <v>1.0818439477588981E-13</v>
      </c>
      <c r="CV166" s="13">
        <f t="shared" si="173"/>
        <v>1.6104228458716316E-12</v>
      </c>
      <c r="CW166" s="20">
        <f t="shared" si="174"/>
        <v>2.9932409441277661E-12</v>
      </c>
      <c r="CX166" s="59">
        <f t="shared" si="122"/>
        <v>288.04417668715524</v>
      </c>
      <c r="CY166" s="59">
        <f ca="1">AVERAGE(OFFSET($CX$3,0,0,'Données projet'!$E$13+1,1))-AVERAGE(OFFSET($H$3,0,0,'Données projet'!$E$13+1,1))</f>
        <v>424.5933338095914</v>
      </c>
      <c r="CZ166" s="59">
        <f t="shared" si="150"/>
        <v>159.28977188196134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82.749912277910099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82.749912277910099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-18.333333333333343</v>
      </c>
      <c r="DU166" s="59">
        <f t="shared" si="152"/>
        <v>-18.333333333333343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-18.333333333333343</v>
      </c>
      <c r="EP166" s="59">
        <f t="shared" si="154"/>
        <v>-18.333333333333343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8.4429999999999943</v>
      </c>
      <c r="FE166" s="12">
        <f>IF('Données projet'!$A$218&gt;35,FE165+FD166-FM165,IF(A166&lt;'Données projet'!$A$218,$FB$205^A166,IF(A166='Données projet'!$A$218,'Données projet'!$B$218,FE165+FD166-FM165)))</f>
        <v>511.32700000000034</v>
      </c>
      <c r="FF166" s="17">
        <f>FE166*VLOOKUP('Données projet'!$B$16,Paramètres!$A$1:$I$89,3,0)*VLOOKUP('Données projet'!$B$16,Paramètres!$A$1:$I$89,5,0)</f>
        <v>494.55547440000038</v>
      </c>
      <c r="FG166" s="13">
        <f t="shared" si="182"/>
        <v>110.7032703628248</v>
      </c>
      <c r="FH166" s="20">
        <f t="shared" si="183"/>
        <v>1054.1589804619205</v>
      </c>
      <c r="FI166" s="59">
        <f t="shared" si="131"/>
        <v>1342.2031571490727</v>
      </c>
      <c r="FJ166" s="59">
        <f ca="1">AVERAGE(OFFSET($FI$3,0,0,'Données projet'!$E$16+1,1))-AVERAGE(OFFSET($H$3,0,0,'Données projet'!$E$16+1,1))</f>
        <v>664.59451650228573</v>
      </c>
      <c r="FK166" s="59">
        <f t="shared" si="156"/>
        <v>304.44325029106631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64.870089101573541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64.870089101573541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-6.8212102632969618E-13</v>
      </c>
      <c r="O167" s="13">
        <f>N167*VLOOKUP('Données projet'!$B$9,Paramètres!$A$1:$I$89,3,0)*VLOOKUP('Données projet'!$B$9,Paramètres!$A$1:$I$89,5,0)</f>
        <v>-4.0790837374515837E-13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460.88622650237176</v>
      </c>
      <c r="T167" s="59">
        <f t="shared" si="142"/>
        <v>396.05161661639647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44.49153455410309</v>
      </c>
      <c r="AA167" s="21">
        <f>EXP(-LN(2)/25)*AA166+(1-EXP(-LN(2)/25))/(LN(2)/25)*Calculateur!V167*Calculateur!X167*VLOOKUP('Données projet'!$B$9,Paramètres!$A$1:$I$89,3,0)*0.475*44/12</f>
        <v>3.3975750721038467</v>
      </c>
      <c r="AB167" s="21">
        <f>EXP(-LN(2)/2)*AB166+(1-EXP(-LN(2)/2))/(LN(2)/2)*V167*Y167*VLOOKUP('Données projet'!$B$9,Paramètres!$A$1:$I$89,3,0)*0.475*44/12</f>
        <v>2.3360043997624944E-12</v>
      </c>
      <c r="AC167" s="22">
        <f t="shared" si="163"/>
        <v>47.889109626209276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projet'!$B$10,Paramètres!$A$1:$I$89,3,0)*VLOOKUP('Données projet'!$B$10,Paramètres!$A$1:$I$89,5,0)</f>
        <v>-2.1282176021486519E-13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387.50901594883317</v>
      </c>
      <c r="AO167" s="59">
        <f t="shared" si="144"/>
        <v>361.3623790401972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71.128207610842722</v>
      </c>
      <c r="AV167" s="21">
        <f>EXP(-LN(2)/25)*AV166+(1-EXP(-LN(2)/25))/(LN(2)/25)*Calculateur!AQ167*Calculateur!AS167*VLOOKUP('Données projet'!$B$10,Paramètres!$A$1:$I$89,3,0)*0.475*44/12</f>
        <v>6.7307289057042414</v>
      </c>
      <c r="AW167" s="21">
        <f>EXP(-LN(2)/2)*AW166+(1-EXP(-LN(2)/2))/(LN(2)/2)*AQ167*AT167*VLOOKUP('Données projet'!$B$10,Paramètres!$A$1:$I$89,3,0)*0.475*44/12</f>
        <v>2.2942828769200533E-8</v>
      </c>
      <c r="AX167" s="21">
        <f t="shared" si="166"/>
        <v>77.85893653948979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519.77</v>
      </c>
      <c r="BB167" s="12">
        <f>VLOOKUP(A167,'Données projet'!$A$87:$I$107,9,0)</f>
        <v>8.4429999999999943</v>
      </c>
      <c r="BC167" s="12">
        <f t="array" ref="BC167">INDEX(BB:BB,MIN(IF(ISNUMBER(BB167:BB363),ROW(BB167:BB363),"")))</f>
        <v>8.4429999999999943</v>
      </c>
      <c r="BD167" s="12">
        <f>IF('Données projet'!$A$88&gt;35,BD166+BC167-BL166,IF(A167&lt;'Données projet'!$A$88,$BA$205^A167,IF(A167='Données projet'!$A$88,'Données projet'!$B$88,BD166+BC167-BL166)))</f>
        <v>519.77000000000032</v>
      </c>
      <c r="BE167" s="13">
        <f>BD167*VLOOKUP('Données projet'!$B$11,Paramètres!$A$1:$I$89,3,0)*VLOOKUP('Données projet'!$B$11,Paramètres!$A$1:$I$89,5,0)</f>
        <v>470.28789600000022</v>
      </c>
      <c r="BF167" s="13">
        <f t="shared" si="167"/>
        <v>105.88945661390174</v>
      </c>
      <c r="BG167" s="20">
        <f t="shared" si="168"/>
        <v>1003.5088891358791</v>
      </c>
      <c r="BH167" s="59">
        <f t="shared" si="116"/>
        <v>1291.6448208660599</v>
      </c>
      <c r="BI167" s="59">
        <f ca="1">AVERAGE(OFFSET($BH$3,0,0,'Données projet'!$E$11+1,1))-AVERAGE(OFFSET($H$3,0,0,'Données projet'!$E$11+1,1))</f>
        <v>627.65081154031589</v>
      </c>
      <c r="BJ167" s="59">
        <f t="shared" si="146"/>
        <v>288.78083487077618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0.34400000000000003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79.995153514382864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79.995153514382864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519.77</v>
      </c>
      <c r="BW167" s="12">
        <f>VLOOKUP(A167,'Données projet'!$A$113:$I$133,9,0)</f>
        <v>8.4429999999999943</v>
      </c>
      <c r="BX167" s="12">
        <f t="array" ref="BX167">INDEX(BW:BW,MIN(IF(ISNUMBER(BW167:BW363),ROW(BW167:BW363),"")))</f>
        <v>8.4429999999999943</v>
      </c>
      <c r="BY167" s="12">
        <f>IF('Données projet'!$A$114&gt;35,BY166+BX167-CG166,IF(A167&lt;'Données projet'!$A$114,$BV$205^A167,IF(A167='Données projet'!$A$114,'Données projet'!$B$114,BY166+BX167-CG166)))</f>
        <v>519.77000000000032</v>
      </c>
      <c r="BZ167" s="13">
        <f>BY167*VLOOKUP('Données projet'!$B$12,Paramètres!$A$1:$I$89,3,0)*VLOOKUP('Données projet'!$B$12,Paramètres!$A$1:$I$89,5,0)</f>
        <v>527.04678000000035</v>
      </c>
      <c r="CA167" s="13">
        <f t="shared" si="170"/>
        <v>117.10568707351568</v>
      </c>
      <c r="CB167" s="20">
        <f t="shared" si="171"/>
        <v>1121.8988801530404</v>
      </c>
      <c r="CC167" s="59">
        <f t="shared" si="119"/>
        <v>1410.0348118832212</v>
      </c>
      <c r="CD167" s="59">
        <f ca="1">AVERAGE(OFFSET($CC$3,0,0,'Données projet'!$E$12+1,1))-AVERAGE(OFFSET($H$3,0,0,'Données projet'!$E$12+1,1))</f>
        <v>692.2706942067415</v>
      </c>
      <c r="CE167" s="59">
        <f t="shared" si="148"/>
        <v>316.17529091924803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0.34400000000000003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89.649741007498079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89.649741007498079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1.1368683772161603E-13</v>
      </c>
      <c r="CU167" s="17">
        <f>CT167*VLOOKUP('Données projet'!$B$13,Paramètres!$A$1:$I$89,3,0)*VLOOKUP('Données projet'!$B$13,Paramètres!$A$1:$I$89,5,0)</f>
        <v>1.0818439477588981E-13</v>
      </c>
      <c r="CV167" s="13">
        <f t="shared" si="173"/>
        <v>1.6104228458716316E-12</v>
      </c>
      <c r="CW167" s="20">
        <f t="shared" si="174"/>
        <v>2.9932409441277661E-12</v>
      </c>
      <c r="CX167" s="59">
        <f t="shared" si="122"/>
        <v>288.1359317301837</v>
      </c>
      <c r="CY167" s="59">
        <f ca="1">AVERAGE(OFFSET($CX$3,0,0,'Données projet'!$E$13+1,1))-AVERAGE(OFFSET($H$3,0,0,'Données projet'!$E$13+1,1))</f>
        <v>424.5933338095914</v>
      </c>
      <c r="CZ167" s="59">
        <f t="shared" si="150"/>
        <v>159.28977188196134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81.127236970603036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81.127236970603036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-18.333333333333343</v>
      </c>
      <c r="DU167" s="59">
        <f t="shared" si="152"/>
        <v>-18.333333333333343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-18.333333333333343</v>
      </c>
      <c r="EP167" s="59">
        <f t="shared" si="154"/>
        <v>-18.333333333333343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>
        <f>VLOOKUP(A167,'Données projet'!$A$217:$I$237,2,0)</f>
        <v>519.77</v>
      </c>
      <c r="FC167" s="12">
        <f>VLOOKUP(A167,'Données projet'!$A$217:$I$237,9,0)</f>
        <v>8.4429999999999943</v>
      </c>
      <c r="FD167" s="12">
        <f t="array" ref="FD167">INDEX(FC:FC,MIN(IF(ISNUMBER(FC167:FC363),ROW(FC167:FC363),"")))</f>
        <v>8.4429999999999943</v>
      </c>
      <c r="FE167" s="12">
        <f>IF('Données projet'!$A$218&gt;35,FE166+FD167-FM166,IF(A167&lt;'Données projet'!$A$218,$FB$205^A167,IF(A167='Données projet'!$A$218,'Données projet'!$B$218,FE166+FD167-FM166)))</f>
        <v>519.77000000000032</v>
      </c>
      <c r="FF167" s="17">
        <f>FE167*VLOOKUP('Données projet'!$B$16,Paramètres!$A$1:$I$89,3,0)*VLOOKUP('Données projet'!$B$16,Paramètres!$A$1:$I$89,5,0)</f>
        <v>502.72154400000034</v>
      </c>
      <c r="FG167" s="13">
        <f t="shared" si="182"/>
        <v>112.31688271954096</v>
      </c>
      <c r="FH167" s="20">
        <f t="shared" si="183"/>
        <v>1071.1919265365345</v>
      </c>
      <c r="FI167" s="59">
        <f t="shared" si="131"/>
        <v>1359.3278582667153</v>
      </c>
      <c r="FJ167" s="59">
        <f ca="1">AVERAGE(OFFSET($FI$3,0,0,'Données projet'!$E$16+1,1))-AVERAGE(OFFSET($H$3,0,0,'Données projet'!$E$16+1,1))</f>
        <v>664.59451650228573</v>
      </c>
      <c r="FK167" s="59">
        <f t="shared" si="156"/>
        <v>304.44325029106631</v>
      </c>
      <c r="FL167" s="15">
        <f>IF(ISNA(VLOOKUP(A167,'Données projet'!$A$217:$I$237,3,0)),0,VLOOKUP(A167,'Données projet'!$A$217:$I$237,3,0))</f>
        <v>14</v>
      </c>
      <c r="FM167" s="15">
        <f>IF(ISNA(VLOOKUP(A167,'Données projet'!$A$217:$I$237,4,0)),0,VLOOKUP(A167,'Données projet'!$A$217:$I$237,4,0))</f>
        <v>59.58</v>
      </c>
      <c r="FN167" s="16">
        <f>IF(ISNA(VLOOKUP(A167,'Données projet'!$A$217:$I$237,5,0)),0%,VLOOKUP(A167,'Données projet'!$A$217:$I$237,5,0)*VLOOKUP('Données projet'!$B$16,Paramètres!$A$1:$I$89,7,0))</f>
        <v>0.34400000000000003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85.512060653305809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85.512060653305809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-6.8212102632969618E-13</v>
      </c>
      <c r="O168" s="13">
        <f>N168*VLOOKUP('Données projet'!$B$9,Paramètres!$A$1:$I$89,3,0)*VLOOKUP('Données projet'!$B$9,Paramètres!$A$1:$I$89,5,0)</f>
        <v>-4.0790837374515837E-13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460.88622650237176</v>
      </c>
      <c r="T168" s="59">
        <f t="shared" si="142"/>
        <v>396.05161661639647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43.619082698653635</v>
      </c>
      <c r="AA168" s="21">
        <f>EXP(-LN(2)/25)*AA167+(1-EXP(-LN(2)/25))/(LN(2)/25)*Calculateur!V168*Calculateur!X168*VLOOKUP('Données projet'!$B$9,Paramètres!$A$1:$I$89,3,0)*0.475*44/12</f>
        <v>3.3046682030864591</v>
      </c>
      <c r="AB168" s="21">
        <f>EXP(-LN(2)/2)*AB167+(1-EXP(-LN(2)/2))/(LN(2)/2)*V168*Y168*VLOOKUP('Données projet'!$B$9,Paramètres!$A$1:$I$89,3,0)*0.475*44/12</f>
        <v>1.6518045519536704E-12</v>
      </c>
      <c r="AC168" s="22">
        <f t="shared" si="163"/>
        <v>46.923750901741741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projet'!$B$10,Paramètres!$A$1:$I$89,3,0)*VLOOKUP('Données projet'!$B$10,Paramètres!$A$1:$I$89,5,0)</f>
        <v>-2.1282176021486519E-13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387.50901594883317</v>
      </c>
      <c r="AO168" s="59">
        <f t="shared" si="144"/>
        <v>361.3623790401972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69.733426843516938</v>
      </c>
      <c r="AV168" s="21">
        <f>EXP(-LN(2)/25)*AV167+(1-EXP(-LN(2)/25))/(LN(2)/25)*Calculateur!AQ168*Calculateur!AS168*VLOOKUP('Données projet'!$B$10,Paramètres!$A$1:$I$89,3,0)*0.475*44/12</f>
        <v>6.5466767698241091</v>
      </c>
      <c r="AW168" s="21">
        <f>EXP(-LN(2)/2)*AW167+(1-EXP(-LN(2)/2))/(LN(2)/2)*AQ168*AT168*VLOOKUP('Données projet'!$B$10,Paramètres!$A$1:$I$89,3,0)*0.475*44/12</f>
        <v>1.6223029802303508E-8</v>
      </c>
      <c r="AX168" s="21">
        <f t="shared" si="166"/>
        <v>76.280103629564067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8.5459999999999976</v>
      </c>
      <c r="BD168" s="12">
        <f>IF('Données projet'!$A$88&gt;35,BD167+BC168-BL167,IF(A168&lt;'Données projet'!$A$88,$BA$205^A168,IF(A168='Données projet'!$A$88,'Données projet'!$B$88,BD167+BC168-BL167)))</f>
        <v>468.73600000000039</v>
      </c>
      <c r="BE168" s="13">
        <f>BD168*VLOOKUP('Données projet'!$B$11,Paramètres!$A$1:$I$89,3,0)*VLOOKUP('Données projet'!$B$11,Paramètres!$A$1:$I$89,5,0)</f>
        <v>424.11233280000033</v>
      </c>
      <c r="BF168" s="13">
        <f t="shared" si="167"/>
        <v>96.648293340367189</v>
      </c>
      <c r="BG168" s="20">
        <f t="shared" si="168"/>
        <v>906.99142386114011</v>
      </c>
      <c r="BH168" s="59">
        <f t="shared" si="116"/>
        <v>1195.2175188894862</v>
      </c>
      <c r="BI168" s="59">
        <f ca="1">AVERAGE(OFFSET($BH$3,0,0,'Données projet'!$E$11+1,1))-AVERAGE(OFFSET($H$3,0,0,'Données projet'!$E$11+1,1))</f>
        <v>627.65081154031589</v>
      </c>
      <c r="BJ168" s="59">
        <f t="shared" si="146"/>
        <v>288.78083487077618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78.426497346191624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78.426497346191624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8.5459999999999976</v>
      </c>
      <c r="BY168" s="12">
        <f>IF('Données projet'!$A$114&gt;35,BY167+BX168-CG167,IF(A168&lt;'Données projet'!$A$114,$BV$205^A168,IF(A168='Données projet'!$A$114,'Données projet'!$B$114,BY167+BX168-CG167)))</f>
        <v>468.73600000000039</v>
      </c>
      <c r="BZ168" s="13">
        <f>BY168*VLOOKUP('Données projet'!$B$12,Paramètres!$A$1:$I$89,3,0)*VLOOKUP('Données projet'!$B$12,Paramètres!$A$1:$I$89,5,0)</f>
        <v>475.29830400000037</v>
      </c>
      <c r="CA168" s="13">
        <f t="shared" si="170"/>
        <v>106.88566320039537</v>
      </c>
      <c r="CB168" s="20">
        <f t="shared" si="171"/>
        <v>1013.9704095406892</v>
      </c>
      <c r="CC168" s="59">
        <f t="shared" si="119"/>
        <v>1302.1965045690354</v>
      </c>
      <c r="CD168" s="59">
        <f ca="1">AVERAGE(OFFSET($CC$3,0,0,'Données projet'!$E$12+1,1))-AVERAGE(OFFSET($H$3,0,0,'Données projet'!$E$12+1,1))</f>
        <v>692.2706942067415</v>
      </c>
      <c r="CE168" s="59">
        <f t="shared" si="148"/>
        <v>316.17529091924803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87.891764267283762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87.891764267283762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1.1368683772161603E-13</v>
      </c>
      <c r="CU168" s="17">
        <f>CT168*VLOOKUP('Données projet'!$B$13,Paramètres!$A$1:$I$89,3,0)*VLOOKUP('Données projet'!$B$13,Paramètres!$A$1:$I$89,5,0)</f>
        <v>1.0818439477588981E-13</v>
      </c>
      <c r="CV168" s="13">
        <f t="shared" si="173"/>
        <v>1.6104228458716316E-12</v>
      </c>
      <c r="CW168" s="20">
        <f t="shared" si="174"/>
        <v>2.9932409441277661E-12</v>
      </c>
      <c r="CX168" s="59">
        <f t="shared" si="122"/>
        <v>288.22609502834916</v>
      </c>
      <c r="CY168" s="59">
        <f ca="1">AVERAGE(OFFSET($CX$3,0,0,'Données projet'!$E$13+1,1))-AVERAGE(OFFSET($H$3,0,0,'Données projet'!$E$13+1,1))</f>
        <v>424.5933338095914</v>
      </c>
      <c r="CZ168" s="59">
        <f t="shared" si="150"/>
        <v>159.28977188196134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79.536381336338053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79.536381336338053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-18.333333333333343</v>
      </c>
      <c r="DU168" s="59">
        <f t="shared" si="152"/>
        <v>-18.333333333333343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-18.333333333333343</v>
      </c>
      <c r="EP168" s="59">
        <f t="shared" si="154"/>
        <v>-18.333333333333343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8.5459999999999976</v>
      </c>
      <c r="FE168" s="12">
        <f>IF('Données projet'!$A$218&gt;35,FE167+FD168-FM167,IF(A168&lt;'Données projet'!$A$218,$FB$205^A168,IF(A168='Données projet'!$A$218,'Données projet'!$B$218,FE167+FD168-FM167)))</f>
        <v>468.73600000000039</v>
      </c>
      <c r="FF168" s="17">
        <f>FE168*VLOOKUP('Données projet'!$B$16,Paramètres!$A$1:$I$89,3,0)*VLOOKUP('Données projet'!$B$16,Paramètres!$A$1:$I$89,5,0)</f>
        <v>453.36145920000041</v>
      </c>
      <c r="FG168" s="13">
        <f t="shared" si="182"/>
        <v>102.51478641291534</v>
      </c>
      <c r="FH168" s="20">
        <f t="shared" si="183"/>
        <v>968.15112777582817</v>
      </c>
      <c r="FI168" s="59">
        <f t="shared" si="131"/>
        <v>1256.3772228041744</v>
      </c>
      <c r="FJ168" s="59">
        <f ca="1">AVERAGE(OFFSET($FI$3,0,0,'Données projet'!$E$16+1,1))-AVERAGE(OFFSET($H$3,0,0,'Données projet'!$E$16+1,1))</f>
        <v>664.59451650228573</v>
      </c>
      <c r="FK168" s="59">
        <f t="shared" si="156"/>
        <v>304.44325029106631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83.835221301101384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83.835221301101384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-6.8212102632969618E-13</v>
      </c>
      <c r="O169" s="13">
        <f>N169*VLOOKUP('Données projet'!$B$9,Paramètres!$A$1:$I$89,3,0)*VLOOKUP('Données projet'!$B$9,Paramètres!$A$1:$I$89,5,0)</f>
        <v>-4.0790837374515837E-13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460.88622650237176</v>
      </c>
      <c r="T169" s="59">
        <f t="shared" si="142"/>
        <v>396.05161661639647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42.763739091946455</v>
      </c>
      <c r="AA169" s="21">
        <f>EXP(-LN(2)/25)*AA168+(1-EXP(-LN(2)/25))/(LN(2)/25)*Calculateur!V169*Calculateur!X169*VLOOKUP('Données projet'!$B$9,Paramètres!$A$1:$I$89,3,0)*0.475*44/12</f>
        <v>3.2143018772881122</v>
      </c>
      <c r="AB169" s="21">
        <f>EXP(-LN(2)/2)*AB168+(1-EXP(-LN(2)/2))/(LN(2)/2)*V169*Y169*VLOOKUP('Données projet'!$B$9,Paramètres!$A$1:$I$89,3,0)*0.475*44/12</f>
        <v>1.1680021998812472E-12</v>
      </c>
      <c r="AC169" s="22">
        <f t="shared" si="163"/>
        <v>45.978040969235735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projet'!$B$10,Paramètres!$A$1:$I$89,3,0)*VLOOKUP('Données projet'!$B$10,Paramètres!$A$1:$I$89,5,0)</f>
        <v>-2.1282176021486519E-13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387.50901594883317</v>
      </c>
      <c r="AO169" s="59">
        <f t="shared" si="144"/>
        <v>361.3623790401972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68.365996876306141</v>
      </c>
      <c r="AV169" s="21">
        <f>EXP(-LN(2)/25)*AV168+(1-EXP(-LN(2)/25))/(LN(2)/25)*Calculateur!AQ169*Calculateur!AS169*VLOOKUP('Données projet'!$B$10,Paramètres!$A$1:$I$89,3,0)*0.475*44/12</f>
        <v>6.3676575492785004</v>
      </c>
      <c r="AW169" s="21">
        <f>EXP(-LN(2)/2)*AW168+(1-EXP(-LN(2)/2))/(LN(2)/2)*AQ169*AT169*VLOOKUP('Données projet'!$B$10,Paramètres!$A$1:$I$89,3,0)*0.475*44/12</f>
        <v>1.1471414384600266E-8</v>
      </c>
      <c r="AX169" s="21">
        <f t="shared" si="166"/>
        <v>74.73365443705606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8.5459999999999976</v>
      </c>
      <c r="BD169" s="12">
        <f>IF('Données projet'!$A$88&gt;35,BD168+BC169-BL168,IF(A169&lt;'Données projet'!$A$88,$BA$205^A169,IF(A169='Données projet'!$A$88,'Données projet'!$B$88,BD168+BC169-BL168)))</f>
        <v>477.28200000000038</v>
      </c>
      <c r="BE169" s="13">
        <f>BD169*VLOOKUP('Données projet'!$B$11,Paramètres!$A$1:$I$89,3,0)*VLOOKUP('Données projet'!$B$11,Paramètres!$A$1:$I$89,5,0)</f>
        <v>431.84475360000033</v>
      </c>
      <c r="BF169" s="13">
        <f t="shared" si="167"/>
        <v>98.203637489221336</v>
      </c>
      <c r="BG169" s="20">
        <f t="shared" si="168"/>
        <v>923.16761448039449</v>
      </c>
      <c r="BH169" s="59">
        <f t="shared" si="116"/>
        <v>1211.4823086752579</v>
      </c>
      <c r="BI169" s="59">
        <f ca="1">AVERAGE(OFFSET($BH$3,0,0,'Données projet'!$E$11+1,1))-AVERAGE(OFFSET($H$3,0,0,'Données projet'!$E$11+1,1))</f>
        <v>627.65081154031589</v>
      </c>
      <c r="BJ169" s="59">
        <f t="shared" si="146"/>
        <v>288.78083487077618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76.888601568672826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76.888601568672826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8.5459999999999976</v>
      </c>
      <c r="BY169" s="12">
        <f>IF('Données projet'!$A$114&gt;35,BY168+BX169-CG168,IF(A169&lt;'Données projet'!$A$114,$BV$205^A169,IF(A169='Données projet'!$A$114,'Données projet'!$B$114,BY168+BX169-CG168)))</f>
        <v>477.28200000000038</v>
      </c>
      <c r="BZ169" s="13">
        <f>BY169*VLOOKUP('Données projet'!$B$12,Paramètres!$A$1:$I$89,3,0)*VLOOKUP('Données projet'!$B$12,Paramètres!$A$1:$I$89,5,0)</f>
        <v>483.96394800000041</v>
      </c>
      <c r="CA169" s="13">
        <f t="shared" si="170"/>
        <v>108.6057555590847</v>
      </c>
      <c r="CB169" s="20">
        <f t="shared" si="171"/>
        <v>1032.0589003654065</v>
      </c>
      <c r="CC169" s="59">
        <f t="shared" si="119"/>
        <v>1320.37359456027</v>
      </c>
      <c r="CD169" s="59">
        <f ca="1">AVERAGE(OFFSET($CC$3,0,0,'Données projet'!$E$12+1,1))-AVERAGE(OFFSET($H$3,0,0,'Données projet'!$E$12+1,1))</f>
        <v>692.2706942067415</v>
      </c>
      <c r="CE169" s="59">
        <f t="shared" si="148"/>
        <v>316.17529091924803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86.168260378685119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86.168260378685119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1.1368683772161603E-13</v>
      </c>
      <c r="CU169" s="17">
        <f>CT169*VLOOKUP('Données projet'!$B$13,Paramètres!$A$1:$I$89,3,0)*VLOOKUP('Données projet'!$B$13,Paramètres!$A$1:$I$89,5,0)</f>
        <v>1.0818439477588981E-13</v>
      </c>
      <c r="CV169" s="13">
        <f t="shared" si="173"/>
        <v>1.6104228458716316E-12</v>
      </c>
      <c r="CW169" s="20">
        <f t="shared" si="174"/>
        <v>2.9932409441277661E-12</v>
      </c>
      <c r="CX169" s="59">
        <f t="shared" si="122"/>
        <v>288.31469419486643</v>
      </c>
      <c r="CY169" s="59">
        <f ca="1">AVERAGE(OFFSET($CX$3,0,0,'Données projet'!$E$13+1,1))-AVERAGE(OFFSET($H$3,0,0,'Données projet'!$E$13+1,1))</f>
        <v>424.5933338095914</v>
      </c>
      <c r="CZ169" s="59">
        <f t="shared" si="150"/>
        <v>159.28977188196134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77.976721410734882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77.976721410734882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-18.333333333333343</v>
      </c>
      <c r="DU169" s="59">
        <f t="shared" si="152"/>
        <v>-18.333333333333343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-18.333333333333343</v>
      </c>
      <c r="EP169" s="59">
        <f t="shared" si="154"/>
        <v>-18.333333333333343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8.5459999999999976</v>
      </c>
      <c r="FE169" s="12">
        <f>IF('Données projet'!$A$218&gt;35,FE168+FD169-FM168,IF(A169&lt;'Données projet'!$A$218,$FB$205^A169,IF(A169='Données projet'!$A$218,'Données projet'!$B$218,FE168+FD169-FM168)))</f>
        <v>477.28200000000038</v>
      </c>
      <c r="FF169" s="17">
        <f>FE169*VLOOKUP('Données projet'!$B$16,Paramètres!$A$1:$I$89,3,0)*VLOOKUP('Données projet'!$B$16,Paramètres!$A$1:$I$89,5,0)</f>
        <v>461.6271504000004</v>
      </c>
      <c r="FG169" s="13">
        <f t="shared" si="182"/>
        <v>104.16453901285873</v>
      </c>
      <c r="FH169" s="20">
        <f t="shared" si="183"/>
        <v>985.42052572739613</v>
      </c>
      <c r="FI169" s="59">
        <f t="shared" si="131"/>
        <v>1273.7352199222596</v>
      </c>
      <c r="FJ169" s="59">
        <f ca="1">AVERAGE(OFFSET($FI$3,0,0,'Données projet'!$E$16+1,1))-AVERAGE(OFFSET($H$3,0,0,'Données projet'!$E$16+1,1))</f>
        <v>664.59451650228573</v>
      </c>
      <c r="FK169" s="59">
        <f t="shared" si="156"/>
        <v>304.44325029106631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82.191263745822667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82.191263745822667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-6.8212102632969618E-13</v>
      </c>
      <c r="O170" s="13">
        <f>N170*VLOOKUP('Données projet'!$B$9,Paramètres!$A$1:$I$89,3,0)*VLOOKUP('Données projet'!$B$9,Paramètres!$A$1:$I$89,5,0)</f>
        <v>-4.0790837374515837E-13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460.88622650237176</v>
      </c>
      <c r="T170" s="59">
        <f t="shared" si="142"/>
        <v>396.05161661639647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41.925168251658718</v>
      </c>
      <c r="AA170" s="21">
        <f>EXP(-LN(2)/25)*AA169+(1-EXP(-LN(2)/25))/(LN(2)/25)*Calculateur!V170*Calculateur!X170*VLOOKUP('Données projet'!$B$9,Paramètres!$A$1:$I$89,3,0)*0.475*44/12</f>
        <v>3.1264066234208796</v>
      </c>
      <c r="AB170" s="21">
        <f>EXP(-LN(2)/2)*AB169+(1-EXP(-LN(2)/2))/(LN(2)/2)*V170*Y170*VLOOKUP('Données projet'!$B$9,Paramètres!$A$1:$I$89,3,0)*0.475*44/12</f>
        <v>8.2590227597683522E-13</v>
      </c>
      <c r="AC170" s="22">
        <f t="shared" si="163"/>
        <v>45.051574875080419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projet'!$B$10,Paramètres!$A$1:$I$89,3,0)*VLOOKUP('Données projet'!$B$10,Paramètres!$A$1:$I$89,5,0)</f>
        <v>-2.1282176021486519E-13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387.50901594883317</v>
      </c>
      <c r="AO170" s="59">
        <f t="shared" si="144"/>
        <v>361.3623790401972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67.025381376702427</v>
      </c>
      <c r="AV170" s="21">
        <f>EXP(-LN(2)/25)*AV169+(1-EXP(-LN(2)/25))/(LN(2)/25)*Calculateur!AQ170*Calculateur!AS170*VLOOKUP('Données projet'!$B$10,Paramètres!$A$1:$I$89,3,0)*0.475*44/12</f>
        <v>6.1935336187329231</v>
      </c>
      <c r="AW170" s="21">
        <f>EXP(-LN(2)/2)*AW169+(1-EXP(-LN(2)/2))/(LN(2)/2)*AQ170*AT170*VLOOKUP('Données projet'!$B$10,Paramètres!$A$1:$I$89,3,0)*0.475*44/12</f>
        <v>8.111514901151754E-9</v>
      </c>
      <c r="AX170" s="21">
        <f t="shared" si="166"/>
        <v>73.218915003546869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8.5459999999999976</v>
      </c>
      <c r="BD170" s="12">
        <f>IF('Données projet'!$A$88&gt;35,BD169+BC170-BL169,IF(A170&lt;'Données projet'!$A$88,$BA$205^A170,IF(A170='Données projet'!$A$88,'Données projet'!$B$88,BD169+BC170-BL169)))</f>
        <v>485.82800000000037</v>
      </c>
      <c r="BE170" s="13">
        <f>BD170*VLOOKUP('Données projet'!$B$11,Paramètres!$A$1:$I$89,3,0)*VLOOKUP('Données projet'!$B$11,Paramètres!$A$1:$I$89,5,0)</f>
        <v>439.57717440000033</v>
      </c>
      <c r="BF170" s="13">
        <f t="shared" si="167"/>
        <v>99.755743172047673</v>
      </c>
      <c r="BG170" s="20">
        <f t="shared" si="168"/>
        <v>939.33816477131688</v>
      </c>
      <c r="BH170" s="59">
        <f t="shared" si="116"/>
        <v>1227.7399211352365</v>
      </c>
      <c r="BI170" s="59">
        <f ca="1">AVERAGE(OFFSET($BH$3,0,0,'Données projet'!$E$11+1,1))-AVERAGE(OFFSET($H$3,0,0,'Données projet'!$E$11+1,1))</f>
        <v>627.65081154031589</v>
      </c>
      <c r="BJ170" s="59">
        <f t="shared" si="146"/>
        <v>288.78083487077618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75.380862989327369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75.380862989327369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8.5459999999999976</v>
      </c>
      <c r="BY170" s="12">
        <f>IF('Données projet'!$A$114&gt;35,BY169+BX170-CG169,IF(A170&lt;'Données projet'!$A$114,$BV$205^A170,IF(A170='Données projet'!$A$114,'Données projet'!$B$114,BY169+BX170-CG169)))</f>
        <v>485.82800000000037</v>
      </c>
      <c r="BZ170" s="13">
        <f>BY170*VLOOKUP('Données projet'!$B$12,Paramètres!$A$1:$I$89,3,0)*VLOOKUP('Données projet'!$B$12,Paramètres!$A$1:$I$89,5,0)</f>
        <v>492.6295920000004</v>
      </c>
      <c r="CA170" s="13">
        <f t="shared" si="170"/>
        <v>110.3222664206035</v>
      </c>
      <c r="CB170" s="20">
        <f t="shared" si="171"/>
        <v>1050.1411534158851</v>
      </c>
      <c r="CC170" s="59">
        <f t="shared" si="119"/>
        <v>1338.5429097798046</v>
      </c>
      <c r="CD170" s="59">
        <f ca="1">AVERAGE(OFFSET($CC$3,0,0,'Données projet'!$E$12+1,1))-AVERAGE(OFFSET($H$3,0,0,'Données projet'!$E$12+1,1))</f>
        <v>692.2706942067415</v>
      </c>
      <c r="CE170" s="59">
        <f t="shared" si="148"/>
        <v>316.17529091924803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84.478553350108314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84.478553350108314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1.1368683772161603E-13</v>
      </c>
      <c r="CU170" s="17">
        <f>CT170*VLOOKUP('Données projet'!$B$13,Paramètres!$A$1:$I$89,3,0)*VLOOKUP('Données projet'!$B$13,Paramètres!$A$1:$I$89,5,0)</f>
        <v>1.0818439477588981E-13</v>
      </c>
      <c r="CV170" s="13">
        <f t="shared" si="173"/>
        <v>1.6104228458716316E-12</v>
      </c>
      <c r="CW170" s="20">
        <f t="shared" si="174"/>
        <v>2.9932409441277661E-12</v>
      </c>
      <c r="CX170" s="59">
        <f t="shared" si="122"/>
        <v>288.40175636392263</v>
      </c>
      <c r="CY170" s="59">
        <f ca="1">AVERAGE(OFFSET($CX$3,0,0,'Données projet'!$E$13+1,1))-AVERAGE(OFFSET($H$3,0,0,'Données projet'!$E$13+1,1))</f>
        <v>424.5933338095914</v>
      </c>
      <c r="CZ170" s="59">
        <f t="shared" si="150"/>
        <v>159.28977188196134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76.447645464974158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76.447645464974158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-18.333333333333343</v>
      </c>
      <c r="DU170" s="59">
        <f t="shared" si="152"/>
        <v>-18.333333333333343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-18.333333333333343</v>
      </c>
      <c r="EP170" s="59">
        <f t="shared" si="154"/>
        <v>-18.333333333333343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8.5459999999999976</v>
      </c>
      <c r="FE170" s="12">
        <f>IF('Données projet'!$A$218&gt;35,FE169+FD170-FM169,IF(A170&lt;'Données projet'!$A$218,$FB$205^A170,IF(A170='Données projet'!$A$218,'Données projet'!$B$218,FE169+FD170-FM169)))</f>
        <v>485.82800000000037</v>
      </c>
      <c r="FF170" s="17">
        <f>FE170*VLOOKUP('Données projet'!$B$16,Paramètres!$A$1:$I$89,3,0)*VLOOKUP('Données projet'!$B$16,Paramètres!$A$1:$I$89,5,0)</f>
        <v>469.89284160000039</v>
      </c>
      <c r="FG170" s="13">
        <f t="shared" si="182"/>
        <v>105.81085657384101</v>
      </c>
      <c r="FH170" s="20">
        <f t="shared" si="183"/>
        <v>1002.6839409861069</v>
      </c>
      <c r="FI170" s="59">
        <f t="shared" si="131"/>
        <v>1291.0856973500265</v>
      </c>
      <c r="FJ170" s="59">
        <f ca="1">AVERAGE(OFFSET($FI$3,0,0,'Données projet'!$E$16+1,1))-AVERAGE(OFFSET($H$3,0,0,'Données projet'!$E$16+1,1))</f>
        <v>664.59451650228573</v>
      </c>
      <c r="FK170" s="59">
        <f t="shared" si="156"/>
        <v>304.44325029106631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80.579543195487872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80.579543195487872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-6.8212102632969618E-13</v>
      </c>
      <c r="O171" s="13">
        <f>N171*VLOOKUP('Données projet'!$B$9,Paramètres!$A$1:$I$89,3,0)*VLOOKUP('Données projet'!$B$9,Paramètres!$A$1:$I$89,5,0)</f>
        <v>-4.0790837374515837E-13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460.88622650237176</v>
      </c>
      <c r="T171" s="59">
        <f t="shared" si="142"/>
        <v>396.05161661639647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41.103041274071316</v>
      </c>
      <c r="AA171" s="21">
        <f>EXP(-LN(2)/25)*AA170+(1-EXP(-LN(2)/25))/(LN(2)/25)*Calculateur!V171*Calculateur!X171*VLOOKUP('Données projet'!$B$9,Paramètres!$A$1:$I$89,3,0)*0.475*44/12</f>
        <v>3.0409148698928568</v>
      </c>
      <c r="AB171" s="21">
        <f>EXP(-LN(2)/2)*AB170+(1-EXP(-LN(2)/2))/(LN(2)/2)*V171*Y171*VLOOKUP('Données projet'!$B$9,Paramètres!$A$1:$I$89,3,0)*0.475*44/12</f>
        <v>5.840010999406236E-13</v>
      </c>
      <c r="AC171" s="22">
        <f t="shared" si="163"/>
        <v>44.143956143964758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projet'!$B$10,Paramètres!$A$1:$I$89,3,0)*VLOOKUP('Données projet'!$B$10,Paramètres!$A$1:$I$89,5,0)</f>
        <v>-2.1282176021486519E-13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387.50901594883317</v>
      </c>
      <c r="AO171" s="59">
        <f t="shared" si="144"/>
        <v>361.3623790401972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65.71105452935123</v>
      </c>
      <c r="AV171" s="21">
        <f>EXP(-LN(2)/25)*AV170+(1-EXP(-LN(2)/25))/(LN(2)/25)*Calculateur!AQ171*Calculateur!AS171*VLOOKUP('Données projet'!$B$10,Paramètres!$A$1:$I$89,3,0)*0.475*44/12</f>
        <v>6.0241711162248937</v>
      </c>
      <c r="AW171" s="21">
        <f>EXP(-LN(2)/2)*AW170+(1-EXP(-LN(2)/2))/(LN(2)/2)*AQ171*AT171*VLOOKUP('Données projet'!$B$10,Paramètres!$A$1:$I$89,3,0)*0.475*44/12</f>
        <v>5.7357071923001332E-9</v>
      </c>
      <c r="AX171" s="21">
        <f t="shared" si="166"/>
        <v>71.735225651311836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8.5459999999999976</v>
      </c>
      <c r="BD171" s="12">
        <f>IF('Données projet'!$A$88&gt;35,BD170+BC171-BL170,IF(A171&lt;'Données projet'!$A$88,$BA$205^A171,IF(A171='Données projet'!$A$88,'Données projet'!$B$88,BD170+BC171-BL170)))</f>
        <v>494.37400000000036</v>
      </c>
      <c r="BE171" s="13">
        <f>BD171*VLOOKUP('Données projet'!$B$11,Paramètres!$A$1:$I$89,3,0)*VLOOKUP('Données projet'!$B$11,Paramètres!$A$1:$I$89,5,0)</f>
        <v>447.30959520000027</v>
      </c>
      <c r="BF171" s="13">
        <f t="shared" si="167"/>
        <v>101.30467392781068</v>
      </c>
      <c r="BG171" s="20">
        <f t="shared" si="168"/>
        <v>955.50318539760417</v>
      </c>
      <c r="BH171" s="59">
        <f t="shared" si="116"/>
        <v>1243.9904935965887</v>
      </c>
      <c r="BI171" s="59">
        <f ca="1">AVERAGE(OFFSET($BH$3,0,0,'Données projet'!$E$11+1,1))-AVERAGE(OFFSET($H$3,0,0,'Données projet'!$E$11+1,1))</f>
        <v>627.65081154031589</v>
      </c>
      <c r="BJ171" s="59">
        <f t="shared" si="146"/>
        <v>288.78083487077618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73.902690243893147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73.902690243893147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8.5459999999999976</v>
      </c>
      <c r="BY171" s="12">
        <f>IF('Données projet'!$A$114&gt;35,BY170+BX171-CG170,IF(A171&lt;'Données projet'!$A$114,$BV$205^A171,IF(A171='Données projet'!$A$114,'Données projet'!$B$114,BY170+BX171-CG170)))</f>
        <v>494.37400000000036</v>
      </c>
      <c r="BZ171" s="13">
        <f>BY171*VLOOKUP('Données projet'!$B$12,Paramètres!$A$1:$I$89,3,0)*VLOOKUP('Données projet'!$B$12,Paramètres!$A$1:$I$89,5,0)</f>
        <v>501.29523600000039</v>
      </c>
      <c r="CA171" s="13">
        <f t="shared" si="170"/>
        <v>112.03526605421492</v>
      </c>
      <c r="CB171" s="20">
        <f t="shared" si="171"/>
        <v>1068.2172910777583</v>
      </c>
      <c r="CC171" s="59">
        <f t="shared" si="119"/>
        <v>1356.7045992767428</v>
      </c>
      <c r="CD171" s="59">
        <f ca="1">AVERAGE(OFFSET($CC$3,0,0,'Données projet'!$E$12+1,1))-AVERAGE(OFFSET($H$3,0,0,'Données projet'!$E$12+1,1))</f>
        <v>692.2706942067415</v>
      </c>
      <c r="CE171" s="59">
        <f t="shared" si="148"/>
        <v>316.17529091924803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82.821980445742383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82.821980445742383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1.1368683772161603E-13</v>
      </c>
      <c r="CU171" s="17">
        <f>CT171*VLOOKUP('Données projet'!$B$13,Paramètres!$A$1:$I$89,3,0)*VLOOKUP('Données projet'!$B$13,Paramètres!$A$1:$I$89,5,0)</f>
        <v>1.0818439477588981E-13</v>
      </c>
      <c r="CV171" s="13">
        <f t="shared" si="173"/>
        <v>1.6104228458716316E-12</v>
      </c>
      <c r="CW171" s="20">
        <f t="shared" si="174"/>
        <v>2.9932409441277661E-12</v>
      </c>
      <c r="CX171" s="59">
        <f t="shared" si="122"/>
        <v>288.48730819898753</v>
      </c>
      <c r="CY171" s="59">
        <f ca="1">AVERAGE(OFFSET($CX$3,0,0,'Données projet'!$E$13+1,1))-AVERAGE(OFFSET($H$3,0,0,'Données projet'!$E$13+1,1))</f>
        <v>424.5933338095914</v>
      </c>
      <c r="CZ171" s="59">
        <f t="shared" si="150"/>
        <v>159.28977188196134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74.948553765865569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74.948553765865569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-18.333333333333343</v>
      </c>
      <c r="DU171" s="59">
        <f t="shared" si="152"/>
        <v>-18.333333333333343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-18.333333333333343</v>
      </c>
      <c r="EP171" s="59">
        <f t="shared" si="154"/>
        <v>-18.333333333333343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8.5459999999999976</v>
      </c>
      <c r="FE171" s="12">
        <f>IF('Données projet'!$A$218&gt;35,FE170+FD171-FM170,IF(A171&lt;'Données projet'!$A$218,$FB$205^A171,IF(A171='Données projet'!$A$218,'Données projet'!$B$218,FE170+FD171-FM170)))</f>
        <v>494.37400000000036</v>
      </c>
      <c r="FF171" s="17">
        <f>FE171*VLOOKUP('Données projet'!$B$16,Paramètres!$A$1:$I$89,3,0)*VLOOKUP('Données projet'!$B$16,Paramètres!$A$1:$I$89,5,0)</f>
        <v>478.15853280000039</v>
      </c>
      <c r="FG171" s="13">
        <f t="shared" si="182"/>
        <v>107.45380649160349</v>
      </c>
      <c r="FH171" s="20">
        <f t="shared" si="183"/>
        <v>1019.9414909328767</v>
      </c>
      <c r="FI171" s="59">
        <f t="shared" si="131"/>
        <v>1308.4287991318613</v>
      </c>
      <c r="FJ171" s="59">
        <f ca="1">AVERAGE(OFFSET($FI$3,0,0,'Données projet'!$E$16+1,1))-AVERAGE(OFFSET($H$3,0,0,'Données projet'!$E$16+1,1))</f>
        <v>664.59451650228573</v>
      </c>
      <c r="FK171" s="59">
        <f t="shared" si="156"/>
        <v>304.44325029106631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78.999427502092672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78.999427502092672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-6.8212102632969618E-13</v>
      </c>
      <c r="O172" s="13">
        <f>N172*VLOOKUP('Données projet'!$B$9,Paramètres!$A$1:$I$89,3,0)*VLOOKUP('Données projet'!$B$9,Paramètres!$A$1:$I$89,5,0)</f>
        <v>-4.0790837374515837E-13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460.88622650237176</v>
      </c>
      <c r="T172" s="59">
        <f t="shared" si="142"/>
        <v>396.05161661639647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40.297035705066463</v>
      </c>
      <c r="AA172" s="21">
        <f>EXP(-LN(2)/25)*AA171+(1-EXP(-LN(2)/25))/(LN(2)/25)*Calculateur!V172*Calculateur!X172*VLOOKUP('Données projet'!$B$9,Paramètres!$A$1:$I$89,3,0)*0.475*44/12</f>
        <v>2.9577608928608736</v>
      </c>
      <c r="AB172" s="21">
        <f>EXP(-LN(2)/2)*AB171+(1-EXP(-LN(2)/2))/(LN(2)/2)*V172*Y172*VLOOKUP('Données projet'!$B$9,Paramètres!$A$1:$I$89,3,0)*0.475*44/12</f>
        <v>4.1295113798841761E-13</v>
      </c>
      <c r="AC172" s="22">
        <f t="shared" si="163"/>
        <v>43.254796597927751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projet'!$B$10,Paramètres!$A$1:$I$89,3,0)*VLOOKUP('Données projet'!$B$10,Paramètres!$A$1:$I$89,5,0)</f>
        <v>-2.1282176021486519E-13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387.50901594883317</v>
      </c>
      <c r="AO172" s="59">
        <f t="shared" si="144"/>
        <v>361.3623790401972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64.422500829816371</v>
      </c>
      <c r="AV172" s="21">
        <f>EXP(-LN(2)/25)*AV171+(1-EXP(-LN(2)/25))/(LN(2)/25)*Calculateur!AQ172*Calculateur!AS172*VLOOKUP('Données projet'!$B$10,Paramètres!$A$1:$I$89,3,0)*0.475*44/12</f>
        <v>5.8594398402543337</v>
      </c>
      <c r="AW172" s="21">
        <f>EXP(-LN(2)/2)*AW171+(1-EXP(-LN(2)/2))/(LN(2)/2)*AQ172*AT172*VLOOKUP('Données projet'!$B$10,Paramètres!$A$1:$I$89,3,0)*0.475*44/12</f>
        <v>4.055757450575877E-9</v>
      </c>
      <c r="AX172" s="21">
        <f t="shared" si="166"/>
        <v>70.281940674126474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8.5459999999999976</v>
      </c>
      <c r="BD172" s="12">
        <f>IF('Données projet'!$A$88&gt;35,BD171+BC172-BL171,IF(A172&lt;'Données projet'!$A$88,$BA$205^A172,IF(A172='Données projet'!$A$88,'Données projet'!$B$88,BD171+BC172-BL171)))</f>
        <v>502.92000000000036</v>
      </c>
      <c r="BE172" s="13">
        <f>BD172*VLOOKUP('Données projet'!$B$11,Paramètres!$A$1:$I$89,3,0)*VLOOKUP('Données projet'!$B$11,Paramètres!$A$1:$I$89,5,0)</f>
        <v>455.04201600000027</v>
      </c>
      <c r="BF172" s="13">
        <f t="shared" si="167"/>
        <v>102.85049097288233</v>
      </c>
      <c r="BG172" s="20">
        <f t="shared" si="168"/>
        <v>971.66278297777069</v>
      </c>
      <c r="BH172" s="59">
        <f t="shared" si="116"/>
        <v>1260.2341588787472</v>
      </c>
      <c r="BI172" s="59">
        <f ca="1">AVERAGE(OFFSET($BH$3,0,0,'Données projet'!$E$11+1,1))-AVERAGE(OFFSET($H$3,0,0,'Données projet'!$E$11+1,1))</f>
        <v>627.65081154031589</v>
      </c>
      <c r="BJ172" s="59">
        <f t="shared" si="146"/>
        <v>288.78083487077618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72.453503564400549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72.453503564400549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8.5459999999999976</v>
      </c>
      <c r="BY172" s="12">
        <f>IF('Données projet'!$A$114&gt;35,BY171+BX172-CG171,IF(A172&lt;'Données projet'!$A$114,$BV$205^A172,IF(A172='Données projet'!$A$114,'Données projet'!$B$114,BY171+BX172-CG171)))</f>
        <v>502.92000000000036</v>
      </c>
      <c r="BZ172" s="13">
        <f>BY172*VLOOKUP('Données projet'!$B$12,Paramètres!$A$1:$I$89,3,0)*VLOOKUP('Données projet'!$B$12,Paramètres!$A$1:$I$89,5,0)</f>
        <v>509.96088000000043</v>
      </c>
      <c r="CA172" s="13">
        <f t="shared" si="170"/>
        <v>113.74482216057152</v>
      </c>
      <c r="CB172" s="20">
        <f t="shared" si="171"/>
        <v>1086.2874312629961</v>
      </c>
      <c r="CC172" s="59">
        <f t="shared" si="119"/>
        <v>1374.8588071639724</v>
      </c>
      <c r="CD172" s="59">
        <f ca="1">AVERAGE(OFFSET($CC$3,0,0,'Données projet'!$E$12+1,1))-AVERAGE(OFFSET($H$3,0,0,'Données projet'!$E$12+1,1))</f>
        <v>692.2706942067415</v>
      </c>
      <c r="CE172" s="59">
        <f t="shared" si="148"/>
        <v>316.17529091924803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81.197891925621363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81.197891925621363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1.1368683772161603E-13</v>
      </c>
      <c r="CU172" s="17">
        <f>CT172*VLOOKUP('Données projet'!$B$13,Paramètres!$A$1:$I$89,3,0)*VLOOKUP('Données projet'!$B$13,Paramètres!$A$1:$I$89,5,0)</f>
        <v>1.0818439477588981E-13</v>
      </c>
      <c r="CV172" s="13">
        <f t="shared" si="173"/>
        <v>1.6104228458716316E-12</v>
      </c>
      <c r="CW172" s="20">
        <f t="shared" si="174"/>
        <v>2.9932409441277661E-12</v>
      </c>
      <c r="CX172" s="59">
        <f t="shared" si="122"/>
        <v>288.57137590097943</v>
      </c>
      <c r="CY172" s="59">
        <f ca="1">AVERAGE(OFFSET($CX$3,0,0,'Données projet'!$E$13+1,1))-AVERAGE(OFFSET($H$3,0,0,'Données projet'!$E$13+1,1))</f>
        <v>424.5933338095914</v>
      </c>
      <c r="CZ172" s="59">
        <f t="shared" si="150"/>
        <v>159.28977188196134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73.478858340620846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73.478858340620846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-18.333333333333343</v>
      </c>
      <c r="DU172" s="59">
        <f t="shared" si="152"/>
        <v>-18.333333333333343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-18.333333333333343</v>
      </c>
      <c r="EP172" s="59">
        <f t="shared" si="154"/>
        <v>-18.333333333333343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8.5459999999999976</v>
      </c>
      <c r="FE172" s="12">
        <f>IF('Données projet'!$A$218&gt;35,FE171+FD172-FM171,IF(A172&lt;'Données projet'!$A$218,$FB$205^A172,IF(A172='Données projet'!$A$218,'Données projet'!$B$218,FE171+FD172-FM171)))</f>
        <v>502.92000000000036</v>
      </c>
      <c r="FF172" s="17">
        <f>FE172*VLOOKUP('Données projet'!$B$16,Paramètres!$A$1:$I$89,3,0)*VLOOKUP('Données projet'!$B$16,Paramètres!$A$1:$I$89,5,0)</f>
        <v>486.42422400000038</v>
      </c>
      <c r="FG172" s="13">
        <f t="shared" si="182"/>
        <v>109.09345369831506</v>
      </c>
      <c r="FH172" s="20">
        <f t="shared" si="183"/>
        <v>1037.1932886578995</v>
      </c>
      <c r="FI172" s="59">
        <f t="shared" si="131"/>
        <v>1325.7646645588759</v>
      </c>
      <c r="FJ172" s="59">
        <f ca="1">AVERAGE(OFFSET($FI$3,0,0,'Données projet'!$E$16+1,1))-AVERAGE(OFFSET($H$3,0,0,'Données projet'!$E$16+1,1))</f>
        <v>664.59451650228573</v>
      </c>
      <c r="FK172" s="59">
        <f t="shared" si="156"/>
        <v>304.44325029106631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77.450296913669547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77.450296913669547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-6.8212102632969618E-13</v>
      </c>
      <c r="O173" s="13">
        <f>N173*VLOOKUP('Données projet'!$B$9,Paramètres!$A$1:$I$89,3,0)*VLOOKUP('Données projet'!$B$9,Paramètres!$A$1:$I$89,5,0)</f>
        <v>-4.0790837374515837E-13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460.88622650237176</v>
      </c>
      <c r="T173" s="59">
        <f t="shared" si="142"/>
        <v>396.05161661639647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39.50683541365494</v>
      </c>
      <c r="AA173" s="21">
        <f>EXP(-LN(2)/25)*AA172+(1-EXP(-LN(2)/25))/(LN(2)/25)*Calculateur!V173*Calculateur!X173*VLOOKUP('Données projet'!$B$9,Paramètres!$A$1:$I$89,3,0)*0.475*44/12</f>
        <v>2.8768807657037079</v>
      </c>
      <c r="AB173" s="21">
        <f>EXP(-LN(2)/2)*AB172+(1-EXP(-LN(2)/2))/(LN(2)/2)*V173*Y173*VLOOKUP('Données projet'!$B$9,Paramètres!$A$1:$I$89,3,0)*0.475*44/12</f>
        <v>2.920005499703118E-13</v>
      </c>
      <c r="AC173" s="22">
        <f t="shared" si="163"/>
        <v>42.383716179358942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projet'!$B$10,Paramètres!$A$1:$I$89,3,0)*VLOOKUP('Données projet'!$B$10,Paramètres!$A$1:$I$89,5,0)</f>
        <v>-2.1282176021486519E-13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387.50901594883317</v>
      </c>
      <c r="AO173" s="59">
        <f t="shared" si="144"/>
        <v>361.3623790401972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63.159214882389236</v>
      </c>
      <c r="AV173" s="21">
        <f>EXP(-LN(2)/25)*AV172+(1-EXP(-LN(2)/25))/(LN(2)/25)*Calculateur!AQ173*Calculateur!AS173*VLOOKUP('Données projet'!$B$10,Paramètres!$A$1:$I$89,3,0)*0.475*44/12</f>
        <v>5.6992131496880294</v>
      </c>
      <c r="AW173" s="21">
        <f>EXP(-LN(2)/2)*AW172+(1-EXP(-LN(2)/2))/(LN(2)/2)*AQ173*AT173*VLOOKUP('Données projet'!$B$10,Paramètres!$A$1:$I$89,3,0)*0.475*44/12</f>
        <v>2.8678535961500666E-9</v>
      </c>
      <c r="AX173" s="21">
        <f t="shared" si="166"/>
        <v>68.858428034945121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8.5459999999999976</v>
      </c>
      <c r="BD173" s="12">
        <f>IF('Données projet'!$A$88&gt;35,BD172+BC173-BL172,IF(A173&lt;'Données projet'!$A$88,$BA$205^A173,IF(A173='Données projet'!$A$88,'Données projet'!$B$88,BD172+BC173-BL172)))</f>
        <v>511.46600000000035</v>
      </c>
      <c r="BE173" s="13">
        <f>BD173*VLOOKUP('Données projet'!$B$11,Paramètres!$A$1:$I$89,3,0)*VLOOKUP('Données projet'!$B$11,Paramètres!$A$1:$I$89,5,0)</f>
        <v>462.77443680000027</v>
      </c>
      <c r="BF173" s="13">
        <f t="shared" si="167"/>
        <v>104.39325332394039</v>
      </c>
      <c r="BG173" s="20">
        <f t="shared" si="168"/>
        <v>987.81706029919678</v>
      </c>
      <c r="BH173" s="59">
        <f t="shared" si="116"/>
        <v>1276.4710455154827</v>
      </c>
      <c r="BI173" s="59">
        <f ca="1">AVERAGE(OFFSET($BH$3,0,0,'Données projet'!$E$11+1,1))-AVERAGE(OFFSET($H$3,0,0,'Données projet'!$E$11+1,1))</f>
        <v>627.65081154031589</v>
      </c>
      <c r="BJ173" s="59">
        <f t="shared" si="146"/>
        <v>288.78083487077618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71.032734551776201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71.032734551776201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8.5459999999999976</v>
      </c>
      <c r="BY173" s="12">
        <f>IF('Données projet'!$A$114&gt;35,BY172+BX173-CG172,IF(A173&lt;'Données projet'!$A$114,$BV$205^A173,IF(A173='Données projet'!$A$114,'Données projet'!$B$114,BY172+BX173-CG172)))</f>
        <v>511.46600000000035</v>
      </c>
      <c r="BZ173" s="13">
        <f>BY173*VLOOKUP('Données projet'!$B$12,Paramètres!$A$1:$I$89,3,0)*VLOOKUP('Données projet'!$B$12,Paramètres!$A$1:$I$89,5,0)</f>
        <v>518.62652400000036</v>
      </c>
      <c r="CA173" s="13">
        <f t="shared" si="170"/>
        <v>115.45100000763091</v>
      </c>
      <c r="CB173" s="20">
        <f t="shared" si="171"/>
        <v>1104.3516876466244</v>
      </c>
      <c r="CC173" s="59">
        <f t="shared" si="119"/>
        <v>1393.0056728629104</v>
      </c>
      <c r="CD173" s="59">
        <f ca="1">AVERAGE(OFFSET($CC$3,0,0,'Données projet'!$E$12+1,1))-AVERAGE(OFFSET($H$3,0,0,'Données projet'!$E$12+1,1))</f>
        <v>692.2706942067415</v>
      </c>
      <c r="CE173" s="59">
        <f t="shared" si="148"/>
        <v>316.17529091924803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79.605650790783727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79.605650790783727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1.1368683772161603E-13</v>
      </c>
      <c r="CU173" s="17">
        <f>CT173*VLOOKUP('Données projet'!$B$13,Paramètres!$A$1:$I$89,3,0)*VLOOKUP('Données projet'!$B$13,Paramètres!$A$1:$I$89,5,0)</f>
        <v>1.0818439477588981E-13</v>
      </c>
      <c r="CV173" s="13">
        <f t="shared" si="173"/>
        <v>1.6104228458716316E-12</v>
      </c>
      <c r="CW173" s="20">
        <f t="shared" si="174"/>
        <v>2.9932409441277661E-12</v>
      </c>
      <c r="CX173" s="59">
        <f t="shared" si="122"/>
        <v>288.6539852162889</v>
      </c>
      <c r="CY173" s="59">
        <f ca="1">AVERAGE(OFFSET($CX$3,0,0,'Données projet'!$E$13+1,1))-AVERAGE(OFFSET($H$3,0,0,'Données projet'!$E$13+1,1))</f>
        <v>424.5933338095914</v>
      </c>
      <c r="CZ173" s="59">
        <f t="shared" si="150"/>
        <v>159.28977188196134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72.037982746239479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72.037982746239479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-18.333333333333343</v>
      </c>
      <c r="DU173" s="59">
        <f t="shared" si="152"/>
        <v>-18.333333333333343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-18.333333333333343</v>
      </c>
      <c r="EP173" s="59">
        <f t="shared" si="154"/>
        <v>-18.333333333333343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8.5459999999999976</v>
      </c>
      <c r="FE173" s="12">
        <f>IF('Données projet'!$A$218&gt;35,FE172+FD173-FM172,IF(A173&lt;'Données projet'!$A$218,$FB$205^A173,IF(A173='Données projet'!$A$218,'Données projet'!$B$218,FE172+FD173-FM172)))</f>
        <v>511.46600000000035</v>
      </c>
      <c r="FF173" s="17">
        <f>FE173*VLOOKUP('Données projet'!$B$16,Paramètres!$A$1:$I$89,3,0)*VLOOKUP('Données projet'!$B$16,Paramètres!$A$1:$I$89,5,0)</f>
        <v>494.68991520000037</v>
      </c>
      <c r="FG173" s="13">
        <f t="shared" si="182"/>
        <v>110.72986079292981</v>
      </c>
      <c r="FH173" s="20">
        <f t="shared" si="183"/>
        <v>1054.4394431876869</v>
      </c>
      <c r="FI173" s="59">
        <f t="shared" si="131"/>
        <v>1343.0934284039729</v>
      </c>
      <c r="FJ173" s="59">
        <f ca="1">AVERAGE(OFFSET($FI$3,0,0,'Données projet'!$E$16+1,1))-AVERAGE(OFFSET($H$3,0,0,'Données projet'!$E$16+1,1))</f>
        <v>664.59451650228573</v>
      </c>
      <c r="FK173" s="59">
        <f t="shared" si="156"/>
        <v>304.44325029106631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75.931543831209041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75.931543831209041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-6.8212102632969618E-13</v>
      </c>
      <c r="O174" s="13">
        <f>N174*VLOOKUP('Données projet'!$B$9,Paramètres!$A$1:$I$89,3,0)*VLOOKUP('Données projet'!$B$9,Paramètres!$A$1:$I$89,5,0)</f>
        <v>-4.0790837374515837E-13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460.88622650237176</v>
      </c>
      <c r="T174" s="59">
        <f t="shared" si="142"/>
        <v>396.05161661639647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38.73213046798341</v>
      </c>
      <c r="AA174" s="21">
        <f>EXP(-LN(2)/25)*AA173+(1-EXP(-LN(2)/25))/(LN(2)/25)*Calculateur!V174*Calculateur!X174*VLOOKUP('Données projet'!$B$9,Paramètres!$A$1:$I$89,3,0)*0.475*44/12</f>
        <v>2.7982123098769556</v>
      </c>
      <c r="AB174" s="21">
        <f>EXP(-LN(2)/2)*AB173+(1-EXP(-LN(2)/2))/(LN(2)/2)*V174*Y174*VLOOKUP('Données projet'!$B$9,Paramètres!$A$1:$I$89,3,0)*0.475*44/12</f>
        <v>2.0647556899420881E-13</v>
      </c>
      <c r="AC174" s="22">
        <f t="shared" si="163"/>
        <v>41.530342777860575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projet'!$B$10,Paramètres!$A$1:$I$89,3,0)*VLOOKUP('Données projet'!$B$10,Paramètres!$A$1:$I$89,5,0)</f>
        <v>-2.1282176021486519E-13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387.50901594883317</v>
      </c>
      <c r="AO174" s="59">
        <f t="shared" si="144"/>
        <v>361.3623790401972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61.920701201862798</v>
      </c>
      <c r="AV174" s="21">
        <f>EXP(-LN(2)/25)*AV173+(1-EXP(-LN(2)/25))/(LN(2)/25)*Calculateur!AQ174*Calculateur!AS174*VLOOKUP('Données projet'!$B$10,Paramètres!$A$1:$I$89,3,0)*0.475*44/12</f>
        <v>5.5433678664012165</v>
      </c>
      <c r="AW174" s="21">
        <f>EXP(-LN(2)/2)*AW173+(1-EXP(-LN(2)/2))/(LN(2)/2)*AQ174*AT174*VLOOKUP('Données projet'!$B$10,Paramètres!$A$1:$I$89,3,0)*0.475*44/12</f>
        <v>2.0278787252879385E-9</v>
      </c>
      <c r="AX174" s="21">
        <f t="shared" si="166"/>
        <v>67.464069070291885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8.5459999999999976</v>
      </c>
      <c r="BD174" s="12">
        <f>IF('Données projet'!$A$88&gt;35,BD173+BC174-BL173,IF(A174&lt;'Données projet'!$A$88,$BA$205^A174,IF(A174='Données projet'!$A$88,'Données projet'!$B$88,BD173+BC174-BL173)))</f>
        <v>520.0120000000004</v>
      </c>
      <c r="BE174" s="13">
        <f>BD174*VLOOKUP('Données projet'!$B$11,Paramètres!$A$1:$I$89,3,0)*VLOOKUP('Données projet'!$B$11,Paramètres!$A$1:$I$89,5,0)</f>
        <v>470.50685760000033</v>
      </c>
      <c r="BF174" s="13">
        <f t="shared" si="167"/>
        <v>105.93301791241842</v>
      </c>
      <c r="BG174" s="20">
        <f t="shared" si="168"/>
        <v>1003.9661165174626</v>
      </c>
      <c r="BH174" s="59">
        <f t="shared" si="116"/>
        <v>1292.7012779621241</v>
      </c>
      <c r="BI174" s="59">
        <f ca="1">AVERAGE(OFFSET($BH$3,0,0,'Données projet'!$E$11+1,1))-AVERAGE(OFFSET($H$3,0,0,'Données projet'!$E$11+1,1))</f>
        <v>627.65081154031589</v>
      </c>
      <c r="BJ174" s="59">
        <f t="shared" si="146"/>
        <v>288.78083487077618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69.639825952905895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69.639825952905895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8.5459999999999976</v>
      </c>
      <c r="BY174" s="12">
        <f>IF('Données projet'!$A$114&gt;35,BY173+BX174-CG173,IF(A174&lt;'Données projet'!$A$114,$BV$205^A174,IF(A174='Données projet'!$A$114,'Données projet'!$B$114,BY173+BX174-CG173)))</f>
        <v>520.0120000000004</v>
      </c>
      <c r="BZ174" s="13">
        <f>BY174*VLOOKUP('Données projet'!$B$12,Paramètres!$A$1:$I$89,3,0)*VLOOKUP('Données projet'!$B$12,Paramètres!$A$1:$I$89,5,0)</f>
        <v>527.2921680000004</v>
      </c>
      <c r="CA174" s="13">
        <f t="shared" si="170"/>
        <v>117.15386255722979</v>
      </c>
      <c r="CB174" s="20">
        <f t="shared" si="171"/>
        <v>1122.4101698871759</v>
      </c>
      <c r="CC174" s="59">
        <f t="shared" si="119"/>
        <v>1411.1453313318375</v>
      </c>
      <c r="CD174" s="59">
        <f ca="1">AVERAGE(OFFSET($CC$3,0,0,'Données projet'!$E$12+1,1))-AVERAGE(OFFSET($H$3,0,0,'Données projet'!$E$12+1,1))</f>
        <v>692.2706942067415</v>
      </c>
      <c r="CE174" s="59">
        <f t="shared" si="148"/>
        <v>316.17529091924803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78.044632533429066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78.044632533429066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1.1368683772161603E-13</v>
      </c>
      <c r="CU174" s="17">
        <f>CT174*VLOOKUP('Données projet'!$B$13,Paramètres!$A$1:$I$89,3,0)*VLOOKUP('Données projet'!$B$13,Paramètres!$A$1:$I$89,5,0)</f>
        <v>1.0818439477588981E-13</v>
      </c>
      <c r="CV174" s="13">
        <f t="shared" si="173"/>
        <v>1.6104228458716316E-12</v>
      </c>
      <c r="CW174" s="20">
        <f t="shared" si="174"/>
        <v>2.9932409441277661E-12</v>
      </c>
      <c r="CX174" s="59">
        <f t="shared" si="122"/>
        <v>288.73516144466453</v>
      </c>
      <c r="CY174" s="59">
        <f ca="1">AVERAGE(OFFSET($CX$3,0,0,'Données projet'!$E$13+1,1))-AVERAGE(OFFSET($H$3,0,0,'Données projet'!$E$13+1,1))</f>
        <v>424.5933338095914</v>
      </c>
      <c r="CZ174" s="59">
        <f t="shared" si="150"/>
        <v>159.28977188196134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70.625361843416599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70.625361843416599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-18.333333333333343</v>
      </c>
      <c r="DU174" s="59">
        <f t="shared" si="152"/>
        <v>-18.333333333333343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-18.333333333333343</v>
      </c>
      <c r="EP174" s="59">
        <f t="shared" si="154"/>
        <v>-18.333333333333343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8.5459999999999976</v>
      </c>
      <c r="FE174" s="12">
        <f>IF('Données projet'!$A$218&gt;35,FE173+FD174-FM173,IF(A174&lt;'Données projet'!$A$218,$FB$205^A174,IF(A174='Données projet'!$A$218,'Données projet'!$B$218,FE173+FD174-FM173)))</f>
        <v>520.0120000000004</v>
      </c>
      <c r="FF174" s="17">
        <f>FE174*VLOOKUP('Données projet'!$B$16,Paramètres!$A$1:$I$89,3,0)*VLOOKUP('Données projet'!$B$16,Paramètres!$A$1:$I$89,5,0)</f>
        <v>502.95560640000036</v>
      </c>
      <c r="FG174" s="13">
        <f t="shared" si="182"/>
        <v>112.36308816258565</v>
      </c>
      <c r="FH174" s="20">
        <f t="shared" si="183"/>
        <v>1071.6800596965038</v>
      </c>
      <c r="FI174" s="59">
        <f t="shared" si="131"/>
        <v>1360.4152211411654</v>
      </c>
      <c r="FJ174" s="59">
        <f ca="1">AVERAGE(OFFSET($FI$3,0,0,'Données projet'!$E$16+1,1))-AVERAGE(OFFSET($H$3,0,0,'Données projet'!$E$16+1,1))</f>
        <v>664.59451650228573</v>
      </c>
      <c r="FK174" s="59">
        <f t="shared" si="156"/>
        <v>304.44325029106631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74.442572570347679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74.442572570347679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-6.8212102632969618E-13</v>
      </c>
      <c r="O175" s="13">
        <f>N175*VLOOKUP('Données projet'!$B$9,Paramètres!$A$1:$I$89,3,0)*VLOOKUP('Données projet'!$B$9,Paramètres!$A$1:$I$89,5,0)</f>
        <v>-4.0790837374515837E-13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460.88622650237176</v>
      </c>
      <c r="T175" s="59">
        <f t="shared" si="142"/>
        <v>396.05161661639647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37.972617013773139</v>
      </c>
      <c r="AA175" s="21">
        <f>EXP(-LN(2)/25)*AA174+(1-EXP(-LN(2)/25))/(LN(2)/25)*Calculateur!V175*Calculateur!X175*VLOOKUP('Données projet'!$B$9,Paramètres!$A$1:$I$89,3,0)*0.475*44/12</f>
        <v>2.7216950471117802</v>
      </c>
      <c r="AB175" s="21">
        <f>EXP(-LN(2)/2)*AB174+(1-EXP(-LN(2)/2))/(LN(2)/2)*V175*Y175*VLOOKUP('Données projet'!$B$9,Paramètres!$A$1:$I$89,3,0)*0.475*44/12</f>
        <v>1.460002749851559E-13</v>
      </c>
      <c r="AC175" s="22">
        <f t="shared" si="163"/>
        <v>40.694312060885068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projet'!$B$10,Paramètres!$A$1:$I$89,3,0)*VLOOKUP('Données projet'!$B$10,Paramètres!$A$1:$I$89,5,0)</f>
        <v>-2.1282176021486519E-13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387.50901594883317</v>
      </c>
      <c r="AO175" s="59">
        <f t="shared" si="144"/>
        <v>361.3623790401972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60.706474019192733</v>
      </c>
      <c r="AV175" s="21">
        <f>EXP(-LN(2)/25)*AV174+(1-EXP(-LN(2)/25))/(LN(2)/25)*Calculateur!AQ175*Calculateur!AS175*VLOOKUP('Données projet'!$B$10,Paramètres!$A$1:$I$89,3,0)*0.475*44/12</f>
        <v>5.3917841805814284</v>
      </c>
      <c r="AW175" s="21">
        <f>EXP(-LN(2)/2)*AW174+(1-EXP(-LN(2)/2))/(LN(2)/2)*AQ175*AT175*VLOOKUP('Données projet'!$B$10,Paramètres!$A$1:$I$89,3,0)*0.475*44/12</f>
        <v>1.4339267980750333E-9</v>
      </c>
      <c r="AX175" s="21">
        <f t="shared" si="166"/>
        <v>66.098258201208097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8.5459999999999976</v>
      </c>
      <c r="BD175" s="12">
        <f>IF('Données projet'!$A$88&gt;35,BD174+BC175-BL174,IF(A175&lt;'Données projet'!$A$88,$BA$205^A175,IF(A175='Données projet'!$A$88,'Données projet'!$B$88,BD174+BC175-BL174)))</f>
        <v>528.55800000000045</v>
      </c>
      <c r="BE175" s="13">
        <f>BD175*VLOOKUP('Données projet'!$B$11,Paramètres!$A$1:$I$89,3,0)*VLOOKUP('Données projet'!$B$11,Paramètres!$A$1:$I$89,5,0)</f>
        <v>478.23927840000039</v>
      </c>
      <c r="BF175" s="13">
        <f t="shared" si="167"/>
        <v>107.46983969122122</v>
      </c>
      <c r="BG175" s="20">
        <f t="shared" si="168"/>
        <v>1020.110047342211</v>
      </c>
      <c r="BH175" s="59">
        <f t="shared" si="116"/>
        <v>1308.9249767891688</v>
      </c>
      <c r="BI175" s="59">
        <f ca="1">AVERAGE(OFFSET($BH$3,0,0,'Données projet'!$E$11+1,1))-AVERAGE(OFFSET($H$3,0,0,'Données projet'!$E$11+1,1))</f>
        <v>627.65081154031589</v>
      </c>
      <c r="BJ175" s="59">
        <f t="shared" si="146"/>
        <v>288.78083487077618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68.27423144206908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68.27423144206908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8.5459999999999976</v>
      </c>
      <c r="BY175" s="12">
        <f>IF('Données projet'!$A$114&gt;35,BY174+BX175-CG174,IF(A175&lt;'Données projet'!$A$114,$BV$205^A175,IF(A175='Données projet'!$A$114,'Données projet'!$B$114,BY174+BX175-CG174)))</f>
        <v>528.55800000000045</v>
      </c>
      <c r="BZ175" s="13">
        <f>BY175*VLOOKUP('Données projet'!$B$12,Paramètres!$A$1:$I$89,3,0)*VLOOKUP('Données projet'!$B$12,Paramètres!$A$1:$I$89,5,0)</f>
        <v>535.95781200000044</v>
      </c>
      <c r="CA175" s="13">
        <f t="shared" si="170"/>
        <v>118.85347058310219</v>
      </c>
      <c r="CB175" s="20">
        <f t="shared" si="171"/>
        <v>1140.4629838322371</v>
      </c>
      <c r="CC175" s="59">
        <f t="shared" si="119"/>
        <v>1429.2779132791948</v>
      </c>
      <c r="CD175" s="59">
        <f ca="1">AVERAGE(OFFSET($CC$3,0,0,'Données projet'!$E$12+1,1))-AVERAGE(OFFSET($H$3,0,0,'Données projet'!$E$12+1,1))</f>
        <v>692.2706942067415</v>
      </c>
      <c r="CE175" s="59">
        <f t="shared" si="148"/>
        <v>316.17529091924803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76.51422489197401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76.51422489197401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1.1368683772161603E-13</v>
      </c>
      <c r="CU175" s="17">
        <f>CT175*VLOOKUP('Données projet'!$B$13,Paramètres!$A$1:$I$89,3,0)*VLOOKUP('Données projet'!$B$13,Paramètres!$A$1:$I$89,5,0)</f>
        <v>1.0818439477588981E-13</v>
      </c>
      <c r="CV175" s="13">
        <f t="shared" si="173"/>
        <v>1.6104228458716316E-12</v>
      </c>
      <c r="CW175" s="20">
        <f t="shared" si="174"/>
        <v>2.9932409441277661E-12</v>
      </c>
      <c r="CX175" s="59">
        <f t="shared" si="122"/>
        <v>288.81492944696066</v>
      </c>
      <c r="CY175" s="59">
        <f ca="1">AVERAGE(OFFSET($CX$3,0,0,'Données projet'!$E$13+1,1))-AVERAGE(OFFSET($H$3,0,0,'Données projet'!$E$13+1,1))</f>
        <v>424.5933338095914</v>
      </c>
      <c r="CZ175" s="59">
        <f t="shared" si="150"/>
        <v>159.28977188196134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69.2404415748844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69.2404415748844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-18.333333333333343</v>
      </c>
      <c r="DU175" s="59">
        <f t="shared" si="152"/>
        <v>-18.333333333333343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-18.333333333333343</v>
      </c>
      <c r="EP175" s="59">
        <f t="shared" si="154"/>
        <v>-18.333333333333343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8.5459999999999976</v>
      </c>
      <c r="FE175" s="12">
        <f>IF('Données projet'!$A$218&gt;35,FE174+FD175-FM174,IF(A175&lt;'Données projet'!$A$218,$FB$205^A175,IF(A175='Données projet'!$A$218,'Données projet'!$B$218,FE174+FD175-FM174)))</f>
        <v>528.55800000000045</v>
      </c>
      <c r="FF175" s="17">
        <f>FE175*VLOOKUP('Données projet'!$B$16,Paramètres!$A$1:$I$89,3,0)*VLOOKUP('Données projet'!$B$16,Paramètres!$A$1:$I$89,5,0)</f>
        <v>511.22129760000047</v>
      </c>
      <c r="FG175" s="13">
        <f t="shared" si="182"/>
        <v>113.99319409579488</v>
      </c>
      <c r="FH175" s="20">
        <f t="shared" si="183"/>
        <v>1088.9152397035102</v>
      </c>
      <c r="FI175" s="59">
        <f t="shared" si="131"/>
        <v>1377.7301691504679</v>
      </c>
      <c r="FJ175" s="59">
        <f ca="1">AVERAGE(OFFSET($FI$3,0,0,'Données projet'!$E$16+1,1))-AVERAGE(OFFSET($H$3,0,0,'Données projet'!$E$16+1,1))</f>
        <v>664.59451650228573</v>
      </c>
      <c r="FK175" s="59">
        <f t="shared" si="156"/>
        <v>304.44325029106631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72.98279912772901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72.98279912772901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-6.8212102632969618E-13</v>
      </c>
      <c r="O176" s="13">
        <f>N176*VLOOKUP('Données projet'!$B$9,Paramètres!$A$1:$I$89,3,0)*VLOOKUP('Données projet'!$B$9,Paramètres!$A$1:$I$89,5,0)</f>
        <v>-4.0790837374515837E-13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460.88622650237176</v>
      </c>
      <c r="T176" s="59">
        <f t="shared" si="142"/>
        <v>396.05161661639647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37.227997155142468</v>
      </c>
      <c r="AA176" s="21">
        <f>EXP(-LN(2)/25)*AA175+(1-EXP(-LN(2)/25))/(LN(2)/25)*Calculateur!V176*Calculateur!X176*VLOOKUP('Données projet'!$B$9,Paramètres!$A$1:$I$89,3,0)*0.475*44/12</f>
        <v>2.6472701529207865</v>
      </c>
      <c r="AB176" s="21">
        <f>EXP(-LN(2)/2)*AB175+(1-EXP(-LN(2)/2))/(LN(2)/2)*V176*Y176*VLOOKUP('Données projet'!$B$9,Paramètres!$A$1:$I$89,3,0)*0.475*44/12</f>
        <v>1.032377844971044E-13</v>
      </c>
      <c r="AC176" s="22">
        <f t="shared" si="163"/>
        <v>39.875267308063364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projet'!$B$10,Paramètres!$A$1:$I$89,3,0)*VLOOKUP('Données projet'!$B$10,Paramètres!$A$1:$I$89,5,0)</f>
        <v>-2.1282176021486519E-13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387.50901594883317</v>
      </c>
      <c r="AO176" s="59">
        <f t="shared" si="144"/>
        <v>361.3623790401972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59.516057090969376</v>
      </c>
      <c r="AV176" s="21">
        <f>EXP(-LN(2)/25)*AV175+(1-EXP(-LN(2)/25))/(LN(2)/25)*Calculateur!AQ176*Calculateur!AS176*VLOOKUP('Données projet'!$B$10,Paramètres!$A$1:$I$89,3,0)*0.475*44/12</f>
        <v>5.2443455586218226</v>
      </c>
      <c r="AW176" s="21">
        <f>EXP(-LN(2)/2)*AW175+(1-EXP(-LN(2)/2))/(LN(2)/2)*AQ176*AT176*VLOOKUP('Données projet'!$B$10,Paramètres!$A$1:$I$89,3,0)*0.475*44/12</f>
        <v>1.0139393626439693E-9</v>
      </c>
      <c r="AX176" s="21">
        <f t="shared" si="166"/>
        <v>64.760402650605144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8.5459999999999976</v>
      </c>
      <c r="BD176" s="12">
        <f>IF('Données projet'!$A$88&gt;35,BD175+BC176-BL175,IF(A176&lt;'Données projet'!$A$88,$BA$205^A176,IF(A176='Données projet'!$A$88,'Données projet'!$B$88,BD175+BC176-BL175)))</f>
        <v>537.1040000000005</v>
      </c>
      <c r="BE176" s="13">
        <f>BD176*VLOOKUP('Données projet'!$B$11,Paramètres!$A$1:$I$89,3,0)*VLOOKUP('Données projet'!$B$11,Paramètres!$A$1:$I$89,5,0)</f>
        <v>485.97169920000039</v>
      </c>
      <c r="BF176" s="13">
        <f t="shared" si="167"/>
        <v>109.00377173434057</v>
      </c>
      <c r="BG176" s="20">
        <f t="shared" si="168"/>
        <v>1036.2489452106438</v>
      </c>
      <c r="BH176" s="59">
        <f t="shared" si="116"/>
        <v>1325.1422588633923</v>
      </c>
      <c r="BI176" s="59">
        <f ca="1">AVERAGE(OFFSET($BH$3,0,0,'Données projet'!$E$11+1,1))-AVERAGE(OFFSET($H$3,0,0,'Données projet'!$E$11+1,1))</f>
        <v>627.65081154031589</v>
      </c>
      <c r="BJ176" s="59">
        <f t="shared" si="146"/>
        <v>288.78083487077618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66.935415406659359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66.935415406659359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8.5459999999999976</v>
      </c>
      <c r="BY176" s="12">
        <f>IF('Données projet'!$A$114&gt;35,BY175+BX176-CG175,IF(A176&lt;'Données projet'!$A$114,$BV$205^A176,IF(A176='Données projet'!$A$114,'Données projet'!$B$114,BY175+BX176-CG175)))</f>
        <v>537.1040000000005</v>
      </c>
      <c r="BZ176" s="13">
        <f>BY176*VLOOKUP('Données projet'!$B$12,Paramètres!$A$1:$I$89,3,0)*VLOOKUP('Données projet'!$B$12,Paramètres!$A$1:$I$89,5,0)</f>
        <v>544.62345600000049</v>
      </c>
      <c r="CA176" s="13">
        <f t="shared" si="170"/>
        <v>120.54988278104692</v>
      </c>
      <c r="CB176" s="20">
        <f t="shared" si="171"/>
        <v>1158.510231710324</v>
      </c>
      <c r="CC176" s="59">
        <f t="shared" si="119"/>
        <v>1447.4035453630725</v>
      </c>
      <c r="CD176" s="59">
        <f ca="1">AVERAGE(OFFSET($CC$3,0,0,'Données projet'!$E$12+1,1))-AVERAGE(OFFSET($H$3,0,0,'Données projet'!$E$12+1,1))</f>
        <v>692.2706942067415</v>
      </c>
      <c r="CE176" s="59">
        <f t="shared" si="148"/>
        <v>316.17529091924803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75.013827610911392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75.013827610911392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1.1368683772161603E-13</v>
      </c>
      <c r="CU176" s="17">
        <f>CT176*VLOOKUP('Données projet'!$B$13,Paramètres!$A$1:$I$89,3,0)*VLOOKUP('Données projet'!$B$13,Paramètres!$A$1:$I$89,5,0)</f>
        <v>1.0818439477588981E-13</v>
      </c>
      <c r="CV176" s="13">
        <f t="shared" si="173"/>
        <v>1.6104228458716316E-12</v>
      </c>
      <c r="CW176" s="20">
        <f t="shared" si="174"/>
        <v>2.9932409441277661E-12</v>
      </c>
      <c r="CX176" s="59">
        <f t="shared" si="122"/>
        <v>288.89331365275149</v>
      </c>
      <c r="CY176" s="59">
        <f ca="1">AVERAGE(OFFSET($CX$3,0,0,'Données projet'!$E$13+1,1))-AVERAGE(OFFSET($H$3,0,0,'Données projet'!$E$13+1,1))</f>
        <v>424.5933338095914</v>
      </c>
      <c r="CZ176" s="59">
        <f t="shared" si="150"/>
        <v>159.28977188196134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67.882678748100162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67.882678748100162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-18.333333333333343</v>
      </c>
      <c r="DU176" s="59">
        <f t="shared" si="152"/>
        <v>-18.333333333333343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-18.333333333333343</v>
      </c>
      <c r="EP176" s="59">
        <f t="shared" si="154"/>
        <v>-18.333333333333343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8.5459999999999976</v>
      </c>
      <c r="FE176" s="12">
        <f>IF('Données projet'!$A$218&gt;35,FE175+FD176-FM175,IF(A176&lt;'Données projet'!$A$218,$FB$205^A176,IF(A176='Données projet'!$A$218,'Données projet'!$B$218,FE175+FD176-FM175)))</f>
        <v>537.1040000000005</v>
      </c>
      <c r="FF176" s="17">
        <f>FE176*VLOOKUP('Données projet'!$B$16,Paramètres!$A$1:$I$89,3,0)*VLOOKUP('Données projet'!$B$16,Paramètres!$A$1:$I$89,5,0)</f>
        <v>519.48698880000052</v>
      </c>
      <c r="FG176" s="13">
        <f t="shared" si="182"/>
        <v>115.62023488810887</v>
      </c>
      <c r="FH176" s="20">
        <f t="shared" si="183"/>
        <v>1106.1450812567903</v>
      </c>
      <c r="FI176" s="59">
        <f t="shared" si="131"/>
        <v>1395.0383949095387</v>
      </c>
      <c r="FJ176" s="59">
        <f ca="1">AVERAGE(OFFSET($FI$3,0,0,'Données projet'!$E$16+1,1))-AVERAGE(OFFSET($H$3,0,0,'Données projet'!$E$16+1,1))</f>
        <v>664.59451650228573</v>
      </c>
      <c r="FK176" s="59">
        <f t="shared" si="156"/>
        <v>304.44325029106631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71.551650951946215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71.551650951946215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-6.8212102632969618E-13</v>
      </c>
      <c r="O177" s="13">
        <f>N177*VLOOKUP('Données projet'!$B$9,Paramètres!$A$1:$I$89,3,0)*VLOOKUP('Données projet'!$B$9,Paramètres!$A$1:$I$89,5,0)</f>
        <v>-4.0790837374515837E-13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460.88622650237176</v>
      </c>
      <c r="T177" s="59">
        <f t="shared" si="142"/>
        <v>396.05161661639647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36.497978837766276</v>
      </c>
      <c r="AA177" s="21">
        <f>EXP(-LN(2)/25)*AA176+(1-EXP(-LN(2)/25))/(LN(2)/25)*Calculateur!V177*Calculateur!X177*VLOOKUP('Données projet'!$B$9,Paramètres!$A$1:$I$89,3,0)*0.475*44/12</f>
        <v>2.5748804113752808</v>
      </c>
      <c r="AB177" s="21">
        <f>EXP(-LN(2)/2)*AB176+(1-EXP(-LN(2)/2))/(LN(2)/2)*V177*Y177*VLOOKUP('Données projet'!$B$9,Paramètres!$A$1:$I$89,3,0)*0.475*44/12</f>
        <v>7.300013749257795E-14</v>
      </c>
      <c r="AC177" s="22">
        <f t="shared" si="163"/>
        <v>39.072859249141629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projet'!$B$10,Paramètres!$A$1:$I$89,3,0)*VLOOKUP('Données projet'!$B$10,Paramètres!$A$1:$I$89,5,0)</f>
        <v>-2.1282176021486519E-13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387.50901594883317</v>
      </c>
      <c r="AO177" s="59">
        <f t="shared" si="144"/>
        <v>361.3623790401972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58.348983512625843</v>
      </c>
      <c r="AV177" s="21">
        <f>EXP(-LN(2)/25)*AV176+(1-EXP(-LN(2)/25))/(LN(2)/25)*Calculateur!AQ177*Calculateur!AS177*VLOOKUP('Données projet'!$B$10,Paramètres!$A$1:$I$89,3,0)*0.475*44/12</f>
        <v>5.100938653533162</v>
      </c>
      <c r="AW177" s="21">
        <f>EXP(-LN(2)/2)*AW176+(1-EXP(-LN(2)/2))/(LN(2)/2)*AQ177*AT177*VLOOKUP('Données projet'!$B$10,Paramètres!$A$1:$I$89,3,0)*0.475*44/12</f>
        <v>7.1696339903751665E-10</v>
      </c>
      <c r="AX177" s="21">
        <f t="shared" si="166"/>
        <v>63.449922166875972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545.65</v>
      </c>
      <c r="BB177" s="12">
        <f>VLOOKUP(A177,'Données projet'!$A$87:$I$107,9,0)</f>
        <v>8.5459999999999976</v>
      </c>
      <c r="BC177" s="12">
        <f t="array" ref="BC177">INDEX(BB:BB,MIN(IF(ISNUMBER(BB177:BB373),ROW(BB177:BB373),"")))</f>
        <v>8.5459999999999976</v>
      </c>
      <c r="BD177" s="12">
        <f>IF('Données projet'!$A$88&gt;35,BD176+BC177-BL176,IF(A177&lt;'Données projet'!$A$88,$BA$205^A177,IF(A177='Données projet'!$A$88,'Données projet'!$B$88,BD176+BC177-BL176)))</f>
        <v>545.65000000000055</v>
      </c>
      <c r="BE177" s="13">
        <f>BD177*VLOOKUP('Données projet'!$B$11,Paramètres!$A$1:$I$89,3,0)*VLOOKUP('Données projet'!$B$11,Paramètres!$A$1:$I$89,5,0)</f>
        <v>493.7041200000005</v>
      </c>
      <c r="BF177" s="13">
        <f t="shared" si="167"/>
        <v>110.53486532995269</v>
      </c>
      <c r="BG177" s="20">
        <f t="shared" si="168"/>
        <v>1052.3828994496685</v>
      </c>
      <c r="BH177" s="59">
        <f t="shared" si="116"/>
        <v>1341.3532375174782</v>
      </c>
      <c r="BI177" s="59">
        <f ca="1">AVERAGE(OFFSET($BH$3,0,0,'Données projet'!$E$11+1,1))-AVERAGE(OFFSET($H$3,0,0,'Données projet'!$E$11+1,1))</f>
        <v>627.65081154031589</v>
      </c>
      <c r="BJ177" s="59">
        <f t="shared" si="146"/>
        <v>288.78083487077618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0.34400000000000003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139.52069574293077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139.52069574293077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545.65</v>
      </c>
      <c r="BW177" s="12">
        <f>VLOOKUP(A177,'Données projet'!$A$113:$I$133,9,0)</f>
        <v>8.5459999999999976</v>
      </c>
      <c r="BX177" s="12">
        <f t="array" ref="BX177">INDEX(BW:BW,MIN(IF(ISNUMBER(BW177:BW373),ROW(BW177:BW373),"")))</f>
        <v>8.5459999999999976</v>
      </c>
      <c r="BY177" s="12">
        <f>IF('Données projet'!$A$114&gt;35,BY176+BX177-CG176,IF(A177&lt;'Données projet'!$A$114,$BV$205^A177,IF(A177='Données projet'!$A$114,'Données projet'!$B$114,BY176+BX177-CG176)))</f>
        <v>545.65000000000055</v>
      </c>
      <c r="BZ177" s="13">
        <f>BY177*VLOOKUP('Données projet'!$B$12,Paramètres!$A$1:$I$89,3,0)*VLOOKUP('Données projet'!$B$12,Paramètres!$A$1:$I$89,5,0)</f>
        <v>553.28910000000053</v>
      </c>
      <c r="CA177" s="13">
        <f t="shared" si="170"/>
        <v>122.24315587188718</v>
      </c>
      <c r="CB177" s="20">
        <f t="shared" si="171"/>
        <v>1176.5520123102044</v>
      </c>
      <c r="CC177" s="59">
        <f t="shared" si="119"/>
        <v>1465.5223503780142</v>
      </c>
      <c r="CD177" s="59">
        <f ca="1">AVERAGE(OFFSET($CC$3,0,0,'Données projet'!$E$12+1,1))-AVERAGE(OFFSET($H$3,0,0,'Données projet'!$E$12+1,1))</f>
        <v>692.2706942067415</v>
      </c>
      <c r="CE177" s="59">
        <f t="shared" si="148"/>
        <v>316.17529091924803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0.34400000000000003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156.35940040156038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156.35940040156038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1.1368683772161603E-13</v>
      </c>
      <c r="CU177" s="17">
        <f>CT177*VLOOKUP('Données projet'!$B$13,Paramètres!$A$1:$I$89,3,0)*VLOOKUP('Données projet'!$B$13,Paramètres!$A$1:$I$89,5,0)</f>
        <v>1.0818439477588981E-13</v>
      </c>
      <c r="CV177" s="13">
        <f t="shared" si="173"/>
        <v>1.6104228458716316E-12</v>
      </c>
      <c r="CW177" s="20">
        <f t="shared" si="174"/>
        <v>2.9932409441277661E-12</v>
      </c>
      <c r="CX177" s="59">
        <f t="shared" si="122"/>
        <v>288.97033806781275</v>
      </c>
      <c r="CY177" s="59">
        <f ca="1">AVERAGE(OFFSET($CX$3,0,0,'Données projet'!$E$13+1,1))-AVERAGE(OFFSET($H$3,0,0,'Données projet'!$E$13+1,1))</f>
        <v>424.5933338095914</v>
      </c>
      <c r="CZ177" s="59">
        <f t="shared" si="150"/>
        <v>159.28977188196134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66.551540822195619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66.551540822195619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-18.333333333333343</v>
      </c>
      <c r="DU177" s="59">
        <f t="shared" si="152"/>
        <v>-18.333333333333343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-18.333333333333343</v>
      </c>
      <c r="EP177" s="59">
        <f t="shared" si="154"/>
        <v>-18.333333333333343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>
        <f>VLOOKUP(A177,'Données projet'!$A$217:$I$237,2,0)</f>
        <v>545.65</v>
      </c>
      <c r="FC177" s="12">
        <f>VLOOKUP(A177,'Données projet'!$A$217:$I$237,9,0)</f>
        <v>8.5459999999999976</v>
      </c>
      <c r="FD177" s="12">
        <f t="array" ref="FD177">INDEX(FC:FC,MIN(IF(ISNUMBER(FC177:FC373),ROW(FC177:FC373),"")))</f>
        <v>8.5459999999999976</v>
      </c>
      <c r="FE177" s="12">
        <f>IF('Données projet'!$A$218&gt;35,FE176+FD177-FM176,IF(A177&lt;'Données projet'!$A$218,$FB$205^A177,IF(A177='Données projet'!$A$218,'Données projet'!$B$218,FE176+FD177-FM176)))</f>
        <v>545.65000000000055</v>
      </c>
      <c r="FF177" s="17">
        <f>FE177*VLOOKUP('Données projet'!$B$16,Paramètres!$A$1:$I$89,3,0)*VLOOKUP('Données projet'!$B$16,Paramètres!$A$1:$I$89,5,0)</f>
        <v>527.75268000000051</v>
      </c>
      <c r="FG177" s="13">
        <f t="shared" si="182"/>
        <v>117.24426494086524</v>
      </c>
      <c r="FH177" s="20">
        <f t="shared" si="183"/>
        <v>1123.369679105341</v>
      </c>
      <c r="FI177" s="59">
        <f t="shared" si="131"/>
        <v>1412.3400171731507</v>
      </c>
      <c r="FJ177" s="59">
        <f ca="1">AVERAGE(OFFSET($FI$3,0,0,'Données projet'!$E$16+1,1))-AVERAGE(OFFSET($H$3,0,0,'Données projet'!$E$16+1,1))</f>
        <v>664.59451650228573</v>
      </c>
      <c r="FK177" s="59">
        <f t="shared" si="156"/>
        <v>304.44325029106631</v>
      </c>
      <c r="FL177" s="15">
        <f>IF(ISNA(VLOOKUP(A177,'Données projet'!$A$217:$I$237,3,0)),0,VLOOKUP(A177,'Données projet'!$A$217:$I$237,3,0))</f>
        <v>15</v>
      </c>
      <c r="FM177" s="15">
        <f>IF(ISNA(VLOOKUP(A177,'Données projet'!$A$217:$I$237,4,0)),0,VLOOKUP(A177,'Données projet'!$A$217:$I$237,4,0))</f>
        <v>214.77</v>
      </c>
      <c r="FN177" s="16">
        <f>IF(ISNA(VLOOKUP(A177,'Données projet'!$A$217:$I$237,5,0)),0%,VLOOKUP(A177,'Données projet'!$A$217:$I$237,5,0)*VLOOKUP('Données projet'!$B$16,Paramètres!$A$1:$I$89,7,0))</f>
        <v>0.34400000000000003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149.1428126907191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149.1428126907191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-6.8212102632969618E-13</v>
      </c>
      <c r="O178" s="13">
        <f>N178*VLOOKUP('Données projet'!$B$9,Paramètres!$A$1:$I$89,3,0)*VLOOKUP('Données projet'!$B$9,Paramètres!$A$1:$I$89,5,0)</f>
        <v>-4.0790837374515837E-13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460.88622650237176</v>
      </c>
      <c r="T178" s="59">
        <f t="shared" si="142"/>
        <v>396.05161661639647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35.782275734326625</v>
      </c>
      <c r="AA178" s="21">
        <f>EXP(-LN(2)/25)*AA177+(1-EXP(-LN(2)/25))/(LN(2)/25)*Calculateur!V178*Calculateur!X178*VLOOKUP('Données projet'!$B$9,Paramètres!$A$1:$I$89,3,0)*0.475*44/12</f>
        <v>2.5044701711191477</v>
      </c>
      <c r="AB178" s="21">
        <f>EXP(-LN(2)/2)*AB177+(1-EXP(-LN(2)/2))/(LN(2)/2)*V178*Y178*VLOOKUP('Données projet'!$B$9,Paramètres!$A$1:$I$89,3,0)*0.475*44/12</f>
        <v>5.1618892248552201E-14</v>
      </c>
      <c r="AC178" s="22">
        <f t="shared" si="163"/>
        <v>38.286745905445819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projet'!$B$10,Paramètres!$A$1:$I$89,3,0)*VLOOKUP('Données projet'!$B$10,Paramètres!$A$1:$I$89,5,0)</f>
        <v>-2.1282176021486519E-13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387.50901594883317</v>
      </c>
      <c r="AO178" s="59">
        <f t="shared" si="144"/>
        <v>361.3623790401972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57.204795535309032</v>
      </c>
      <c r="AV178" s="21">
        <f>EXP(-LN(2)/25)*AV177+(1-EXP(-LN(2)/25))/(LN(2)/25)*Calculateur!AQ178*Calculateur!AS178*VLOOKUP('Données projet'!$B$10,Paramètres!$A$1:$I$89,3,0)*0.475*44/12</f>
        <v>4.9614532178055919</v>
      </c>
      <c r="AW178" s="21">
        <f>EXP(-LN(2)/2)*AW177+(1-EXP(-LN(2)/2))/(LN(2)/2)*AQ178*AT178*VLOOKUP('Données projet'!$B$10,Paramètres!$A$1:$I$89,3,0)*0.475*44/12</f>
        <v>5.0696968132198463E-10</v>
      </c>
      <c r="AX178" s="21">
        <f t="shared" si="166"/>
        <v>62.166248753621595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5.3866666666666747</v>
      </c>
      <c r="BD178" s="12">
        <f>IF('Données projet'!$A$88&gt;35,BD177+BC178-BL177,IF(A178&lt;'Données projet'!$A$88,$BA$205^A178,IF(A178='Données projet'!$A$88,'Données projet'!$B$88,BD177+BC178-BL177)))</f>
        <v>336.26666666666722</v>
      </c>
      <c r="BE178" s="13">
        <f>BD178*VLOOKUP('Données projet'!$B$11,Paramètres!$A$1:$I$89,3,0)*VLOOKUP('Données projet'!$B$11,Paramètres!$A$1:$I$89,5,0)</f>
        <v>304.2540800000005</v>
      </c>
      <c r="BF178" s="13">
        <f t="shared" si="167"/>
        <v>72.067549889405967</v>
      </c>
      <c r="BG178" s="20">
        <f t="shared" si="168"/>
        <v>655.42683872404962</v>
      </c>
      <c r="BH178" s="59">
        <f t="shared" si="116"/>
        <v>944.47286500552002</v>
      </c>
      <c r="BI178" s="59">
        <f ca="1">AVERAGE(OFFSET($BH$3,0,0,'Données projet'!$E$11+1,1))-AVERAGE(OFFSET($H$3,0,0,'Données projet'!$E$11+1,1))</f>
        <v>627.65081154031589</v>
      </c>
      <c r="BJ178" s="59">
        <f t="shared" si="146"/>
        <v>288.78083487077618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136.78477999863344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136.78477999863344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5.3866666666666747</v>
      </c>
      <c r="BY178" s="12">
        <f>IF('Données projet'!$A$114&gt;35,BY177+BX178-CG177,IF(A178&lt;'Données projet'!$A$114,$BV$205^A178,IF(A178='Données projet'!$A$114,'Données projet'!$B$114,BY177+BX178-CG177)))</f>
        <v>336.26666666666722</v>
      </c>
      <c r="BZ178" s="13">
        <f>BY178*VLOOKUP('Données projet'!$B$12,Paramètres!$A$1:$I$89,3,0)*VLOOKUP('Données projet'!$B$12,Paramètres!$A$1:$I$89,5,0)</f>
        <v>340.97440000000057</v>
      </c>
      <c r="CA178" s="13">
        <f t="shared" si="170"/>
        <v>79.70123008824433</v>
      </c>
      <c r="CB178" s="20">
        <f t="shared" si="171"/>
        <v>732.67672240369313</v>
      </c>
      <c r="CC178" s="59">
        <f t="shared" si="119"/>
        <v>1021.7227486851635</v>
      </c>
      <c r="CD178" s="59">
        <f ca="1">AVERAGE(OFFSET($CC$3,0,0,'Données projet'!$E$12+1,1))-AVERAGE(OFFSET($H$3,0,0,'Données projet'!$E$12+1,1))</f>
        <v>692.2706942067415</v>
      </c>
      <c r="CE178" s="59">
        <f t="shared" si="148"/>
        <v>316.17529091924803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153.29328792950304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153.29328792950304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1.1368683772161603E-13</v>
      </c>
      <c r="CU178" s="17">
        <f>CT178*VLOOKUP('Données projet'!$B$13,Paramètres!$A$1:$I$89,3,0)*VLOOKUP('Données projet'!$B$13,Paramètres!$A$1:$I$89,5,0)</f>
        <v>1.0818439477588981E-13</v>
      </c>
      <c r="CV178" s="13">
        <f t="shared" si="173"/>
        <v>1.6104228458716316E-12</v>
      </c>
      <c r="CW178" s="20">
        <f t="shared" si="174"/>
        <v>2.9932409441277661E-12</v>
      </c>
      <c r="CX178" s="59">
        <f t="shared" si="122"/>
        <v>289.04602628147342</v>
      </c>
      <c r="CY178" s="59">
        <f ca="1">AVERAGE(OFFSET($CX$3,0,0,'Données projet'!$E$13+1,1))-AVERAGE(OFFSET($H$3,0,0,'Données projet'!$E$13+1,1))</f>
        <v>424.5933338095914</v>
      </c>
      <c r="CZ178" s="59">
        <f t="shared" si="150"/>
        <v>159.28977188196134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65.246505699104091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65.246505699104091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-18.333333333333343</v>
      </c>
      <c r="DU178" s="59">
        <f t="shared" si="152"/>
        <v>-18.333333333333343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-18.333333333333343</v>
      </c>
      <c r="EP178" s="59">
        <f t="shared" si="154"/>
        <v>-18.333333333333343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5.3866666666666747</v>
      </c>
      <c r="FE178" s="12">
        <f>IF('Données projet'!$A$218&gt;35,FE177+FD178-FM177,IF(A178&lt;'Données projet'!$A$218,$FB$205^A178,IF(A178='Données projet'!$A$218,'Données projet'!$B$218,FE177+FD178-FM177)))</f>
        <v>336.26666666666722</v>
      </c>
      <c r="FF178" s="17">
        <f>FE178*VLOOKUP('Données projet'!$B$16,Paramètres!$A$1:$I$89,3,0)*VLOOKUP('Données projet'!$B$16,Paramètres!$A$1:$I$89,5,0)</f>
        <v>325.23712000000052</v>
      </c>
      <c r="FG178" s="13">
        <f t="shared" si="182"/>
        <v>76.442006670477085</v>
      </c>
      <c r="FH178" s="20">
        <f t="shared" si="183"/>
        <v>699.59114561774857</v>
      </c>
      <c r="FI178" s="59">
        <f t="shared" si="131"/>
        <v>988.63717189921897</v>
      </c>
      <c r="FJ178" s="59">
        <f ca="1">AVERAGE(OFFSET($FI$3,0,0,'Données projet'!$E$16+1,1))-AVERAGE(OFFSET($H$3,0,0,'Données projet'!$E$16+1,1))</f>
        <v>664.59451650228573</v>
      </c>
      <c r="FK178" s="59">
        <f t="shared" si="156"/>
        <v>304.44325029106631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146.21821310198749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146.21821310198749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-6.8212102632969618E-13</v>
      </c>
      <c r="O179" s="13">
        <f>N179*VLOOKUP('Données projet'!$B$9,Paramètres!$A$1:$I$89,3,0)*VLOOKUP('Données projet'!$B$9,Paramètres!$A$1:$I$89,5,0)</f>
        <v>-4.0790837374515837E-13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460.88622650237176</v>
      </c>
      <c r="T179" s="59">
        <f t="shared" si="142"/>
        <v>396.05161661639647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35.080607132209636</v>
      </c>
      <c r="AA179" s="21">
        <f>EXP(-LN(2)/25)*AA178+(1-EXP(-LN(2)/25))/(LN(2)/25)*Calculateur!V179*Calculateur!X179*VLOOKUP('Données projet'!$B$9,Paramètres!$A$1:$I$89,3,0)*0.475*44/12</f>
        <v>2.4359853025855323</v>
      </c>
      <c r="AB179" s="21">
        <f>EXP(-LN(2)/2)*AB178+(1-EXP(-LN(2)/2))/(LN(2)/2)*V179*Y179*VLOOKUP('Données projet'!$B$9,Paramètres!$A$1:$I$89,3,0)*0.475*44/12</f>
        <v>3.6500068746288975E-14</v>
      </c>
      <c r="AC179" s="22">
        <f t="shared" si="163"/>
        <v>37.516592434795207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projet'!$B$10,Paramètres!$A$1:$I$89,3,0)*VLOOKUP('Données projet'!$B$10,Paramètres!$A$1:$I$89,5,0)</f>
        <v>-2.1282176021486519E-13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387.50901594883317</v>
      </c>
      <c r="AO179" s="59">
        <f t="shared" si="144"/>
        <v>361.3623790401972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56.083044386341648</v>
      </c>
      <c r="AV179" s="21">
        <f>EXP(-LN(2)/25)*AV178+(1-EXP(-LN(2)/25))/(LN(2)/25)*Calculateur!AQ179*Calculateur!AS179*VLOOKUP('Données projet'!$B$10,Paramètres!$A$1:$I$89,3,0)*0.475*44/12</f>
        <v>4.8257820186532125</v>
      </c>
      <c r="AW179" s="21">
        <f>EXP(-LN(2)/2)*AW178+(1-EXP(-LN(2)/2))/(LN(2)/2)*AQ179*AT179*VLOOKUP('Données projet'!$B$10,Paramètres!$A$1:$I$89,3,0)*0.475*44/12</f>
        <v>3.5848169951875832E-10</v>
      </c>
      <c r="AX179" s="21">
        <f t="shared" si="166"/>
        <v>60.908826405353345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5.3866666666666747</v>
      </c>
      <c r="BD179" s="12">
        <f>IF('Données projet'!$A$88&gt;35,BD178+BC179-BL178,IF(A179&lt;'Données projet'!$A$88,$BA$205^A179,IF(A179='Données projet'!$A$88,'Données projet'!$B$88,BD178+BC179-BL178)))</f>
        <v>341.65333333333388</v>
      </c>
      <c r="BE179" s="13">
        <f>BD179*VLOOKUP('Données projet'!$B$11,Paramètres!$A$1:$I$89,3,0)*VLOOKUP('Données projet'!$B$11,Paramètres!$A$1:$I$89,5,0)</f>
        <v>309.12793600000049</v>
      </c>
      <c r="BF179" s="13">
        <f t="shared" si="167"/>
        <v>73.086678650713282</v>
      </c>
      <c r="BG179" s="20">
        <f t="shared" si="168"/>
        <v>665.6904538499931</v>
      </c>
      <c r="BH179" s="59">
        <f t="shared" si="116"/>
        <v>954.81085532383076</v>
      </c>
      <c r="BI179" s="59">
        <f ca="1">AVERAGE(OFFSET($BH$3,0,0,'Données projet'!$E$11+1,1))-AVERAGE(OFFSET($H$3,0,0,'Données projet'!$E$11+1,1))</f>
        <v>627.65081154031589</v>
      </c>
      <c r="BJ179" s="59">
        <f t="shared" si="146"/>
        <v>288.78083487077618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134.10251389333797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134.10251389333797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5.3866666666666747</v>
      </c>
      <c r="BY179" s="12">
        <f>IF('Données projet'!$A$114&gt;35,BY178+BX179-CG178,IF(A179&lt;'Données projet'!$A$114,$BV$205^A179,IF(A179='Données projet'!$A$114,'Données projet'!$B$114,BY178+BX179-CG178)))</f>
        <v>341.65333333333388</v>
      </c>
      <c r="BZ179" s="13">
        <f>BY179*VLOOKUP('Données projet'!$B$12,Paramètres!$A$1:$I$89,3,0)*VLOOKUP('Données projet'!$B$12,Paramètres!$A$1:$I$89,5,0)</f>
        <v>346.43648000000053</v>
      </c>
      <c r="CA179" s="13">
        <f t="shared" si="170"/>
        <v>80.828309002667666</v>
      </c>
      <c r="CB179" s="20">
        <f t="shared" si="171"/>
        <v>744.15284084631367</v>
      </c>
      <c r="CC179" s="59">
        <f t="shared" si="119"/>
        <v>1033.2732423201512</v>
      </c>
      <c r="CD179" s="59">
        <f ca="1">AVERAGE(OFFSET($CC$3,0,0,'Données projet'!$E$12+1,1))-AVERAGE(OFFSET($H$3,0,0,'Données projet'!$E$12+1,1))</f>
        <v>692.2706942067415</v>
      </c>
      <c r="CE179" s="59">
        <f t="shared" si="148"/>
        <v>316.17529091924803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150.28730005287881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150.28730005287881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1.1368683772161603E-13</v>
      </c>
      <c r="CU179" s="17">
        <f>CT179*VLOOKUP('Données projet'!$B$13,Paramètres!$A$1:$I$89,3,0)*VLOOKUP('Données projet'!$B$13,Paramètres!$A$1:$I$89,5,0)</f>
        <v>1.0818439477588981E-13</v>
      </c>
      <c r="CV179" s="13">
        <f t="shared" si="173"/>
        <v>1.6104228458716316E-12</v>
      </c>
      <c r="CW179" s="20">
        <f t="shared" si="174"/>
        <v>2.9932409441277661E-12</v>
      </c>
      <c r="CX179" s="59">
        <f t="shared" si="122"/>
        <v>289.12040147384062</v>
      </c>
      <c r="CY179" s="59">
        <f ca="1">AVERAGE(OFFSET($CX$3,0,0,'Données projet'!$E$13+1,1))-AVERAGE(OFFSET($H$3,0,0,'Données projet'!$E$13+1,1))</f>
        <v>424.5933338095914</v>
      </c>
      <c r="CZ179" s="59">
        <f t="shared" si="150"/>
        <v>159.28977188196134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63.967061518783566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63.967061518783566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-18.333333333333343</v>
      </c>
      <c r="DU179" s="59">
        <f t="shared" si="152"/>
        <v>-18.333333333333343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-18.333333333333343</v>
      </c>
      <c r="EP179" s="59">
        <f t="shared" si="154"/>
        <v>-18.333333333333343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5.3866666666666747</v>
      </c>
      <c r="FE179" s="12">
        <f>IF('Données projet'!$A$218&gt;35,FE178+FD179-FM178,IF(A179&lt;'Données projet'!$A$218,$FB$205^A179,IF(A179='Données projet'!$A$218,'Données projet'!$B$218,FE178+FD179-FM178)))</f>
        <v>341.65333333333388</v>
      </c>
      <c r="FF179" s="17">
        <f>FE179*VLOOKUP('Données projet'!$B$16,Paramètres!$A$1:$I$89,3,0)*VLOOKUP('Données projet'!$B$16,Paramètres!$A$1:$I$89,5,0)</f>
        <v>330.44710400000054</v>
      </c>
      <c r="FG179" s="13">
        <f t="shared" si="182"/>
        <v>77.522995932488612</v>
      </c>
      <c r="FH179" s="20">
        <f t="shared" si="183"/>
        <v>710.54792404908528</v>
      </c>
      <c r="FI179" s="59">
        <f t="shared" si="131"/>
        <v>999.66832552292294</v>
      </c>
      <c r="FJ179" s="59">
        <f ca="1">AVERAGE(OFFSET($FI$3,0,0,'Données projet'!$E$16+1,1))-AVERAGE(OFFSET($H$3,0,0,'Données projet'!$E$16+1,1))</f>
        <v>664.59451650228573</v>
      </c>
      <c r="FK179" s="59">
        <f t="shared" si="156"/>
        <v>304.44325029106631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143.3509631273613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143.3509631273613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-6.8212102632969618E-13</v>
      </c>
      <c r="O180" s="13">
        <f>N180*VLOOKUP('Données projet'!$B$9,Paramètres!$A$1:$I$89,3,0)*VLOOKUP('Données projet'!$B$9,Paramètres!$A$1:$I$89,5,0)</f>
        <v>-4.0790837374515837E-13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460.88622650237176</v>
      </c>
      <c r="T180" s="59">
        <f t="shared" si="142"/>
        <v>396.05161661639647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34.392697823404575</v>
      </c>
      <c r="AA180" s="21">
        <f>EXP(-LN(2)/25)*AA179+(1-EXP(-LN(2)/25))/(LN(2)/25)*Calculateur!V180*Calculateur!X180*VLOOKUP('Données projet'!$B$9,Paramètres!$A$1:$I$89,3,0)*0.475*44/12</f>
        <v>2.3693731563834315</v>
      </c>
      <c r="AB180" s="21">
        <f>EXP(-LN(2)/2)*AB179+(1-EXP(-LN(2)/2))/(LN(2)/2)*V180*Y180*VLOOKUP('Données projet'!$B$9,Paramètres!$A$1:$I$89,3,0)*0.475*44/12</f>
        <v>2.5809446124276101E-14</v>
      </c>
      <c r="AC180" s="22">
        <f t="shared" si="163"/>
        <v>36.762070979788035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projet'!$B$10,Paramètres!$A$1:$I$89,3,0)*VLOOKUP('Données projet'!$B$10,Paramètres!$A$1:$I$89,5,0)</f>
        <v>-2.1282176021486519E-13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387.50901594883317</v>
      </c>
      <c r="AO180" s="59">
        <f t="shared" si="144"/>
        <v>361.3623790401972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54.983290093204879</v>
      </c>
      <c r="AV180" s="21">
        <f>EXP(-LN(2)/25)*AV179+(1-EXP(-LN(2)/25))/(LN(2)/25)*Calculateur!AQ180*Calculateur!AS180*VLOOKUP('Données projet'!$B$10,Paramètres!$A$1:$I$89,3,0)*0.475*44/12</f>
        <v>4.6938207555762936</v>
      </c>
      <c r="AW180" s="21">
        <f>EXP(-LN(2)/2)*AW179+(1-EXP(-LN(2)/2))/(LN(2)/2)*AQ180*AT180*VLOOKUP('Données projet'!$B$10,Paramètres!$A$1:$I$89,3,0)*0.475*44/12</f>
        <v>2.5348484066099231E-10</v>
      </c>
      <c r="AX180" s="21">
        <f t="shared" si="166"/>
        <v>59.677110849034655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347.04</v>
      </c>
      <c r="BB180" s="12">
        <f>VLOOKUP(A180,'Données projet'!$A$87:$I$107,9,0)</f>
        <v>5.3866666666666747</v>
      </c>
      <c r="BC180" s="12">
        <f t="array" ref="BC180">INDEX(BB:BB,MIN(IF(ISNUMBER(BB180:BB376),ROW(BB180:BB376),"")))</f>
        <v>5.3866666666666747</v>
      </c>
      <c r="BD180" s="12">
        <f>IF('Données projet'!$A$88&gt;35,BD179+BC180-BL179,IF(A180&lt;'Données projet'!$A$88,$BA$205^A180,IF(A180='Données projet'!$A$88,'Données projet'!$B$88,BD179+BC180-BL179)))</f>
        <v>347.04000000000053</v>
      </c>
      <c r="BE180" s="13">
        <f>BD180*VLOOKUP('Données projet'!$B$11,Paramètres!$A$1:$I$89,3,0)*VLOOKUP('Données projet'!$B$11,Paramètres!$A$1:$I$89,5,0)</f>
        <v>314.00179200000048</v>
      </c>
      <c r="BF180" s="13">
        <f t="shared" si="167"/>
        <v>74.103938722927282</v>
      </c>
      <c r="BG180" s="20">
        <f t="shared" si="168"/>
        <v>675.95081434243241</v>
      </c>
      <c r="BH180" s="59">
        <f t="shared" si="116"/>
        <v>965.14430076532767</v>
      </c>
      <c r="BI180" s="59">
        <f ca="1">AVERAGE(OFFSET($BH$3,0,0,'Données projet'!$E$11+1,1))-AVERAGE(OFFSET($H$3,0,0,'Données projet'!$E$11+1,1))</f>
        <v>627.65081154031589</v>
      </c>
      <c r="BJ180" s="59">
        <f t="shared" si="146"/>
        <v>288.78083487077618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0.34400000000000003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171.10730334928334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171.10730334928334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347.04</v>
      </c>
      <c r="BW180" s="12">
        <f>VLOOKUP(A180,'Données projet'!$A$113:$I$133,9,0)</f>
        <v>5.3866666666666747</v>
      </c>
      <c r="BX180" s="12">
        <f t="array" ref="BX180">INDEX(BW:BW,MIN(IF(ISNUMBER(BW180:BW376),ROW(BW180:BW376),"")))</f>
        <v>5.3866666666666747</v>
      </c>
      <c r="BY180" s="12">
        <f>IF('Données projet'!$A$114&gt;35,BY179+BX180-CG179,IF(A180&lt;'Données projet'!$A$114,$BV$205^A180,IF(A180='Données projet'!$A$114,'Données projet'!$B$114,BY179+BX180-CG179)))</f>
        <v>347.04000000000053</v>
      </c>
      <c r="BZ180" s="13">
        <f>BY180*VLOOKUP('Données projet'!$B$12,Paramètres!$A$1:$I$89,3,0)*VLOOKUP('Données projet'!$B$12,Paramètres!$A$1:$I$89,5,0)</f>
        <v>351.8985600000006</v>
      </c>
      <c r="CA180" s="13">
        <f t="shared" si="170"/>
        <v>81.953321289050805</v>
      </c>
      <c r="CB180" s="20">
        <f t="shared" si="171"/>
        <v>755.62535991176446</v>
      </c>
      <c r="CC180" s="59">
        <f t="shared" si="119"/>
        <v>1044.8188463346596</v>
      </c>
      <c r="CD180" s="59">
        <f ca="1">AVERAGE(OFFSET($CC$3,0,0,'Données projet'!$E$12+1,1))-AVERAGE(OFFSET($H$3,0,0,'Données projet'!$E$12+1,1))</f>
        <v>692.2706942067415</v>
      </c>
      <c r="CE180" s="59">
        <f t="shared" si="148"/>
        <v>316.17529091924803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0.34400000000000003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191.75818478798999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191.75818478798999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1.1368683772161603E-13</v>
      </c>
      <c r="CU180" s="17">
        <f>CT180*VLOOKUP('Données projet'!$B$13,Paramètres!$A$1:$I$89,3,0)*VLOOKUP('Données projet'!$B$13,Paramètres!$A$1:$I$89,5,0)</f>
        <v>1.0818439477588981E-13</v>
      </c>
      <c r="CV180" s="13">
        <f t="shared" si="173"/>
        <v>1.6104228458716316E-12</v>
      </c>
      <c r="CW180" s="20">
        <f t="shared" si="174"/>
        <v>2.9932409441277661E-12</v>
      </c>
      <c r="CX180" s="59">
        <f t="shared" si="122"/>
        <v>289.19348642289827</v>
      </c>
      <c r="CY180" s="59">
        <f ca="1">AVERAGE(OFFSET($CX$3,0,0,'Données projet'!$E$13+1,1))-AVERAGE(OFFSET($H$3,0,0,'Données projet'!$E$13+1,1))</f>
        <v>424.5933338095914</v>
      </c>
      <c r="CZ180" s="59">
        <f t="shared" si="150"/>
        <v>159.28977188196134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62.71270645845523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62.71270645845523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-18.333333333333343</v>
      </c>
      <c r="DU180" s="59">
        <f t="shared" si="152"/>
        <v>-18.333333333333343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-18.333333333333343</v>
      </c>
      <c r="EP180" s="59">
        <f t="shared" si="154"/>
        <v>-18.333333333333343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>
        <f>VLOOKUP(A180,'Données projet'!$A$217:$I$237,2,0)</f>
        <v>347.04</v>
      </c>
      <c r="FC180" s="12">
        <f>VLOOKUP(A180,'Données projet'!$A$217:$I$237,9,0)</f>
        <v>5.3866666666666747</v>
      </c>
      <c r="FD180" s="12">
        <f t="array" ref="FD180">INDEX(FC:FC,MIN(IF(ISNUMBER(FC180:FC376),ROW(FC180:FC376),"")))</f>
        <v>5.3866666666666747</v>
      </c>
      <c r="FE180" s="12">
        <f>IF('Données projet'!$A$218&gt;35,FE179+FD180-FM179,IF(A180&lt;'Données projet'!$A$218,$FB$205^A180,IF(A180='Données projet'!$A$218,'Données projet'!$B$218,FE179+FD180-FM179)))</f>
        <v>347.04000000000053</v>
      </c>
      <c r="FF180" s="17">
        <f>FE180*VLOOKUP('Données projet'!$B$16,Paramètres!$A$1:$I$89,3,0)*VLOOKUP('Données projet'!$B$16,Paramètres!$A$1:$I$89,5,0)</f>
        <v>335.6570880000005</v>
      </c>
      <c r="FG180" s="13">
        <f t="shared" si="182"/>
        <v>78.602003077106744</v>
      </c>
      <c r="FH180" s="20">
        <f t="shared" si="183"/>
        <v>721.50125029262847</v>
      </c>
      <c r="FI180" s="59">
        <f t="shared" si="131"/>
        <v>1010.6947367155237</v>
      </c>
      <c r="FJ180" s="59">
        <f ca="1">AVERAGE(OFFSET($FI$3,0,0,'Données projet'!$E$16+1,1))-AVERAGE(OFFSET($H$3,0,0,'Données projet'!$E$16+1,1))</f>
        <v>664.59451650228573</v>
      </c>
      <c r="FK180" s="59">
        <f t="shared" si="156"/>
        <v>304.44325029106631</v>
      </c>
      <c r="FL180" s="15">
        <f>IF(ISNA(VLOOKUP(A180,'Données projet'!$A$217:$I$237,3,0)),0,VLOOKUP(A180,'Données projet'!$A$217:$I$237,3,0))</f>
        <v>16</v>
      </c>
      <c r="FM180" s="15">
        <f>IF(ISNA(VLOOKUP(A180,'Données projet'!$A$217:$I$237,4,0)),0,VLOOKUP(A180,'Données projet'!$A$217:$I$237,4,0))</f>
        <v>115.19</v>
      </c>
      <c r="FN180" s="16">
        <f>IF(ISNA(VLOOKUP(A180,'Données projet'!$A$217:$I$237,5,0)),0%,VLOOKUP(A180,'Données projet'!$A$217:$I$237,5,0)*VLOOKUP('Données projet'!$B$16,Paramètres!$A$1:$I$89,7,0))</f>
        <v>0.34400000000000003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182.90780702854428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182.90780702854428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-6.8212102632969618E-13</v>
      </c>
      <c r="O181" s="13">
        <f>N181*VLOOKUP('Données projet'!$B$9,Paramètres!$A$1:$I$89,3,0)*VLOOKUP('Données projet'!$B$9,Paramètres!$A$1:$I$89,5,0)</f>
        <v>-4.0790837374515837E-13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460.88622650237176</v>
      </c>
      <c r="T181" s="59">
        <f t="shared" si="142"/>
        <v>396.05161661639647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33.71827799656193</v>
      </c>
      <c r="AA181" s="21">
        <f>EXP(-LN(2)/25)*AA180+(1-EXP(-LN(2)/25))/(LN(2)/25)*Calculateur!V181*Calculateur!X181*VLOOKUP('Données projet'!$B$9,Paramètres!$A$1:$I$89,3,0)*0.475*44/12</f>
        <v>2.3045825228222077</v>
      </c>
      <c r="AB181" s="21">
        <f>EXP(-LN(2)/2)*AB180+(1-EXP(-LN(2)/2))/(LN(2)/2)*V181*Y181*VLOOKUP('Données projet'!$B$9,Paramètres!$A$1:$I$89,3,0)*0.475*44/12</f>
        <v>1.8250034373144488E-14</v>
      </c>
      <c r="AC181" s="22">
        <f t="shared" si="163"/>
        <v>36.02286051938416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projet'!$B$10,Paramètres!$A$1:$I$89,3,0)*VLOOKUP('Données projet'!$B$10,Paramètres!$A$1:$I$89,5,0)</f>
        <v>-2.1282176021486519E-13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387.50901594883317</v>
      </c>
      <c r="AO181" s="59">
        <f t="shared" si="144"/>
        <v>361.3623790401972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53.905101310972633</v>
      </c>
      <c r="AV181" s="21">
        <f>EXP(-LN(2)/25)*AV180+(1-EXP(-LN(2)/25))/(LN(2)/25)*Calculateur!AQ181*Calculateur!AS181*VLOOKUP('Données projet'!$B$10,Paramètres!$A$1:$I$89,3,0)*0.475*44/12</f>
        <v>4.565467980177754</v>
      </c>
      <c r="AW181" s="21">
        <f>EXP(-LN(2)/2)*AW180+(1-EXP(-LN(2)/2))/(LN(2)/2)*AQ181*AT181*VLOOKUP('Données projet'!$B$10,Paramètres!$A$1:$I$89,3,0)*0.475*44/12</f>
        <v>1.7924084975937916E-10</v>
      </c>
      <c r="AX181" s="21">
        <f t="shared" si="166"/>
        <v>58.470569291329625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3.2566666666666606</v>
      </c>
      <c r="BD181" s="12">
        <f>IF('Données projet'!$A$88&gt;35,BD180+BC181-BL180,IF(A181&lt;'Données projet'!$A$88,$BA$205^A181,IF(A181='Données projet'!$A$88,'Données projet'!$B$88,BD180+BC181-BL180)))</f>
        <v>235.10666666666719</v>
      </c>
      <c r="BE181" s="13">
        <f>BD181*VLOOKUP('Données projet'!$B$11,Paramètres!$A$1:$I$89,3,0)*VLOOKUP('Données projet'!$B$11,Paramètres!$A$1:$I$89,5,0)</f>
        <v>212.72451200000049</v>
      </c>
      <c r="BF181" s="13">
        <f t="shared" si="167"/>
        <v>52.530512718953382</v>
      </c>
      <c r="BG181" s="20">
        <f t="shared" si="168"/>
        <v>461.98583471884461</v>
      </c>
      <c r="BH181" s="59">
        <f t="shared" si="116"/>
        <v>751.25113823032484</v>
      </c>
      <c r="BI181" s="59">
        <f ca="1">AVERAGE(OFFSET($BH$3,0,0,'Données projet'!$E$11+1,1))-AVERAGE(OFFSET($H$3,0,0,'Données projet'!$E$11+1,1))</f>
        <v>627.65081154031589</v>
      </c>
      <c r="BJ181" s="59">
        <f t="shared" si="146"/>
        <v>288.78083487077618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167.75199349575374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167.75199349575374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3.2566666666666606</v>
      </c>
      <c r="BY181" s="12">
        <f>IF('Données projet'!$A$114&gt;35,BY180+BX181-CG180,IF(A181&lt;'Données projet'!$A$114,$BV$205^A181,IF(A181='Données projet'!$A$114,'Données projet'!$B$114,BY180+BX181-CG180)))</f>
        <v>235.10666666666719</v>
      </c>
      <c r="BZ181" s="13">
        <f>BY181*VLOOKUP('Données projet'!$B$12,Paramètres!$A$1:$I$89,3,0)*VLOOKUP('Données projet'!$B$12,Paramètres!$A$1:$I$89,5,0)</f>
        <v>238.39816000000053</v>
      </c>
      <c r="CA181" s="13">
        <f t="shared" si="170"/>
        <v>58.09475259380514</v>
      </c>
      <c r="CB181" s="20">
        <f t="shared" si="171"/>
        <v>516.39182276754491</v>
      </c>
      <c r="CC181" s="59">
        <f t="shared" si="119"/>
        <v>805.65712627902508</v>
      </c>
      <c r="CD181" s="59">
        <f ca="1">AVERAGE(OFFSET($CC$3,0,0,'Données projet'!$E$12+1,1))-AVERAGE(OFFSET($H$3,0,0,'Données projet'!$E$12+1,1))</f>
        <v>692.2706942067415</v>
      </c>
      <c r="CE181" s="59">
        <f t="shared" si="148"/>
        <v>316.17529091924803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187.99792374524128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187.99792374524128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1.1368683772161603E-13</v>
      </c>
      <c r="CU181" s="17">
        <f>CT181*VLOOKUP('Données projet'!$B$13,Paramètres!$A$1:$I$89,3,0)*VLOOKUP('Données projet'!$B$13,Paramètres!$A$1:$I$89,5,0)</f>
        <v>1.0818439477588981E-13</v>
      </c>
      <c r="CV181" s="13">
        <f t="shared" si="173"/>
        <v>1.6104228458716316E-12</v>
      </c>
      <c r="CW181" s="20">
        <f t="shared" si="174"/>
        <v>2.9932409441277661E-12</v>
      </c>
      <c r="CX181" s="59">
        <f t="shared" si="122"/>
        <v>289.26530351148318</v>
      </c>
      <c r="CY181" s="59">
        <f ca="1">AVERAGE(OFFSET($CX$3,0,0,'Données projet'!$E$13+1,1))-AVERAGE(OFFSET($H$3,0,0,'Données projet'!$E$13+1,1))</f>
        <v>424.5933338095914</v>
      </c>
      <c r="CZ181" s="59">
        <f t="shared" si="150"/>
        <v>159.28977188196134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61.482948535778895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61.482948535778895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-18.333333333333343</v>
      </c>
      <c r="DU181" s="59">
        <f t="shared" si="152"/>
        <v>-18.333333333333343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-18.333333333333343</v>
      </c>
      <c r="EP181" s="59">
        <f t="shared" si="154"/>
        <v>-18.333333333333343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3.2566666666666606</v>
      </c>
      <c r="FE181" s="12">
        <f>IF('Données projet'!$A$218&gt;35,FE180+FD181-FM180,IF(A181&lt;'Données projet'!$A$218,$FB$205^A181,IF(A181='Données projet'!$A$218,'Données projet'!$B$218,FE180+FD181-FM180)))</f>
        <v>235.10666666666719</v>
      </c>
      <c r="FF181" s="17">
        <f>FE181*VLOOKUP('Données projet'!$B$16,Paramètres!$A$1:$I$89,3,0)*VLOOKUP('Données projet'!$B$16,Paramètres!$A$1:$I$89,5,0)</f>
        <v>227.39516800000052</v>
      </c>
      <c r="FG181" s="13">
        <f t="shared" si="182"/>
        <v>55.719083135586125</v>
      </c>
      <c r="FH181" s="20">
        <f t="shared" si="183"/>
        <v>493.09065406114672</v>
      </c>
      <c r="FI181" s="59">
        <f t="shared" si="131"/>
        <v>782.35595757262695</v>
      </c>
      <c r="FJ181" s="59">
        <f ca="1">AVERAGE(OFFSET($FI$3,0,0,'Données projet'!$E$16+1,1))-AVERAGE(OFFSET($H$3,0,0,'Données projet'!$E$16+1,1))</f>
        <v>664.59451650228573</v>
      </c>
      <c r="FK181" s="59">
        <f t="shared" si="156"/>
        <v>304.44325029106631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179.32109649546092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179.32109649546092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-6.8212102632969618E-13</v>
      </c>
      <c r="O182" s="13">
        <f>N182*VLOOKUP('Données projet'!$B$9,Paramètres!$A$1:$I$89,3,0)*VLOOKUP('Données projet'!$B$9,Paramètres!$A$1:$I$89,5,0)</f>
        <v>-4.0790837374515837E-13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460.88622650237176</v>
      </c>
      <c r="T182" s="59">
        <f t="shared" si="142"/>
        <v>396.05161661639647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33.057083131168191</v>
      </c>
      <c r="AA182" s="21">
        <f>EXP(-LN(2)/25)*AA181+(1-EXP(-LN(2)/25))/(LN(2)/25)*Calculateur!V182*Calculateur!X182*VLOOKUP('Données projet'!$B$9,Paramètres!$A$1:$I$89,3,0)*0.475*44/12</f>
        <v>2.2415635925429065</v>
      </c>
      <c r="AB182" s="21">
        <f>EXP(-LN(2)/2)*AB181+(1-EXP(-LN(2)/2))/(LN(2)/2)*V182*Y182*VLOOKUP('Données projet'!$B$9,Paramètres!$A$1:$I$89,3,0)*0.475*44/12</f>
        <v>1.290472306213805E-14</v>
      </c>
      <c r="AC182" s="22">
        <f t="shared" si="163"/>
        <v>35.298646723711116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projet'!$B$10,Paramètres!$A$1:$I$89,3,0)*VLOOKUP('Données projet'!$B$10,Paramètres!$A$1:$I$89,5,0)</f>
        <v>-2.1282176021486519E-13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387.50901594883317</v>
      </c>
      <c r="AO182" s="59">
        <f t="shared" si="144"/>
        <v>361.3623790401972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52.848055153129742</v>
      </c>
      <c r="AV182" s="21">
        <f>EXP(-LN(2)/25)*AV181+(1-EXP(-LN(2)/25))/(LN(2)/25)*Calculateur!AQ182*Calculateur!AS182*VLOOKUP('Données projet'!$B$10,Paramètres!$A$1:$I$89,3,0)*0.475*44/12</f>
        <v>4.4406250181722671</v>
      </c>
      <c r="AW182" s="21">
        <f>EXP(-LN(2)/2)*AW181+(1-EXP(-LN(2)/2))/(LN(2)/2)*AQ182*AT182*VLOOKUP('Données projet'!$B$10,Paramètres!$A$1:$I$89,3,0)*0.475*44/12</f>
        <v>1.2674242033049616E-10</v>
      </c>
      <c r="AX182" s="21">
        <f t="shared" si="166"/>
        <v>57.288680171428751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3.2566666666666606</v>
      </c>
      <c r="BD182" s="12">
        <f>IF('Données projet'!$A$88&gt;35,BD181+BC182-BL181,IF(A182&lt;'Données projet'!$A$88,$BA$205^A182,IF(A182='Données projet'!$A$88,'Données projet'!$B$88,BD181+BC182-BL181)))</f>
        <v>238.36333333333386</v>
      </c>
      <c r="BE182" s="13">
        <f>BD182*VLOOKUP('Données projet'!$B$11,Paramètres!$A$1:$I$89,3,0)*VLOOKUP('Données projet'!$B$11,Paramètres!$A$1:$I$89,5,0)</f>
        <v>215.67114400000045</v>
      </c>
      <c r="BF182" s="13">
        <f t="shared" si="167"/>
        <v>53.172944836363733</v>
      </c>
      <c r="BG182" s="20">
        <f t="shared" si="168"/>
        <v>468.23678805666754</v>
      </c>
      <c r="BH182" s="59">
        <f t="shared" si="116"/>
        <v>757.57266279080466</v>
      </c>
      <c r="BI182" s="59">
        <f ca="1">AVERAGE(OFFSET($BH$3,0,0,'Données projet'!$E$11+1,1))-AVERAGE(OFFSET($H$3,0,0,'Données projet'!$E$11+1,1))</f>
        <v>627.65081154031589</v>
      </c>
      <c r="BJ182" s="59">
        <f t="shared" si="146"/>
        <v>288.78083487077618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164.46247922191492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164.46247922191492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3.2566666666666606</v>
      </c>
      <c r="BY182" s="12">
        <f>IF('Données projet'!$A$114&gt;35,BY181+BX182-CG181,IF(A182&lt;'Données projet'!$A$114,$BV$205^A182,IF(A182='Données projet'!$A$114,'Données projet'!$B$114,BY181+BX182-CG181)))</f>
        <v>238.36333333333386</v>
      </c>
      <c r="BZ182" s="13">
        <f>BY182*VLOOKUP('Données projet'!$B$12,Paramètres!$A$1:$I$89,3,0)*VLOOKUP('Données projet'!$B$12,Paramètres!$A$1:$I$89,5,0)</f>
        <v>241.70042000000055</v>
      </c>
      <c r="CA182" s="13">
        <f t="shared" si="170"/>
        <v>58.805233664472574</v>
      </c>
      <c r="CB182" s="20">
        <f t="shared" si="171"/>
        <v>523.38068013229065</v>
      </c>
      <c r="CC182" s="59">
        <f t="shared" si="119"/>
        <v>812.71655486642771</v>
      </c>
      <c r="CD182" s="59">
        <f ca="1">AVERAGE(OFFSET($CC$3,0,0,'Données projet'!$E$12+1,1))-AVERAGE(OFFSET($H$3,0,0,'Données projet'!$E$12+1,1))</f>
        <v>692.2706942067415</v>
      </c>
      <c r="CE182" s="59">
        <f t="shared" si="148"/>
        <v>316.17529091924803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184.31139912800811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184.31139912800811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1.1368683772161603E-13</v>
      </c>
      <c r="CU182" s="17">
        <f>CT182*VLOOKUP('Données projet'!$B$13,Paramètres!$A$1:$I$89,3,0)*VLOOKUP('Données projet'!$B$13,Paramètres!$A$1:$I$89,5,0)</f>
        <v>1.0818439477588981E-13</v>
      </c>
      <c r="CV182" s="13">
        <f t="shared" si="173"/>
        <v>1.6104228458716316E-12</v>
      </c>
      <c r="CW182" s="20">
        <f t="shared" si="174"/>
        <v>2.9932409441277661E-12</v>
      </c>
      <c r="CX182" s="59">
        <f t="shared" si="122"/>
        <v>289.33587473414013</v>
      </c>
      <c r="CY182" s="59">
        <f ca="1">AVERAGE(OFFSET($CX$3,0,0,'Données projet'!$E$13+1,1))-AVERAGE(OFFSET($H$3,0,0,'Données projet'!$E$13+1,1))</f>
        <v>424.5933338095914</v>
      </c>
      <c r="CZ182" s="59">
        <f t="shared" si="150"/>
        <v>159.28977188196134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60.277305415887973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60.277305415887973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-18.333333333333343</v>
      </c>
      <c r="DU182" s="59">
        <f t="shared" si="152"/>
        <v>-18.333333333333343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-18.333333333333343</v>
      </c>
      <c r="EP182" s="59">
        <f t="shared" si="154"/>
        <v>-18.333333333333343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3.2566666666666606</v>
      </c>
      <c r="FE182" s="12">
        <f>IF('Données projet'!$A$218&gt;35,FE181+FD182-FM181,IF(A182&lt;'Données projet'!$A$218,$FB$205^A182,IF(A182='Données projet'!$A$218,'Données projet'!$B$218,FE181+FD182-FM181)))</f>
        <v>238.36333333333386</v>
      </c>
      <c r="FF182" s="17">
        <f>FE182*VLOOKUP('Données projet'!$B$16,Paramètres!$A$1:$I$89,3,0)*VLOOKUP('Données projet'!$B$16,Paramètres!$A$1:$I$89,5,0)</f>
        <v>230.54501600000052</v>
      </c>
      <c r="FG182" s="13">
        <f t="shared" si="182"/>
        <v>56.400510494775887</v>
      </c>
      <c r="FH182" s="20">
        <f t="shared" si="183"/>
        <v>499.76345864506885</v>
      </c>
      <c r="FI182" s="59">
        <f t="shared" si="131"/>
        <v>789.09933337920597</v>
      </c>
      <c r="FJ182" s="59">
        <f ca="1">AVERAGE(OFFSET($FI$3,0,0,'Données projet'!$E$16+1,1))-AVERAGE(OFFSET($H$3,0,0,'Données projet'!$E$16+1,1))</f>
        <v>664.59451650228573</v>
      </c>
      <c r="FK182" s="59">
        <f t="shared" si="156"/>
        <v>304.44325029106631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175.80471916825391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175.80471916825391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-6.8212102632969618E-13</v>
      </c>
      <c r="O183" s="13">
        <f>N183*VLOOKUP('Données projet'!$B$9,Paramètres!$A$1:$I$89,3,0)*VLOOKUP('Données projet'!$B$9,Paramètres!$A$1:$I$89,5,0)</f>
        <v>-4.0790837374515837E-13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460.88622650237176</v>
      </c>
      <c r="T183" s="59">
        <f t="shared" si="142"/>
        <v>396.05161661639647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32.408853893795779</v>
      </c>
      <c r="AA183" s="21">
        <f>EXP(-LN(2)/25)*AA182+(1-EXP(-LN(2)/25))/(LN(2)/25)*Calculateur!V183*Calculateur!X183*VLOOKUP('Données projet'!$B$9,Paramètres!$A$1:$I$89,3,0)*0.475*44/12</f>
        <v>2.1802679182261144</v>
      </c>
      <c r="AB183" s="21">
        <f>EXP(-LN(2)/2)*AB182+(1-EXP(-LN(2)/2))/(LN(2)/2)*V183*Y183*VLOOKUP('Données projet'!$B$9,Paramètres!$A$1:$I$89,3,0)*0.475*44/12</f>
        <v>9.1250171865722438E-15</v>
      </c>
      <c r="AC183" s="22">
        <f t="shared" si="163"/>
        <v>34.589121812021901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projet'!$B$10,Paramètres!$A$1:$I$89,3,0)*VLOOKUP('Données projet'!$B$10,Paramètres!$A$1:$I$89,5,0)</f>
        <v>-2.1282176021486519E-13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387.50901594883317</v>
      </c>
      <c r="AO183" s="59">
        <f t="shared" si="144"/>
        <v>361.3623790401972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51.811737025707657</v>
      </c>
      <c r="AV183" s="21">
        <f>EXP(-LN(2)/25)*AV182+(1-EXP(-LN(2)/25))/(LN(2)/25)*Calculateur!AQ183*Calculateur!AS183*VLOOKUP('Données projet'!$B$10,Paramètres!$A$1:$I$89,3,0)*0.475*44/12</f>
        <v>4.3191958935280255</v>
      </c>
      <c r="AW183" s="21">
        <f>EXP(-LN(2)/2)*AW182+(1-EXP(-LN(2)/2))/(LN(2)/2)*AQ183*AT183*VLOOKUP('Données projet'!$B$10,Paramètres!$A$1:$I$89,3,0)*0.475*44/12</f>
        <v>8.9620424879689581E-11</v>
      </c>
      <c r="AX183" s="21">
        <f t="shared" si="166"/>
        <v>56.130932919325303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241.62</v>
      </c>
      <c r="BB183" s="12">
        <f>VLOOKUP(A183,'Données projet'!$A$87:$I$107,9,0)</f>
        <v>3.2566666666666606</v>
      </c>
      <c r="BC183" s="12">
        <f t="array" ref="BC183">INDEX(BB:BB,MIN(IF(ISNUMBER(BB183:BB379),ROW(BB183:BB379),"")))</f>
        <v>3.2566666666666606</v>
      </c>
      <c r="BD183" s="12">
        <f>IF('Données projet'!$A$88&gt;35,BD182+BC183-BL182,IF(A183&lt;'Données projet'!$A$88,$BA$205^A183,IF(A183='Données projet'!$A$88,'Données projet'!$B$88,BD182+BC183-BL182)))</f>
        <v>241.62000000000052</v>
      </c>
      <c r="BE183" s="13">
        <f>BD183*VLOOKUP('Données projet'!$B$11,Paramètres!$A$1:$I$89,3,0)*VLOOKUP('Données projet'!$B$11,Paramètres!$A$1:$I$89,5,0)</f>
        <v>218.61777600000045</v>
      </c>
      <c r="BF183" s="13">
        <f t="shared" si="167"/>
        <v>53.814356054061541</v>
      </c>
      <c r="BG183" s="20">
        <f t="shared" si="168"/>
        <v>474.48596332749122</v>
      </c>
      <c r="BH183" s="59">
        <f t="shared" si="116"/>
        <v>763.89118503134591</v>
      </c>
      <c r="BI183" s="59">
        <f ca="1">AVERAGE(OFFSET($BH$3,0,0,'Données projet'!$E$11+1,1))-AVERAGE(OFFSET($H$3,0,0,'Données projet'!$E$11+1,1))</f>
        <v>627.65081154031589</v>
      </c>
      <c r="BJ183" s="59">
        <f t="shared" si="146"/>
        <v>288.78083487077618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0.34400000000000003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187.97928881270488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187.97928881270488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241.62</v>
      </c>
      <c r="BW183" s="12">
        <f>VLOOKUP(A183,'Données projet'!$A$113:$I$133,9,0)</f>
        <v>3.2566666666666606</v>
      </c>
      <c r="BX183" s="12">
        <f t="array" ref="BX183">INDEX(BW:BW,MIN(IF(ISNUMBER(BW183:BW379),ROW(BW183:BW379),"")))</f>
        <v>3.2566666666666606</v>
      </c>
      <c r="BY183" s="12">
        <f>IF('Données projet'!$A$114&gt;35,BY182+BX183-CG182,IF(A183&lt;'Données projet'!$A$114,$BV$205^A183,IF(A183='Données projet'!$A$114,'Données projet'!$B$114,BY182+BX183-CG182)))</f>
        <v>241.62000000000052</v>
      </c>
      <c r="BZ183" s="13">
        <f>BY183*VLOOKUP('Données projet'!$B$12,Paramètres!$A$1:$I$89,3,0)*VLOOKUP('Données projet'!$B$12,Paramètres!$A$1:$I$89,5,0)</f>
        <v>245.00268000000054</v>
      </c>
      <c r="CA183" s="13">
        <f t="shared" si="170"/>
        <v>59.514585697688133</v>
      </c>
      <c r="CB183" s="20">
        <f t="shared" si="171"/>
        <v>530.36757109014115</v>
      </c>
      <c r="CC183" s="59">
        <f t="shared" si="119"/>
        <v>819.77279279399579</v>
      </c>
      <c r="CD183" s="59">
        <f ca="1">AVERAGE(OFFSET($CC$3,0,0,'Données projet'!$E$12+1,1))-AVERAGE(OFFSET($H$3,0,0,'Données projet'!$E$12+1,1))</f>
        <v>692.2706942067415</v>
      </c>
      <c r="CE183" s="59">
        <f t="shared" si="148"/>
        <v>316.17529091924803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0.34400000000000003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210.66644435906579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210.66644435906579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1.1368683772161603E-13</v>
      </c>
      <c r="CU183" s="17">
        <f>CT183*VLOOKUP('Données projet'!$B$13,Paramètres!$A$1:$I$89,3,0)*VLOOKUP('Données projet'!$B$13,Paramètres!$A$1:$I$89,5,0)</f>
        <v>1.0818439477588981E-13</v>
      </c>
      <c r="CV183" s="13">
        <f t="shared" si="173"/>
        <v>1.6104228458716316E-12</v>
      </c>
      <c r="CW183" s="20">
        <f t="shared" si="174"/>
        <v>2.9932409441277661E-12</v>
      </c>
      <c r="CX183" s="59">
        <f t="shared" si="122"/>
        <v>289.40522170385765</v>
      </c>
      <c r="CY183" s="59">
        <f ca="1">AVERAGE(OFFSET($CX$3,0,0,'Données projet'!$E$13+1,1))-AVERAGE(OFFSET($H$3,0,0,'Données projet'!$E$13+1,1))</f>
        <v>424.5933338095914</v>
      </c>
      <c r="CZ183" s="59">
        <f t="shared" si="150"/>
        <v>159.28977188196134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59.095304222208419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59.095304222208419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-18.333333333333343</v>
      </c>
      <c r="DU183" s="59">
        <f t="shared" si="152"/>
        <v>-18.333333333333343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-18.333333333333343</v>
      </c>
      <c r="EP183" s="59">
        <f t="shared" si="154"/>
        <v>-18.333333333333343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>
        <f>VLOOKUP(A183,'Données projet'!$A$217:$I$237,2,0)</f>
        <v>241.62</v>
      </c>
      <c r="FC183" s="12">
        <f>VLOOKUP(A183,'Données projet'!$A$217:$I$237,9,0)</f>
        <v>3.2566666666666606</v>
      </c>
      <c r="FD183" s="12">
        <f t="array" ref="FD183">INDEX(FC:FC,MIN(IF(ISNUMBER(FC183:FC379),ROW(FC183:FC379),"")))</f>
        <v>3.2566666666666606</v>
      </c>
      <c r="FE183" s="12">
        <f>IF('Données projet'!$A$218&gt;35,FE182+FD183-FM182,IF(A183&lt;'Données projet'!$A$218,$FB$205^A183,IF(A183='Données projet'!$A$218,'Données projet'!$B$218,FE182+FD183-FM182)))</f>
        <v>241.62000000000052</v>
      </c>
      <c r="FF183" s="17">
        <f>FE183*VLOOKUP('Données projet'!$B$16,Paramètres!$A$1:$I$89,3,0)*VLOOKUP('Données projet'!$B$16,Paramètres!$A$1:$I$89,5,0)</f>
        <v>233.69486400000051</v>
      </c>
      <c r="FG183" s="13">
        <f t="shared" si="182"/>
        <v>57.080854986256675</v>
      </c>
      <c r="FH183" s="20">
        <f t="shared" si="183"/>
        <v>506.43437723439791</v>
      </c>
      <c r="FI183" s="59">
        <f t="shared" si="131"/>
        <v>795.83959893825249</v>
      </c>
      <c r="FJ183" s="59">
        <f ca="1">AVERAGE(OFFSET($FI$3,0,0,'Données projet'!$E$16+1,1))-AVERAGE(OFFSET($H$3,0,0,'Données projet'!$E$16+1,1))</f>
        <v>664.59451650228573</v>
      </c>
      <c r="FK183" s="59">
        <f t="shared" si="156"/>
        <v>304.44325029106631</v>
      </c>
      <c r="FL183" s="15">
        <f>IF(ISNA(VLOOKUP(A183,'Données projet'!$A$217:$I$237,3,0)),0,VLOOKUP(A183,'Données projet'!$A$217:$I$237,3,0))</f>
        <v>17</v>
      </c>
      <c r="FM183" s="15">
        <f>IF(ISNA(VLOOKUP(A183,'Données projet'!$A$217:$I$237,4,0)),0,VLOOKUP(A183,'Données projet'!$A$217:$I$237,4,0))</f>
        <v>77.72</v>
      </c>
      <c r="FN183" s="16">
        <f>IF(ISNA(VLOOKUP(A183,'Données projet'!$A$217:$I$237,5,0)),0%,VLOOKUP(A183,'Données projet'!$A$217:$I$237,5,0)*VLOOKUP('Données projet'!$B$16,Paramètres!$A$1:$I$89,7,0))</f>
        <v>0.34400000000000003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200.94337769633972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200.94337769633972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-6.8212102632969618E-13</v>
      </c>
      <c r="O184" s="13">
        <f>N184*VLOOKUP('Données projet'!$B$9,Paramètres!$A$1:$I$89,3,0)*VLOOKUP('Données projet'!$B$9,Paramètres!$A$1:$I$89,5,0)</f>
        <v>-4.0790837374515837E-13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460.88622650237176</v>
      </c>
      <c r="T184" s="59">
        <f t="shared" si="142"/>
        <v>396.05161661639647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31.773336036387445</v>
      </c>
      <c r="AA184" s="21">
        <f>EXP(-LN(2)/25)*AA183+(1-EXP(-LN(2)/25))/(LN(2)/25)*Calculateur!V184*Calculateur!X184*VLOOKUP('Données projet'!$B$9,Paramètres!$A$1:$I$89,3,0)*0.475*44/12</f>
        <v>2.1206483773469147</v>
      </c>
      <c r="AB184" s="21">
        <f>EXP(-LN(2)/2)*AB183+(1-EXP(-LN(2)/2))/(LN(2)/2)*V184*Y184*VLOOKUP('Données projet'!$B$9,Paramètres!$A$1:$I$89,3,0)*0.475*44/12</f>
        <v>6.4523615310690252E-15</v>
      </c>
      <c r="AC184" s="22">
        <f t="shared" si="163"/>
        <v>33.893984413734366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projet'!$B$10,Paramètres!$A$1:$I$89,3,0)*VLOOKUP('Données projet'!$B$10,Paramètres!$A$1:$I$89,5,0)</f>
        <v>-2.1282176021486519E-13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387.50901594883317</v>
      </c>
      <c r="AO184" s="59">
        <f t="shared" si="144"/>
        <v>361.3623790401972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50.795740464672676</v>
      </c>
      <c r="AV184" s="21">
        <f>EXP(-LN(2)/25)*AV183+(1-EXP(-LN(2)/25))/(LN(2)/25)*Calculateur!AQ184*Calculateur!AS184*VLOOKUP('Données projet'!$B$10,Paramètres!$A$1:$I$89,3,0)*0.475*44/12</f>
        <v>4.2010872546828608</v>
      </c>
      <c r="AW184" s="21">
        <f>EXP(-LN(2)/2)*AW183+(1-EXP(-LN(2)/2))/(LN(2)/2)*AQ184*AT184*VLOOKUP('Données projet'!$B$10,Paramètres!$A$1:$I$89,3,0)*0.475*44/12</f>
        <v>6.3371210165248078E-11</v>
      </c>
      <c r="AX184" s="21">
        <f t="shared" si="166"/>
        <v>54.99682771941891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1.9533333333333285</v>
      </c>
      <c r="BD184" s="12">
        <f>IF('Données projet'!$A$88&gt;35,BD183+BC184-BL183,IF(A184&lt;'Données projet'!$A$88,$BA$205^A184,IF(A184='Données projet'!$A$88,'Données projet'!$B$88,BD183+BC184-BL183)))</f>
        <v>165.85333333333384</v>
      </c>
      <c r="BE184" s="13">
        <f>BD184*VLOOKUP('Données projet'!$B$11,Paramètres!$A$1:$I$89,3,0)*VLOOKUP('Données projet'!$B$11,Paramètres!$A$1:$I$89,5,0)</f>
        <v>150.06409600000046</v>
      </c>
      <c r="BF184" s="13">
        <f t="shared" si="167"/>
        <v>38.593151304664545</v>
      </c>
      <c r="BG184" s="20">
        <f t="shared" si="168"/>
        <v>328.57803905562486</v>
      </c>
      <c r="BH184" s="59">
        <f t="shared" si="116"/>
        <v>618.051404714309</v>
      </c>
      <c r="BI184" s="59">
        <f ca="1">AVERAGE(OFFSET($BH$3,0,0,'Données projet'!$E$11+1,1))-AVERAGE(OFFSET($H$3,0,0,'Données projet'!$E$11+1,1))</f>
        <v>627.65081154031589</v>
      </c>
      <c r="BJ184" s="59">
        <f t="shared" si="146"/>
        <v>288.78083487077618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184.29312961513256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184.29312961513256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1.9533333333333285</v>
      </c>
      <c r="BY184" s="12">
        <f>IF('Données projet'!$A$114&gt;35,BY183+BX184-CG183,IF(A184&lt;'Données projet'!$A$114,$BV$205^A184,IF(A184='Données projet'!$A$114,'Données projet'!$B$114,BY183+BX184-CG183)))</f>
        <v>165.85333333333384</v>
      </c>
      <c r="BZ184" s="13">
        <f>BY184*VLOOKUP('Données projet'!$B$12,Paramètres!$A$1:$I$89,3,0)*VLOOKUP('Données projet'!$B$12,Paramètres!$A$1:$I$89,5,0)</f>
        <v>168.17528000000053</v>
      </c>
      <c r="CA184" s="13">
        <f t="shared" si="170"/>
        <v>42.681090680670735</v>
      </c>
      <c r="CB184" s="20">
        <f t="shared" si="171"/>
        <v>367.24151226883578</v>
      </c>
      <c r="CC184" s="59">
        <f t="shared" si="119"/>
        <v>656.71487792751986</v>
      </c>
      <c r="CD184" s="59">
        <f ca="1">AVERAGE(OFFSET($CC$3,0,0,'Données projet'!$E$12+1,1))-AVERAGE(OFFSET($H$3,0,0,'Données projet'!$E$12+1,1))</f>
        <v>692.2706942067415</v>
      </c>
      <c r="CE184" s="59">
        <f t="shared" si="148"/>
        <v>316.17529091924803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206.53540387902785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206.53540387902785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1.1368683772161603E-13</v>
      </c>
      <c r="CU184" s="17">
        <f>CT184*VLOOKUP('Données projet'!$B$13,Paramètres!$A$1:$I$89,3,0)*VLOOKUP('Données projet'!$B$13,Paramètres!$A$1:$I$89,5,0)</f>
        <v>1.0818439477588981E-13</v>
      </c>
      <c r="CV184" s="13">
        <f t="shared" si="173"/>
        <v>1.6104228458716316E-12</v>
      </c>
      <c r="CW184" s="20">
        <f t="shared" si="174"/>
        <v>2.9932409441277661E-12</v>
      </c>
      <c r="CX184" s="59">
        <f t="shared" si="122"/>
        <v>289.4733656586871</v>
      </c>
      <c r="CY184" s="59">
        <f ca="1">AVERAGE(OFFSET($CX$3,0,0,'Données projet'!$E$13+1,1))-AVERAGE(OFFSET($H$3,0,0,'Données projet'!$E$13+1,1))</f>
        <v>424.5933338095914</v>
      </c>
      <c r="CZ184" s="59">
        <f t="shared" si="150"/>
        <v>159.28977188196134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57.936481350987378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57.936481350987378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-18.333333333333343</v>
      </c>
      <c r="DU184" s="59">
        <f t="shared" si="152"/>
        <v>-18.333333333333343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-18.333333333333343</v>
      </c>
      <c r="EP184" s="59">
        <f t="shared" si="154"/>
        <v>-18.333333333333343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1.9533333333333285</v>
      </c>
      <c r="FE184" s="12">
        <f>IF('Données projet'!$A$218&gt;35,FE183+FD184-FM183,IF(A184&lt;'Données projet'!$A$218,$FB$205^A184,IF(A184='Données projet'!$A$218,'Données projet'!$B$218,FE183+FD184-FM183)))</f>
        <v>165.85333333333384</v>
      </c>
      <c r="FF184" s="17">
        <f>FE184*VLOOKUP('Données projet'!$B$16,Paramètres!$A$1:$I$89,3,0)*VLOOKUP('Données projet'!$B$16,Paramètres!$A$1:$I$89,5,0)</f>
        <v>160.41334400000048</v>
      </c>
      <c r="FG184" s="13">
        <f t="shared" si="182"/>
        <v>40.935732295508117</v>
      </c>
      <c r="FH184" s="20">
        <f t="shared" si="183"/>
        <v>350.68297454801086</v>
      </c>
      <c r="FI184" s="59">
        <f t="shared" si="131"/>
        <v>640.15634020669495</v>
      </c>
      <c r="FJ184" s="59">
        <f ca="1">AVERAGE(OFFSET($FI$3,0,0,'Données projet'!$E$16+1,1))-AVERAGE(OFFSET($H$3,0,0,'Données projet'!$E$16+1,1))</f>
        <v>664.59451650228573</v>
      </c>
      <c r="FK184" s="59">
        <f t="shared" si="156"/>
        <v>304.44325029106631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197.00300062307278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197.00300062307278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-6.8212102632969618E-13</v>
      </c>
      <c r="O185" s="13">
        <f>N185*VLOOKUP('Données projet'!$B$9,Paramètres!$A$1:$I$89,3,0)*VLOOKUP('Données projet'!$B$9,Paramètres!$A$1:$I$89,5,0)</f>
        <v>-4.0790837374515837E-13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460.88622650237176</v>
      </c>
      <c r="T185" s="59">
        <f t="shared" si="142"/>
        <v>396.05161661639647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31.150280296535271</v>
      </c>
      <c r="AA185" s="21">
        <f>EXP(-LN(2)/25)*AA184+(1-EXP(-LN(2)/25))/(LN(2)/25)*Calculateur!V185*Calculateur!X185*VLOOKUP('Données projet'!$B$9,Paramètres!$A$1:$I$89,3,0)*0.475*44/12</f>
        <v>2.0626591359483117</v>
      </c>
      <c r="AB185" s="21">
        <f>EXP(-LN(2)/2)*AB184+(1-EXP(-LN(2)/2))/(LN(2)/2)*V185*Y185*VLOOKUP('Données projet'!$B$9,Paramètres!$A$1:$I$89,3,0)*0.475*44/12</f>
        <v>4.5625085932861219E-15</v>
      </c>
      <c r="AC185" s="22">
        <f t="shared" si="163"/>
        <v>33.212939432483587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projet'!$B$10,Paramètres!$A$1:$I$89,3,0)*VLOOKUP('Données projet'!$B$10,Paramètres!$A$1:$I$89,5,0)</f>
        <v>-2.1282176021486519E-13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387.50901594883317</v>
      </c>
      <c r="AO185" s="59">
        <f t="shared" si="144"/>
        <v>361.3623790401972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49.799666976502877</v>
      </c>
      <c r="AV185" s="21">
        <f>EXP(-LN(2)/25)*AV184+(1-EXP(-LN(2)/25))/(LN(2)/25)*Calculateur!AQ185*Calculateur!AS185*VLOOKUP('Données projet'!$B$10,Paramètres!$A$1:$I$89,3,0)*0.475*44/12</f>
        <v>4.0862083027779814</v>
      </c>
      <c r="AW185" s="21">
        <f>EXP(-LN(2)/2)*AW184+(1-EXP(-LN(2)/2))/(LN(2)/2)*AQ185*AT185*VLOOKUP('Données projet'!$B$10,Paramètres!$A$1:$I$89,3,0)*0.475*44/12</f>
        <v>4.4810212439844791E-11</v>
      </c>
      <c r="AX185" s="21">
        <f t="shared" si="166"/>
        <v>53.885875279325667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1.9533333333333285</v>
      </c>
      <c r="BD185" s="12">
        <f>IF('Données projet'!$A$88&gt;35,BD184+BC185-BL184,IF(A185&lt;'Données projet'!$A$88,$BA$205^A185,IF(A185='Données projet'!$A$88,'Données projet'!$B$88,BD184+BC185-BL184)))</f>
        <v>167.80666666666716</v>
      </c>
      <c r="BE185" s="13">
        <f>BD185*VLOOKUP('Données projet'!$B$11,Paramètres!$A$1:$I$89,3,0)*VLOOKUP('Données projet'!$B$11,Paramètres!$A$1:$I$89,5,0)</f>
        <v>151.83147200000045</v>
      </c>
      <c r="BF185" s="13">
        <f t="shared" si="167"/>
        <v>38.994499777620597</v>
      </c>
      <c r="BG185" s="20">
        <f t="shared" si="168"/>
        <v>332.35523417935661</v>
      </c>
      <c r="BH185" s="59">
        <f t="shared" si="116"/>
        <v>621.89556164760097</v>
      </c>
      <c r="BI185" s="59">
        <f ca="1">AVERAGE(OFFSET($BH$3,0,0,'Données projet'!$E$11+1,1))-AVERAGE(OFFSET($H$3,0,0,'Données projet'!$E$11+1,1))</f>
        <v>627.65081154031589</v>
      </c>
      <c r="BJ185" s="59">
        <f t="shared" si="146"/>
        <v>288.78083487077618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180.67925375108953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180.67925375108953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1.9533333333333285</v>
      </c>
      <c r="BY185" s="12">
        <f>IF('Données projet'!$A$114&gt;35,BY184+BX185-CG184,IF(A185&lt;'Données projet'!$A$114,$BV$205^A185,IF(A185='Données projet'!$A$114,'Données projet'!$B$114,BY184+BX185-CG184)))</f>
        <v>167.80666666666716</v>
      </c>
      <c r="BZ185" s="13">
        <f>BY185*VLOOKUP('Données projet'!$B$12,Paramètres!$A$1:$I$89,3,0)*VLOOKUP('Données projet'!$B$12,Paramètres!$A$1:$I$89,5,0)</f>
        <v>170.1559600000005</v>
      </c>
      <c r="CA185" s="13">
        <f t="shared" si="170"/>
        <v>43.124951572816009</v>
      </c>
      <c r="CB185" s="20">
        <f t="shared" si="171"/>
        <v>371.46425432265534</v>
      </c>
      <c r="CC185" s="59">
        <f t="shared" si="119"/>
        <v>661.00458179089969</v>
      </c>
      <c r="CD185" s="59">
        <f ca="1">AVERAGE(OFFSET($CC$3,0,0,'Données projet'!$E$12+1,1))-AVERAGE(OFFSET($H$3,0,0,'Données projet'!$E$12+1,1))</f>
        <v>692.2706942067415</v>
      </c>
      <c r="CE185" s="59">
        <f t="shared" si="148"/>
        <v>316.17529091924803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202.48537058311757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202.48537058311757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1.1368683772161603E-13</v>
      </c>
      <c r="CU185" s="17">
        <f>CT185*VLOOKUP('Données projet'!$B$13,Paramètres!$A$1:$I$89,3,0)*VLOOKUP('Données projet'!$B$13,Paramètres!$A$1:$I$89,5,0)</f>
        <v>1.0818439477588981E-13</v>
      </c>
      <c r="CV185" s="13">
        <f t="shared" si="173"/>
        <v>1.6104228458716316E-12</v>
      </c>
      <c r="CW185" s="20">
        <f t="shared" si="174"/>
        <v>2.9932409441277661E-12</v>
      </c>
      <c r="CX185" s="59">
        <f t="shared" si="122"/>
        <v>289.54032746824743</v>
      </c>
      <c r="CY185" s="59">
        <f ca="1">AVERAGE(OFFSET($CX$3,0,0,'Données projet'!$E$13+1,1))-AVERAGE(OFFSET($H$3,0,0,'Données projet'!$E$13+1,1))</f>
        <v>424.5933338095914</v>
      </c>
      <c r="CZ185" s="59">
        <f t="shared" si="150"/>
        <v>159.28977188196134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56.800382289458824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56.800382289458824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-18.333333333333343</v>
      </c>
      <c r="DU185" s="59">
        <f t="shared" si="152"/>
        <v>-18.333333333333343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-18.333333333333343</v>
      </c>
      <c r="EP185" s="59">
        <f t="shared" si="154"/>
        <v>-18.333333333333343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1.9533333333333285</v>
      </c>
      <c r="FE185" s="12">
        <f>IF('Données projet'!$A$218&gt;35,FE184+FD185-FM184,IF(A185&lt;'Données projet'!$A$218,$FB$205^A185,IF(A185='Données projet'!$A$218,'Données projet'!$B$218,FE184+FD185-FM184)))</f>
        <v>167.80666666666716</v>
      </c>
      <c r="FF185" s="17">
        <f>FE185*VLOOKUP('Données projet'!$B$16,Paramètres!$A$1:$I$89,3,0)*VLOOKUP('Données projet'!$B$16,Paramètres!$A$1:$I$89,5,0)</f>
        <v>162.30260800000048</v>
      </c>
      <c r="FG185" s="13">
        <f t="shared" si="182"/>
        <v>41.361442378534058</v>
      </c>
      <c r="FH185" s="20">
        <f t="shared" si="183"/>
        <v>354.71488774261428</v>
      </c>
      <c r="FI185" s="59">
        <f t="shared" si="131"/>
        <v>644.25521521085875</v>
      </c>
      <c r="FJ185" s="59">
        <f ca="1">AVERAGE(OFFSET($FI$3,0,0,'Données projet'!$E$16+1,1))-AVERAGE(OFFSET($H$3,0,0,'Données projet'!$E$16+1,1))</f>
        <v>664.59451650228573</v>
      </c>
      <c r="FK185" s="59">
        <f t="shared" si="156"/>
        <v>304.44325029106631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193.13989194081989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193.13989194081989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-6.8212102632969618E-13</v>
      </c>
      <c r="O186" s="13">
        <f>N186*VLOOKUP('Données projet'!$B$9,Paramètres!$A$1:$I$89,3,0)*VLOOKUP('Données projet'!$B$9,Paramètres!$A$1:$I$89,5,0)</f>
        <v>-4.0790837374515837E-13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460.88622650237176</v>
      </c>
      <c r="T186" s="59">
        <f t="shared" si="142"/>
        <v>396.05161661639647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30.539442299715123</v>
      </c>
      <c r="AA186" s="21">
        <f>EXP(-LN(2)/25)*AA185+(1-EXP(-LN(2)/25))/(LN(2)/25)*Calculateur!V186*Calculateur!X186*VLOOKUP('Données projet'!$B$9,Paramètres!$A$1:$I$89,3,0)*0.475*44/12</f>
        <v>2.0062556134052754</v>
      </c>
      <c r="AB186" s="21">
        <f>EXP(-LN(2)/2)*AB185+(1-EXP(-LN(2)/2))/(LN(2)/2)*V186*Y186*VLOOKUP('Données projet'!$B$9,Paramètres!$A$1:$I$89,3,0)*0.475*44/12</f>
        <v>3.2261807655345126E-15</v>
      </c>
      <c r="AC186" s="22">
        <f t="shared" si="163"/>
        <v>32.545697913120399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projet'!$B$10,Paramètres!$A$1:$I$89,3,0)*VLOOKUP('Données projet'!$B$10,Paramètres!$A$1:$I$89,5,0)</f>
        <v>-2.1282176021486519E-13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387.50901594883317</v>
      </c>
      <c r="AO186" s="59">
        <f t="shared" si="144"/>
        <v>361.3623790401972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48.823125881891251</v>
      </c>
      <c r="AV186" s="21">
        <f>EXP(-LN(2)/25)*AV185+(1-EXP(-LN(2)/25))/(LN(2)/25)*Calculateur!AQ186*Calculateur!AS186*VLOOKUP('Données projet'!$B$10,Paramètres!$A$1:$I$89,3,0)*0.475*44/12</f>
        <v>3.9744707218541619</v>
      </c>
      <c r="AW186" s="21">
        <f>EXP(-LN(2)/2)*AW185+(1-EXP(-LN(2)/2))/(LN(2)/2)*AQ186*AT186*VLOOKUP('Données projet'!$B$10,Paramètres!$A$1:$I$89,3,0)*0.475*44/12</f>
        <v>3.1685605082624039E-11</v>
      </c>
      <c r="AX186" s="21">
        <f t="shared" si="166"/>
        <v>52.797596603777095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169.76</v>
      </c>
      <c r="BB186" s="12">
        <f>VLOOKUP(A186,'Données projet'!$A$87:$I$107,9,0)</f>
        <v>1.9533333333333285</v>
      </c>
      <c r="BC186" s="12">
        <f t="array" ref="BC186">INDEX(BB:BB,MIN(IF(ISNUMBER(BB186:BB382),ROW(BB186:BB382),"")))</f>
        <v>1.9533333333333285</v>
      </c>
      <c r="BD186" s="12">
        <f>IF('Données projet'!$A$88&gt;35,BD185+BC186-BL185,IF(A186&lt;'Données projet'!$A$88,$BA$205^A186,IF(A186='Données projet'!$A$88,'Données projet'!$B$88,BD185+BC186-BL185)))</f>
        <v>169.76000000000047</v>
      </c>
      <c r="BE186" s="13">
        <f>BD186*VLOOKUP('Données projet'!$B$11,Paramètres!$A$1:$I$89,3,0)*VLOOKUP('Données projet'!$B$11,Paramètres!$A$1:$I$89,5,0)</f>
        <v>153.5988480000004</v>
      </c>
      <c r="BF186" s="13">
        <f t="shared" si="167"/>
        <v>39.395304802658316</v>
      </c>
      <c r="BG186" s="20">
        <f t="shared" si="168"/>
        <v>336.13148279796388</v>
      </c>
      <c r="BH186" s="59">
        <f t="shared" si="116"/>
        <v>625.7376104380769</v>
      </c>
      <c r="BI186" s="59">
        <f ca="1">AVERAGE(OFFSET($BH$3,0,0,'Données projet'!$E$11+1,1))-AVERAGE(OFFSET($H$3,0,0,'Données projet'!$E$11+1,1))</f>
        <v>627.65081154031589</v>
      </c>
      <c r="BJ186" s="59">
        <f t="shared" si="146"/>
        <v>288.78083487077618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0.34400000000000003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235.54709180576182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235.54709180576182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169.76</v>
      </c>
      <c r="BW186" s="12">
        <f>VLOOKUP(A186,'Données projet'!$A$113:$I$133,9,0)</f>
        <v>1.9533333333333285</v>
      </c>
      <c r="BX186" s="12">
        <f t="array" ref="BX186">INDEX(BW:BW,MIN(IF(ISNUMBER(BW186:BW382),ROW(BW186:BW382),"")))</f>
        <v>1.9533333333333285</v>
      </c>
      <c r="BY186" s="12">
        <f>IF('Données projet'!$A$114&gt;35,BY185+BX186-CG185,IF(A186&lt;'Données projet'!$A$114,$BV$205^A186,IF(A186='Données projet'!$A$114,'Données projet'!$B$114,BY185+BX186-CG185)))</f>
        <v>169.76000000000047</v>
      </c>
      <c r="BZ186" s="13">
        <f>BY186*VLOOKUP('Données projet'!$B$12,Paramètres!$A$1:$I$89,3,0)*VLOOKUP('Données projet'!$B$12,Paramètres!$A$1:$I$89,5,0)</f>
        <v>172.13664000000048</v>
      </c>
      <c r="CA186" s="13">
        <f t="shared" si="170"/>
        <v>43.568211452887901</v>
      </c>
      <c r="CB186" s="20">
        <f t="shared" si="171"/>
        <v>375.68594961378062</v>
      </c>
      <c r="CC186" s="59">
        <f t="shared" si="119"/>
        <v>665.29207725389358</v>
      </c>
      <c r="CD186" s="59">
        <f ca="1">AVERAGE(OFFSET($CC$3,0,0,'Données projet'!$E$12+1,1))-AVERAGE(OFFSET($H$3,0,0,'Données projet'!$E$12+1,1))</f>
        <v>692.2706942067415</v>
      </c>
      <c r="CE186" s="59">
        <f t="shared" si="148"/>
        <v>316.17529091924803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0.34400000000000003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263.9751890926641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263.9751890926641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1.1368683772161603E-13</v>
      </c>
      <c r="CU186" s="17">
        <f>CT186*VLOOKUP('Données projet'!$B$13,Paramètres!$A$1:$I$89,3,0)*VLOOKUP('Données projet'!$B$13,Paramètres!$A$1:$I$89,5,0)</f>
        <v>1.0818439477588981E-13</v>
      </c>
      <c r="CV186" s="13">
        <f t="shared" si="173"/>
        <v>1.6104228458716316E-12</v>
      </c>
      <c r="CW186" s="20">
        <f t="shared" si="174"/>
        <v>2.9932409441277661E-12</v>
      </c>
      <c r="CX186" s="59">
        <f t="shared" si="122"/>
        <v>289.60612764011597</v>
      </c>
      <c r="CY186" s="59">
        <f ca="1">AVERAGE(OFFSET($CX$3,0,0,'Données projet'!$E$13+1,1))-AVERAGE(OFFSET($H$3,0,0,'Données projet'!$E$13+1,1))</f>
        <v>424.5933338095914</v>
      </c>
      <c r="CZ186" s="59">
        <f t="shared" si="150"/>
        <v>159.28977188196134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55.686561437574845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55.686561437574845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-18.333333333333343</v>
      </c>
      <c r="DU186" s="59">
        <f t="shared" si="152"/>
        <v>-18.333333333333343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-18.333333333333343</v>
      </c>
      <c r="EP186" s="59">
        <f t="shared" si="154"/>
        <v>-18.333333333333343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>
        <f>VLOOKUP(A186,'Données projet'!$A$217:$I$237,2,0)</f>
        <v>169.76</v>
      </c>
      <c r="FC186" s="12">
        <f>VLOOKUP(A186,'Données projet'!$A$217:$I$237,9,0)</f>
        <v>1.9533333333333285</v>
      </c>
      <c r="FD186" s="12">
        <f t="array" ref="FD186">INDEX(FC:FC,MIN(IF(ISNUMBER(FC186:FC382),ROW(FC186:FC382),"")))</f>
        <v>1.9533333333333285</v>
      </c>
      <c r="FE186" s="12">
        <f>IF('Données projet'!$A$218&gt;35,FE185+FD186-FM185,IF(A186&lt;'Données projet'!$A$218,$FB$205^A186,IF(A186='Données projet'!$A$218,'Données projet'!$B$218,FE185+FD186-FM185)))</f>
        <v>169.76000000000047</v>
      </c>
      <c r="FF186" s="17">
        <f>FE186*VLOOKUP('Données projet'!$B$16,Paramètres!$A$1:$I$89,3,0)*VLOOKUP('Données projet'!$B$16,Paramètres!$A$1:$I$89,5,0)</f>
        <v>164.19187200000047</v>
      </c>
      <c r="FG186" s="13">
        <f t="shared" si="182"/>
        <v>41.786576026680912</v>
      </c>
      <c r="FH186" s="20">
        <f t="shared" si="183"/>
        <v>358.7457969798034</v>
      </c>
      <c r="FI186" s="59">
        <f t="shared" si="131"/>
        <v>648.35192461991642</v>
      </c>
      <c r="FJ186" s="59">
        <f ca="1">AVERAGE(OFFSET($FI$3,0,0,'Données projet'!$E$16+1,1))-AVERAGE(OFFSET($H$3,0,0,'Données projet'!$E$16+1,1))</f>
        <v>664.59451650228573</v>
      </c>
      <c r="FK186" s="59">
        <f t="shared" si="156"/>
        <v>304.44325029106631</v>
      </c>
      <c r="FL186" s="15">
        <f>IF(ISNA(VLOOKUP(A186,'Données projet'!$A$217:$I$237,3,0)),0,VLOOKUP(A186,'Données projet'!$A$217:$I$237,3,0))</f>
        <v>18</v>
      </c>
      <c r="FM186" s="15">
        <f>IF(ISNA(VLOOKUP(A186,'Données projet'!$A$217:$I$237,4,0)),0,VLOOKUP(A186,'Données projet'!$A$217:$I$237,4,0))</f>
        <v>169.76</v>
      </c>
      <c r="FN186" s="16">
        <f>IF(ISNA(VLOOKUP(A186,'Données projet'!$A$217:$I$237,5,0)),0%,VLOOKUP(A186,'Données projet'!$A$217:$I$237,5,0)*VLOOKUP('Données projet'!$B$16,Paramètres!$A$1:$I$89,7,0))</f>
        <v>0.34400000000000003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251.79171882684892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251.79171882684892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-6.8212102632969618E-13</v>
      </c>
      <c r="O187" s="13">
        <f>N187*VLOOKUP('Données projet'!$B$9,Paramètres!$A$1:$I$89,3,0)*VLOOKUP('Données projet'!$B$9,Paramètres!$A$1:$I$89,5,0)</f>
        <v>-4.0790837374515837E-13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460.88622650237176</v>
      </c>
      <c r="T187" s="59">
        <f t="shared" si="142"/>
        <v>396.05161661639647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29.940582463438226</v>
      </c>
      <c r="AA187" s="21">
        <f>EXP(-LN(2)/25)*AA186+(1-EXP(-LN(2)/25))/(LN(2)/25)*Calculateur!V187*Calculateur!X187*VLOOKUP('Données projet'!$B$9,Paramètres!$A$1:$I$89,3,0)*0.475*44/12</f>
        <v>1.9513944481523107</v>
      </c>
      <c r="AB187" s="21">
        <f>EXP(-LN(2)/2)*AB186+(1-EXP(-LN(2)/2))/(LN(2)/2)*V187*Y187*VLOOKUP('Données projet'!$B$9,Paramètres!$A$1:$I$89,3,0)*0.475*44/12</f>
        <v>2.2812542966430609E-15</v>
      </c>
      <c r="AC187" s="22">
        <f t="shared" si="163"/>
        <v>31.89197691159054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projet'!$B$10,Paramètres!$A$1:$I$89,3,0)*VLOOKUP('Données projet'!$B$10,Paramètres!$A$1:$I$89,5,0)</f>
        <v>-2.1282176021486519E-13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387.50901594883317</v>
      </c>
      <c r="AO187" s="59">
        <f t="shared" si="144"/>
        <v>361.3623790401972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47.865734162513704</v>
      </c>
      <c r="AV187" s="21">
        <f>EXP(-LN(2)/25)*AV186+(1-EXP(-LN(2)/25))/(LN(2)/25)*Calculateur!AQ187*Calculateur!AS187*VLOOKUP('Données projet'!$B$10,Paramètres!$A$1:$I$89,3,0)*0.475*44/12</f>
        <v>3.8657886109567285</v>
      </c>
      <c r="AW187" s="21">
        <f>EXP(-LN(2)/2)*AW186+(1-EXP(-LN(2)/2))/(LN(2)/2)*AQ187*AT187*VLOOKUP('Données projet'!$B$10,Paramètres!$A$1:$I$89,3,0)*0.475*44/12</f>
        <v>2.2405106219922395E-11</v>
      </c>
      <c r="AX187" s="21">
        <f t="shared" si="166"/>
        <v>51.731522773492834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4.3717136577470225E-13</v>
      </c>
      <c r="BF187" s="13">
        <f t="shared" si="167"/>
        <v>5.5313598682231701E-12</v>
      </c>
      <c r="BG187" s="20">
        <f t="shared" si="168"/>
        <v>1.039519189921296E-11</v>
      </c>
      <c r="BH187" s="59">
        <f t="shared" si="116"/>
        <v>289.67078632611714</v>
      </c>
      <c r="BI187" s="59">
        <f ca="1">AVERAGE(OFFSET($BH$3,0,0,'Données projet'!$E$11+1,1))-AVERAGE(OFFSET($H$3,0,0,'Données projet'!$E$11+1,1))</f>
        <v>627.65081154031589</v>
      </c>
      <c r="BJ187" s="59">
        <f t="shared" si="146"/>
        <v>288.78083487077618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230.92815700499065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230.92815700499065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4.8316906031686813E-13</v>
      </c>
      <c r="BZ187" s="13">
        <f>BY187*VLOOKUP('Données projet'!$B$12,Paramètres!$A$1:$I$89,3,0)*VLOOKUP('Données projet'!$B$12,Paramètres!$A$1:$I$89,5,0)</f>
        <v>4.8993342716130437E-13</v>
      </c>
      <c r="CA187" s="13">
        <f t="shared" si="170"/>
        <v>6.1172634040517391E-12</v>
      </c>
      <c r="CB187" s="20">
        <f t="shared" si="171"/>
        <v>1.1507534481029384E-11</v>
      </c>
      <c r="CC187" s="59">
        <f t="shared" si="119"/>
        <v>289.67078632611822</v>
      </c>
      <c r="CD187" s="59">
        <f ca="1">AVERAGE(OFFSET($CC$3,0,0,'Données projet'!$E$12+1,1))-AVERAGE(OFFSET($H$3,0,0,'Données projet'!$E$12+1,1))</f>
        <v>692.2706942067415</v>
      </c>
      <c r="CE187" s="59">
        <f t="shared" si="148"/>
        <v>316.17529091924803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258.79879664352399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258.79879664352399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1.1368683772161603E-13</v>
      </c>
      <c r="CU187" s="17">
        <f>CT187*VLOOKUP('Données projet'!$B$13,Paramètres!$A$1:$I$89,3,0)*VLOOKUP('Données projet'!$B$13,Paramètres!$A$1:$I$89,5,0)</f>
        <v>1.0818439477588981E-13</v>
      </c>
      <c r="CV187" s="13">
        <f t="shared" si="173"/>
        <v>1.6104228458716316E-12</v>
      </c>
      <c r="CW187" s="20">
        <f t="shared" si="174"/>
        <v>2.9932409441277661E-12</v>
      </c>
      <c r="CX187" s="59">
        <f t="shared" si="122"/>
        <v>289.67078632610975</v>
      </c>
      <c r="CY187" s="59">
        <f ca="1">AVERAGE(OFFSET($CX$3,0,0,'Données projet'!$E$13+1,1))-AVERAGE(OFFSET($H$3,0,0,'Données projet'!$E$13+1,1))</f>
        <v>424.5933338095914</v>
      </c>
      <c r="CZ187" s="59">
        <f t="shared" si="150"/>
        <v>159.28977188196134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54.594581933232668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54.594581933232668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-18.333333333333343</v>
      </c>
      <c r="DU187" s="59">
        <f t="shared" si="152"/>
        <v>-18.333333333333343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-18.333333333333343</v>
      </c>
      <c r="EP187" s="59">
        <f t="shared" si="154"/>
        <v>-18.333333333333343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4.8316906031686813E-13</v>
      </c>
      <c r="FF187" s="17">
        <f>FE187*VLOOKUP('Données projet'!$B$16,Paramètres!$A$1:$I$89,3,0)*VLOOKUP('Données projet'!$B$16,Paramètres!$A$1:$I$89,5,0)</f>
        <v>4.6732111513847483E-13</v>
      </c>
      <c r="FG187" s="13">
        <f t="shared" si="182"/>
        <v>5.8671100737071438E-12</v>
      </c>
      <c r="FH187" s="20">
        <f t="shared" si="183"/>
        <v>1.1032467653906121E-11</v>
      </c>
      <c r="FI187" s="59">
        <f t="shared" si="131"/>
        <v>289.67078632611776</v>
      </c>
      <c r="FJ187" s="59">
        <f ca="1">AVERAGE(OFFSET($FI$3,0,0,'Données projet'!$E$16+1,1))-AVERAGE(OFFSET($H$3,0,0,'Données projet'!$E$16+1,1))</f>
        <v>664.59451650228573</v>
      </c>
      <c r="FK187" s="59">
        <f t="shared" si="156"/>
        <v>304.44325029106631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246.85423679843836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246.85423679843836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-6.8212102632969618E-13</v>
      </c>
      <c r="O188" s="13">
        <f>N188*VLOOKUP('Données projet'!$B$9,Paramètres!$A$1:$I$89,3,0)*VLOOKUP('Données projet'!$B$9,Paramètres!$A$1:$I$89,5,0)</f>
        <v>-4.0790837374515837E-13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460.88622650237176</v>
      </c>
      <c r="T188" s="59">
        <f t="shared" si="142"/>
        <v>396.05161661639647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29.353465903282288</v>
      </c>
      <c r="AA188" s="21">
        <f>EXP(-LN(2)/25)*AA187+(1-EXP(-LN(2)/25))/(LN(2)/25)*Calculateur!V188*Calculateur!X188*VLOOKUP('Données projet'!$B$9,Paramètres!$A$1:$I$89,3,0)*0.475*44/12</f>
        <v>1.8980334643482117</v>
      </c>
      <c r="AB188" s="21">
        <f>EXP(-LN(2)/2)*AB187+(1-EXP(-LN(2)/2))/(LN(2)/2)*V188*Y188*VLOOKUP('Données projet'!$B$9,Paramètres!$A$1:$I$89,3,0)*0.475*44/12</f>
        <v>1.6130903827672563E-15</v>
      </c>
      <c r="AC188" s="22">
        <f t="shared" si="163"/>
        <v>31.251499367630501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projet'!$B$10,Paramètres!$A$1:$I$89,3,0)*VLOOKUP('Données projet'!$B$10,Paramètres!$A$1:$I$89,5,0)</f>
        <v>-2.1282176021486519E-13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387.50901594883317</v>
      </c>
      <c r="AO188" s="59">
        <f t="shared" si="144"/>
        <v>361.3623790401972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46.927116310801864</v>
      </c>
      <c r="AV188" s="21">
        <f>EXP(-LN(2)/25)*AV187+(1-EXP(-LN(2)/25))/(LN(2)/25)*Calculateur!AQ188*Calculateur!AS188*VLOOKUP('Données projet'!$B$10,Paramètres!$A$1:$I$89,3,0)*0.475*44/12</f>
        <v>3.7600784180971289</v>
      </c>
      <c r="AW188" s="21">
        <f>EXP(-LN(2)/2)*AW187+(1-EXP(-LN(2)/2))/(LN(2)/2)*AQ188*AT188*VLOOKUP('Données projet'!$B$10,Paramètres!$A$1:$I$89,3,0)*0.475*44/12</f>
        <v>1.584280254131202E-11</v>
      </c>
      <c r="AX188" s="21">
        <f t="shared" si="166"/>
        <v>50.687194728914839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4.3717136577470225E-13</v>
      </c>
      <c r="BF188" s="13">
        <f t="shared" si="167"/>
        <v>5.5313598682231701E-12</v>
      </c>
      <c r="BG188" s="20">
        <f t="shared" si="168"/>
        <v>1.039519189921296E-11</v>
      </c>
      <c r="BH188" s="59">
        <f t="shared" si="116"/>
        <v>289.73432332846414</v>
      </c>
      <c r="BI188" s="59">
        <f ca="1">AVERAGE(OFFSET($BH$3,0,0,'Données projet'!$E$11+1,1))-AVERAGE(OFFSET($H$3,0,0,'Données projet'!$E$11+1,1))</f>
        <v>627.65081154031589</v>
      </c>
      <c r="BJ188" s="59">
        <f t="shared" si="146"/>
        <v>288.78083487077618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226.39979669839056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226.39979669839056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4.8316906031686813E-13</v>
      </c>
      <c r="BZ188" s="13">
        <f>BY188*VLOOKUP('Données projet'!$B$12,Paramètres!$A$1:$I$89,3,0)*VLOOKUP('Données projet'!$B$12,Paramètres!$A$1:$I$89,5,0)</f>
        <v>4.8993342716130437E-13</v>
      </c>
      <c r="CA188" s="13">
        <f t="shared" si="170"/>
        <v>6.1172634040517391E-12</v>
      </c>
      <c r="CB188" s="20">
        <f t="shared" si="171"/>
        <v>1.1507534481029384E-11</v>
      </c>
      <c r="CC188" s="59">
        <f t="shared" si="119"/>
        <v>289.73432332846522</v>
      </c>
      <c r="CD188" s="59">
        <f ca="1">AVERAGE(OFFSET($CC$3,0,0,'Données projet'!$E$12+1,1))-AVERAGE(OFFSET($H$3,0,0,'Données projet'!$E$12+1,1))</f>
        <v>692.2706942067415</v>
      </c>
      <c r="CE188" s="59">
        <f t="shared" si="148"/>
        <v>316.17529091924803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253.72391009302387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253.72391009302387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1.1368683772161603E-13</v>
      </c>
      <c r="CU188" s="17">
        <f>CT188*VLOOKUP('Données projet'!$B$13,Paramètres!$A$1:$I$89,3,0)*VLOOKUP('Données projet'!$B$13,Paramètres!$A$1:$I$89,5,0)</f>
        <v>1.0818439477588981E-13</v>
      </c>
      <c r="CV188" s="13">
        <f t="shared" si="173"/>
        <v>1.6104228458716316E-12</v>
      </c>
      <c r="CW188" s="20">
        <f t="shared" si="174"/>
        <v>2.9932409441277661E-12</v>
      </c>
      <c r="CX188" s="59">
        <f t="shared" si="122"/>
        <v>289.73432332845675</v>
      </c>
      <c r="CY188" s="59">
        <f ca="1">AVERAGE(OFFSET($CX$3,0,0,'Données projet'!$E$13+1,1))-AVERAGE(OFFSET($H$3,0,0,'Données projet'!$E$13+1,1))</f>
        <v>424.5933338095914</v>
      </c>
      <c r="CZ188" s="59">
        <f t="shared" si="150"/>
        <v>159.28977188196134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53.524015480928909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53.524015480928909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-18.333333333333343</v>
      </c>
      <c r="DU188" s="59">
        <f t="shared" si="152"/>
        <v>-18.333333333333343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-18.333333333333343</v>
      </c>
      <c r="EP188" s="59">
        <f t="shared" si="154"/>
        <v>-18.333333333333343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4.8316906031686813E-13</v>
      </c>
      <c r="FF188" s="17">
        <f>FE188*VLOOKUP('Données projet'!$B$16,Paramètres!$A$1:$I$89,3,0)*VLOOKUP('Données projet'!$B$16,Paramètres!$A$1:$I$89,5,0)</f>
        <v>4.6732111513847483E-13</v>
      </c>
      <c r="FG188" s="13">
        <f t="shared" si="182"/>
        <v>5.8671100737071438E-12</v>
      </c>
      <c r="FH188" s="20">
        <f t="shared" si="183"/>
        <v>1.1032467653906121E-11</v>
      </c>
      <c r="FI188" s="59">
        <f t="shared" si="131"/>
        <v>289.73432332846477</v>
      </c>
      <c r="FJ188" s="59">
        <f ca="1">AVERAGE(OFFSET($FI$3,0,0,'Données projet'!$E$16+1,1))-AVERAGE(OFFSET($H$3,0,0,'Données projet'!$E$16+1,1))</f>
        <v>664.59451650228573</v>
      </c>
      <c r="FK188" s="59">
        <f t="shared" si="156"/>
        <v>304.44325029106631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242.01357578103827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242.01357578103827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-6.8212102632969618E-13</v>
      </c>
      <c r="O189" s="13">
        <f>N189*VLOOKUP('Données projet'!$B$9,Paramètres!$A$1:$I$89,3,0)*VLOOKUP('Données projet'!$B$9,Paramètres!$A$1:$I$89,5,0)</f>
        <v>-4.0790837374515837E-13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460.88622650237176</v>
      </c>
      <c r="T189" s="59">
        <f t="shared" si="142"/>
        <v>396.05161661639647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28.777862340765264</v>
      </c>
      <c r="AA189" s="21">
        <f>EXP(-LN(2)/25)*AA188+(1-EXP(-LN(2)/25))/(LN(2)/25)*Calculateur!V189*Calculateur!X189*VLOOKUP('Données projet'!$B$9,Paramètres!$A$1:$I$89,3,0)*0.475*44/12</f>
        <v>1.8461316394523679</v>
      </c>
      <c r="AB189" s="21">
        <f>EXP(-LN(2)/2)*AB188+(1-EXP(-LN(2)/2))/(LN(2)/2)*V189*Y189*VLOOKUP('Données projet'!$B$9,Paramètres!$A$1:$I$89,3,0)*0.475*44/12</f>
        <v>1.1406271483215305E-15</v>
      </c>
      <c r="AC189" s="22">
        <f t="shared" si="163"/>
        <v>30.62399398021763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projet'!$B$10,Paramètres!$A$1:$I$89,3,0)*VLOOKUP('Données projet'!$B$10,Paramètres!$A$1:$I$89,5,0)</f>
        <v>-2.1282176021486519E-13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387.50901594883317</v>
      </c>
      <c r="AO189" s="59">
        <f t="shared" si="144"/>
        <v>361.3623790401972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46.006904182661728</v>
      </c>
      <c r="AV189" s="21">
        <f>EXP(-LN(2)/25)*AV188+(1-EXP(-LN(2)/25))/(LN(2)/25)*Calculateur!AQ189*Calculateur!AS189*VLOOKUP('Données projet'!$B$10,Paramètres!$A$1:$I$89,3,0)*0.475*44/12</f>
        <v>3.6572588760203328</v>
      </c>
      <c r="AW189" s="21">
        <f>EXP(-LN(2)/2)*AW188+(1-EXP(-LN(2)/2))/(LN(2)/2)*AQ189*AT189*VLOOKUP('Données projet'!$B$10,Paramètres!$A$1:$I$89,3,0)*0.475*44/12</f>
        <v>1.1202553109961198E-11</v>
      </c>
      <c r="AX189" s="21">
        <f t="shared" si="166"/>
        <v>49.664163058693269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4.3717136577470225E-13</v>
      </c>
      <c r="BF189" s="13">
        <f t="shared" si="167"/>
        <v>5.5313598682231701E-12</v>
      </c>
      <c r="BG189" s="20">
        <f t="shared" si="168"/>
        <v>1.039519189921296E-11</v>
      </c>
      <c r="BH189" s="59">
        <f t="shared" si="116"/>
        <v>289.79675810586781</v>
      </c>
      <c r="BI189" s="59">
        <f ca="1">AVERAGE(OFFSET($BH$3,0,0,'Données projet'!$E$11+1,1))-AVERAGE(OFFSET($H$3,0,0,'Données projet'!$E$11+1,1))</f>
        <v>627.65081154031589</v>
      </c>
      <c r="BJ189" s="59">
        <f t="shared" si="146"/>
        <v>288.78083487077618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221.96023477537582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221.96023477537582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4.8316906031686813E-13</v>
      </c>
      <c r="BZ189" s="13">
        <f>BY189*VLOOKUP('Données projet'!$B$12,Paramètres!$A$1:$I$89,3,0)*VLOOKUP('Données projet'!$B$12,Paramètres!$A$1:$I$89,5,0)</f>
        <v>4.8993342716130437E-13</v>
      </c>
      <c r="CA189" s="13">
        <f t="shared" si="170"/>
        <v>6.1172634040517391E-12</v>
      </c>
      <c r="CB189" s="20">
        <f t="shared" si="171"/>
        <v>1.1507534481029384E-11</v>
      </c>
      <c r="CC189" s="59">
        <f t="shared" si="119"/>
        <v>289.79675810586889</v>
      </c>
      <c r="CD189" s="59">
        <f ca="1">AVERAGE(OFFSET($CC$3,0,0,'Données projet'!$E$12+1,1))-AVERAGE(OFFSET($H$3,0,0,'Données projet'!$E$12+1,1))</f>
        <v>692.2706942067415</v>
      </c>
      <c r="CE189" s="59">
        <f t="shared" si="148"/>
        <v>316.17529091924803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248.74853897240391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248.74853897240391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1.1368683772161603E-13</v>
      </c>
      <c r="CU189" s="17">
        <f>CT189*VLOOKUP('Données projet'!$B$13,Paramètres!$A$1:$I$89,3,0)*VLOOKUP('Données projet'!$B$13,Paramètres!$A$1:$I$89,5,0)</f>
        <v>1.0818439477588981E-13</v>
      </c>
      <c r="CV189" s="13">
        <f t="shared" si="173"/>
        <v>1.6104228458716316E-12</v>
      </c>
      <c r="CW189" s="20">
        <f t="shared" si="174"/>
        <v>2.9932409441277661E-12</v>
      </c>
      <c r="CX189" s="59">
        <f t="shared" si="122"/>
        <v>289.79675810586042</v>
      </c>
      <c r="CY189" s="59">
        <f ca="1">AVERAGE(OFFSET($CX$3,0,0,'Données projet'!$E$13+1,1))-AVERAGE(OFFSET($H$3,0,0,'Données projet'!$E$13+1,1))</f>
        <v>424.5933338095914</v>
      </c>
      <c r="CZ189" s="59">
        <f t="shared" si="150"/>
        <v>159.28977188196134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52.474442183773768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52.474442183773768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-18.333333333333343</v>
      </c>
      <c r="DU189" s="59">
        <f t="shared" si="152"/>
        <v>-18.333333333333343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-18.333333333333343</v>
      </c>
      <c r="EP189" s="59">
        <f t="shared" si="154"/>
        <v>-18.333333333333343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4.8316906031686813E-13</v>
      </c>
      <c r="FF189" s="17">
        <f>FE189*VLOOKUP('Données projet'!$B$16,Paramètres!$A$1:$I$89,3,0)*VLOOKUP('Données projet'!$B$16,Paramètres!$A$1:$I$89,5,0)</f>
        <v>4.6732111513847483E-13</v>
      </c>
      <c r="FG189" s="13">
        <f t="shared" si="182"/>
        <v>5.8671100737071438E-12</v>
      </c>
      <c r="FH189" s="20">
        <f t="shared" si="183"/>
        <v>1.1032467653906121E-11</v>
      </c>
      <c r="FI189" s="59">
        <f t="shared" si="131"/>
        <v>289.79675810586843</v>
      </c>
      <c r="FJ189" s="59">
        <f ca="1">AVERAGE(OFFSET($FI$3,0,0,'Données projet'!$E$16+1,1))-AVERAGE(OFFSET($H$3,0,0,'Données projet'!$E$16+1,1))</f>
        <v>664.59451650228573</v>
      </c>
      <c r="FK189" s="59">
        <f t="shared" si="156"/>
        <v>304.44325029106631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237.26783717367769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237.26783717367769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-6.8212102632969618E-13</v>
      </c>
      <c r="O190" s="13">
        <f>N190*VLOOKUP('Données projet'!$B$9,Paramètres!$A$1:$I$89,3,0)*VLOOKUP('Données projet'!$B$9,Paramètres!$A$1:$I$89,5,0)</f>
        <v>-4.0790837374515837E-13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460.88622650237176</v>
      </c>
      <c r="T190" s="59">
        <f t="shared" si="142"/>
        <v>396.05161661639647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28.213546013025695</v>
      </c>
      <c r="AA190" s="21">
        <f>EXP(-LN(2)/25)*AA189+(1-EXP(-LN(2)/25))/(LN(2)/25)*Calculateur!V190*Calculateur!X190*VLOOKUP('Données projet'!$B$9,Paramètres!$A$1:$I$89,3,0)*0.475*44/12</f>
        <v>1.7956490726876995</v>
      </c>
      <c r="AB190" s="21">
        <f>EXP(-LN(2)/2)*AB189+(1-EXP(-LN(2)/2))/(LN(2)/2)*V190*Y190*VLOOKUP('Données projet'!$B$9,Paramètres!$A$1:$I$89,3,0)*0.475*44/12</f>
        <v>8.0654519138362815E-16</v>
      </c>
      <c r="AC190" s="22">
        <f t="shared" si="163"/>
        <v>30.009195085713394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projet'!$B$10,Paramètres!$A$1:$I$89,3,0)*VLOOKUP('Données projet'!$B$10,Paramètres!$A$1:$I$89,5,0)</f>
        <v>-2.1282176021486519E-13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387.50901594883317</v>
      </c>
      <c r="AO190" s="59">
        <f t="shared" si="144"/>
        <v>361.3623790401972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45.104736853080446</v>
      </c>
      <c r="AV190" s="21">
        <f>EXP(-LN(2)/25)*AV189+(1-EXP(-LN(2)/25))/(LN(2)/25)*Calculateur!AQ190*Calculateur!AS190*VLOOKUP('Données projet'!$B$10,Paramètres!$A$1:$I$89,3,0)*0.475*44/12</f>
        <v>3.5572509397286711</v>
      </c>
      <c r="AW190" s="21">
        <f>EXP(-LN(2)/2)*AW189+(1-EXP(-LN(2)/2))/(LN(2)/2)*AQ190*AT190*VLOOKUP('Données projet'!$B$10,Paramètres!$A$1:$I$89,3,0)*0.475*44/12</f>
        <v>7.9214012706560098E-12</v>
      </c>
      <c r="AX190" s="21">
        <f t="shared" si="166"/>
        <v>48.661987792817037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4.3717136577470225E-13</v>
      </c>
      <c r="BF190" s="13">
        <f t="shared" si="167"/>
        <v>5.5313598682231701E-12</v>
      </c>
      <c r="BG190" s="20">
        <f t="shared" si="168"/>
        <v>1.039519189921296E-11</v>
      </c>
      <c r="BH190" s="59">
        <f t="shared" si="116"/>
        <v>289.85810977946682</v>
      </c>
      <c r="BI190" s="59">
        <f ca="1">AVERAGE(OFFSET($BH$3,0,0,'Données projet'!$E$11+1,1))-AVERAGE(OFFSET($H$3,0,0,'Données projet'!$E$11+1,1))</f>
        <v>627.65081154031589</v>
      </c>
      <c r="BJ190" s="59">
        <f t="shared" si="146"/>
        <v>288.78083487077618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217.60772995380603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217.60772995380603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4.8316906031686813E-13</v>
      </c>
      <c r="BZ190" s="13">
        <f>BY190*VLOOKUP('Données projet'!$B$12,Paramètres!$A$1:$I$89,3,0)*VLOOKUP('Données projet'!$B$12,Paramètres!$A$1:$I$89,5,0)</f>
        <v>4.8993342716130437E-13</v>
      </c>
      <c r="CA190" s="13">
        <f t="shared" si="170"/>
        <v>6.1172634040517391E-12</v>
      </c>
      <c r="CB190" s="20">
        <f t="shared" si="171"/>
        <v>1.1507534481029384E-11</v>
      </c>
      <c r="CC190" s="59">
        <f t="shared" si="119"/>
        <v>289.8581097794679</v>
      </c>
      <c r="CD190" s="59">
        <f ca="1">AVERAGE(OFFSET($CC$3,0,0,'Données projet'!$E$12+1,1))-AVERAGE(OFFSET($H$3,0,0,'Données projet'!$E$12+1,1))</f>
        <v>692.2706942067415</v>
      </c>
      <c r="CE190" s="59">
        <f t="shared" si="148"/>
        <v>316.17529091924803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243.87073184478257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243.87073184478257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1.1368683772161603E-13</v>
      </c>
      <c r="CU190" s="17">
        <f>CT190*VLOOKUP('Données projet'!$B$13,Paramètres!$A$1:$I$89,3,0)*VLOOKUP('Données projet'!$B$13,Paramètres!$A$1:$I$89,5,0)</f>
        <v>1.0818439477588981E-13</v>
      </c>
      <c r="CV190" s="13">
        <f t="shared" si="173"/>
        <v>1.6104228458716316E-12</v>
      </c>
      <c r="CW190" s="20">
        <f t="shared" si="174"/>
        <v>2.9932409441277661E-12</v>
      </c>
      <c r="CX190" s="59">
        <f t="shared" si="122"/>
        <v>289.85810977945943</v>
      </c>
      <c r="CY190" s="59">
        <f ca="1">AVERAGE(OFFSET($CX$3,0,0,'Données projet'!$E$13+1,1))-AVERAGE(OFFSET($H$3,0,0,'Données projet'!$E$13+1,1))</f>
        <v>424.5933338095914</v>
      </c>
      <c r="CZ190" s="59">
        <f t="shared" si="150"/>
        <v>159.28977188196134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51.445450378799343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51.445450378799343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-18.333333333333343</v>
      </c>
      <c r="DU190" s="59">
        <f t="shared" si="152"/>
        <v>-18.333333333333343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-18.333333333333343</v>
      </c>
      <c r="EP190" s="59">
        <f t="shared" si="154"/>
        <v>-18.333333333333343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4.8316906031686813E-13</v>
      </c>
      <c r="FF190" s="17">
        <f>FE190*VLOOKUP('Données projet'!$B$16,Paramètres!$A$1:$I$89,3,0)*VLOOKUP('Données projet'!$B$16,Paramètres!$A$1:$I$89,5,0)</f>
        <v>4.6732111513847483E-13</v>
      </c>
      <c r="FG190" s="13">
        <f t="shared" si="182"/>
        <v>5.8671100737071438E-12</v>
      </c>
      <c r="FH190" s="20">
        <f t="shared" si="183"/>
        <v>1.1032467653906121E-11</v>
      </c>
      <c r="FI190" s="59">
        <f t="shared" si="131"/>
        <v>289.85810977946744</v>
      </c>
      <c r="FJ190" s="59">
        <f ca="1">AVERAGE(OFFSET($FI$3,0,0,'Données projet'!$E$16+1,1))-AVERAGE(OFFSET($H$3,0,0,'Données projet'!$E$16+1,1))</f>
        <v>664.59451650228573</v>
      </c>
      <c r="FK190" s="59">
        <f t="shared" si="156"/>
        <v>304.44325029106631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232.61515960579271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232.61515960579271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-6.8212102632969618E-13</v>
      </c>
      <c r="O191" s="13">
        <f>N191*VLOOKUP('Données projet'!$B$9,Paramètres!$A$1:$I$89,3,0)*VLOOKUP('Données projet'!$B$9,Paramètres!$A$1:$I$89,5,0)</f>
        <v>-4.0790837374515837E-13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460.88622650237176</v>
      </c>
      <c r="T191" s="59">
        <f t="shared" si="142"/>
        <v>396.05161661639647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27.660295584274124</v>
      </c>
      <c r="AA191" s="21">
        <f>EXP(-LN(2)/25)*AA190+(1-EXP(-LN(2)/25))/(LN(2)/25)*Calculateur!V191*Calculateur!X191*VLOOKUP('Données projet'!$B$9,Paramètres!$A$1:$I$89,3,0)*0.475*44/12</f>
        <v>1.7465469543659735</v>
      </c>
      <c r="AB191" s="21">
        <f>EXP(-LN(2)/2)*AB190+(1-EXP(-LN(2)/2))/(LN(2)/2)*V191*Y191*VLOOKUP('Données projet'!$B$9,Paramètres!$A$1:$I$89,3,0)*0.475*44/12</f>
        <v>5.7031357416076524E-16</v>
      </c>
      <c r="AC191" s="22">
        <f t="shared" si="163"/>
        <v>29.406842538640099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projet'!$B$10,Paramètres!$A$1:$I$89,3,0)*VLOOKUP('Données projet'!$B$10,Paramètres!$A$1:$I$89,5,0)</f>
        <v>-2.1282176021486519E-13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387.50901594883317</v>
      </c>
      <c r="AO191" s="59">
        <f t="shared" si="144"/>
        <v>361.3623790401972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44.220260474564519</v>
      </c>
      <c r="AV191" s="21">
        <f>EXP(-LN(2)/25)*AV190+(1-EXP(-LN(2)/25))/(LN(2)/25)*Calculateur!AQ191*Calculateur!AS191*VLOOKUP('Données projet'!$B$10,Paramètres!$A$1:$I$89,3,0)*0.475*44/12</f>
        <v>3.459977725714094</v>
      </c>
      <c r="AW191" s="21">
        <f>EXP(-LN(2)/2)*AW190+(1-EXP(-LN(2)/2))/(LN(2)/2)*AQ191*AT191*VLOOKUP('Données projet'!$B$10,Paramètres!$A$1:$I$89,3,0)*0.475*44/12</f>
        <v>5.6012765549805988E-12</v>
      </c>
      <c r="AX191" s="21">
        <f t="shared" si="166"/>
        <v>47.680238200284215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4.3717136577470225E-13</v>
      </c>
      <c r="BF191" s="13">
        <f t="shared" si="167"/>
        <v>5.5313598682231701E-12</v>
      </c>
      <c r="BG191" s="20">
        <f t="shared" si="168"/>
        <v>1.039519189921296E-11</v>
      </c>
      <c r="BH191" s="59">
        <f t="shared" si="116"/>
        <v>289.91839713869064</v>
      </c>
      <c r="BI191" s="59">
        <f ca="1">AVERAGE(OFFSET($BH$3,0,0,'Données projet'!$E$11+1,1))-AVERAGE(OFFSET($H$3,0,0,'Données projet'!$E$11+1,1))</f>
        <v>627.65081154031589</v>
      </c>
      <c r="BJ191" s="59">
        <f t="shared" si="146"/>
        <v>288.78083487077618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213.3405750970214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213.3405750970214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4.8316906031686813E-13</v>
      </c>
      <c r="BZ191" s="13">
        <f>BY191*VLOOKUP('Données projet'!$B$12,Paramètres!$A$1:$I$89,3,0)*VLOOKUP('Données projet'!$B$12,Paramètres!$A$1:$I$89,5,0)</f>
        <v>4.8993342716130437E-13</v>
      </c>
      <c r="CA191" s="13">
        <f t="shared" si="170"/>
        <v>6.1172634040517391E-12</v>
      </c>
      <c r="CB191" s="20">
        <f t="shared" si="171"/>
        <v>1.1507534481029384E-11</v>
      </c>
      <c r="CC191" s="59">
        <f t="shared" si="119"/>
        <v>289.91839713869172</v>
      </c>
      <c r="CD191" s="59">
        <f ca="1">AVERAGE(OFFSET($CC$3,0,0,'Données projet'!$E$12+1,1))-AVERAGE(OFFSET($H$3,0,0,'Données projet'!$E$12+1,1))</f>
        <v>692.2706942067415</v>
      </c>
      <c r="CE191" s="59">
        <f t="shared" si="148"/>
        <v>316.17529091924803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239.08857553976532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239.08857553976532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1.1368683772161603E-13</v>
      </c>
      <c r="CU191" s="17">
        <f>CT191*VLOOKUP('Données projet'!$B$13,Paramètres!$A$1:$I$89,3,0)*VLOOKUP('Données projet'!$B$13,Paramètres!$A$1:$I$89,5,0)</f>
        <v>1.0818439477588981E-13</v>
      </c>
      <c r="CV191" s="13">
        <f t="shared" si="173"/>
        <v>1.6104228458716316E-12</v>
      </c>
      <c r="CW191" s="20">
        <f t="shared" si="174"/>
        <v>2.9932409441277661E-12</v>
      </c>
      <c r="CX191" s="59">
        <f t="shared" si="122"/>
        <v>289.91839713868325</v>
      </c>
      <c r="CY191" s="59">
        <f ca="1">AVERAGE(OFFSET($CX$3,0,0,'Données projet'!$E$13+1,1))-AVERAGE(OFFSET($H$3,0,0,'Données projet'!$E$13+1,1))</f>
        <v>424.5933338095914</v>
      </c>
      <c r="CZ191" s="59">
        <f t="shared" si="150"/>
        <v>159.28977188196134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50.436636475497437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50.436636475497437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-18.333333333333343</v>
      </c>
      <c r="DU191" s="59">
        <f t="shared" si="152"/>
        <v>-18.333333333333343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-18.333333333333343</v>
      </c>
      <c r="EP191" s="59">
        <f t="shared" si="154"/>
        <v>-18.333333333333343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4.8316906031686813E-13</v>
      </c>
      <c r="FF191" s="17">
        <f>FE191*VLOOKUP('Données projet'!$B$16,Paramètres!$A$1:$I$89,3,0)*VLOOKUP('Données projet'!$B$16,Paramètres!$A$1:$I$89,5,0)</f>
        <v>4.6732111513847483E-13</v>
      </c>
      <c r="FG191" s="13">
        <f t="shared" si="182"/>
        <v>5.8671100737071438E-12</v>
      </c>
      <c r="FH191" s="20">
        <f t="shared" si="183"/>
        <v>1.1032467653906121E-11</v>
      </c>
      <c r="FI191" s="59">
        <f t="shared" si="131"/>
        <v>289.91839713869126</v>
      </c>
      <c r="FJ191" s="59">
        <f ca="1">AVERAGE(OFFSET($FI$3,0,0,'Données projet'!$E$16+1,1))-AVERAGE(OFFSET($H$3,0,0,'Données projet'!$E$16+1,1))</f>
        <v>664.59451650228573</v>
      </c>
      <c r="FK191" s="59">
        <f t="shared" si="156"/>
        <v>304.44325029106631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228.05371820716087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228.05371820716087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-6.8212102632969618E-13</v>
      </c>
      <c r="O192" s="13">
        <f>N192*VLOOKUP('Données projet'!$B$9,Paramètres!$A$1:$I$89,3,0)*VLOOKUP('Données projet'!$B$9,Paramètres!$A$1:$I$89,5,0)</f>
        <v>-4.0790837374515837E-13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460.88622650237176</v>
      </c>
      <c r="T192" s="59">
        <f t="shared" si="142"/>
        <v>396.05161661639647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27.11789405898093</v>
      </c>
      <c r="AA192" s="21">
        <f>EXP(-LN(2)/25)*AA191+(1-EXP(-LN(2)/25))/(LN(2)/25)*Calculateur!V192*Calculateur!X192*VLOOKUP('Données projet'!$B$9,Paramètres!$A$1:$I$89,3,0)*0.475*44/12</f>
        <v>1.6987875360519233</v>
      </c>
      <c r="AB192" s="21">
        <f>EXP(-LN(2)/2)*AB191+(1-EXP(-LN(2)/2))/(LN(2)/2)*V192*Y192*VLOOKUP('Données projet'!$B$9,Paramètres!$A$1:$I$89,3,0)*0.475*44/12</f>
        <v>4.0327259569181407E-16</v>
      </c>
      <c r="AC192" s="22">
        <f t="shared" si="163"/>
        <v>28.816681595032854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projet'!$B$10,Paramètres!$A$1:$I$89,3,0)*VLOOKUP('Données projet'!$B$10,Paramètres!$A$1:$I$89,5,0)</f>
        <v>-2.1282176021486519E-13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387.50901594883317</v>
      </c>
      <c r="AO192" s="59">
        <f t="shared" si="144"/>
        <v>361.3623790401972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43.353128138353966</v>
      </c>
      <c r="AV192" s="21">
        <f>EXP(-LN(2)/25)*AV191+(1-EXP(-LN(2)/25))/(LN(2)/25)*Calculateur!AQ192*Calculateur!AS192*VLOOKUP('Données projet'!$B$10,Paramètres!$A$1:$I$89,3,0)*0.475*44/12</f>
        <v>3.3653644528521216</v>
      </c>
      <c r="AW192" s="21">
        <f>EXP(-LN(2)/2)*AW191+(1-EXP(-LN(2)/2))/(LN(2)/2)*AQ192*AT192*VLOOKUP('Données projet'!$B$10,Paramètres!$A$1:$I$89,3,0)*0.475*44/12</f>
        <v>3.9607006353280049E-12</v>
      </c>
      <c r="AX192" s="21">
        <f t="shared" si="166"/>
        <v>46.718492591210044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4.3717136577470225E-13</v>
      </c>
      <c r="BF192" s="13">
        <f t="shared" si="167"/>
        <v>5.5313598682231701E-12</v>
      </c>
      <c r="BG192" s="20">
        <f t="shared" si="168"/>
        <v>1.039519189921296E-11</v>
      </c>
      <c r="BH192" s="59">
        <f t="shared" si="116"/>
        <v>289.97763864701426</v>
      </c>
      <c r="BI192" s="59">
        <f ca="1">AVERAGE(OFFSET($BH$3,0,0,'Données projet'!$E$11+1,1))-AVERAGE(OFFSET($H$3,0,0,'Données projet'!$E$11+1,1))</f>
        <v>627.65081154031589</v>
      </c>
      <c r="BJ192" s="59">
        <f t="shared" si="146"/>
        <v>288.78083487077618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209.15709654427084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209.15709654427084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4.8316906031686813E-13</v>
      </c>
      <c r="BZ192" s="13">
        <f>BY192*VLOOKUP('Données projet'!$B$12,Paramètres!$A$1:$I$89,3,0)*VLOOKUP('Données projet'!$B$12,Paramètres!$A$1:$I$89,5,0)</f>
        <v>4.8993342716130437E-13</v>
      </c>
      <c r="CA192" s="13">
        <f t="shared" si="170"/>
        <v>6.1172634040517391E-12</v>
      </c>
      <c r="CB192" s="20">
        <f t="shared" si="171"/>
        <v>1.1507534481029384E-11</v>
      </c>
      <c r="CC192" s="59">
        <f t="shared" si="119"/>
        <v>289.97763864701534</v>
      </c>
      <c r="CD192" s="59">
        <f ca="1">AVERAGE(OFFSET($CC$3,0,0,'Données projet'!$E$12+1,1))-AVERAGE(OFFSET($H$3,0,0,'Données projet'!$E$12+1,1))</f>
        <v>692.2706942067415</v>
      </c>
      <c r="CE192" s="59">
        <f t="shared" si="148"/>
        <v>316.17529091924803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234.40019440306213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234.40019440306213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1.1368683772161603E-13</v>
      </c>
      <c r="CU192" s="17">
        <f>CT192*VLOOKUP('Données projet'!$B$13,Paramètres!$A$1:$I$89,3,0)*VLOOKUP('Données projet'!$B$13,Paramètres!$A$1:$I$89,5,0)</f>
        <v>1.0818439477588981E-13</v>
      </c>
      <c r="CV192" s="13">
        <f t="shared" si="173"/>
        <v>1.6104228458716316E-12</v>
      </c>
      <c r="CW192" s="20">
        <f t="shared" si="174"/>
        <v>2.9932409441277661E-12</v>
      </c>
      <c r="CX192" s="59">
        <f t="shared" si="122"/>
        <v>289.97763864700687</v>
      </c>
      <c r="CY192" s="59">
        <f ca="1">AVERAGE(OFFSET($CX$3,0,0,'Données projet'!$E$13+1,1))-AVERAGE(OFFSET($H$3,0,0,'Données projet'!$E$13+1,1))</f>
        <v>424.5933338095914</v>
      </c>
      <c r="CZ192" s="59">
        <f t="shared" si="150"/>
        <v>159.28977188196134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49.44760479752356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49.44760479752356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-18.333333333333343</v>
      </c>
      <c r="DU192" s="59">
        <f t="shared" si="152"/>
        <v>-18.333333333333343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-18.333333333333343</v>
      </c>
      <c r="EP192" s="59">
        <f t="shared" si="154"/>
        <v>-18.333333333333343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4.8316906031686813E-13</v>
      </c>
      <c r="FF192" s="17">
        <f>FE192*VLOOKUP('Données projet'!$B$16,Paramètres!$A$1:$I$89,3,0)*VLOOKUP('Données projet'!$B$16,Paramètres!$A$1:$I$89,5,0)</f>
        <v>4.6732111513847483E-13</v>
      </c>
      <c r="FG192" s="13">
        <f t="shared" si="182"/>
        <v>5.8671100737071438E-12</v>
      </c>
      <c r="FH192" s="20">
        <f t="shared" si="183"/>
        <v>1.1032467653906121E-11</v>
      </c>
      <c r="FI192" s="59">
        <f t="shared" si="131"/>
        <v>289.97763864701489</v>
      </c>
      <c r="FJ192" s="59">
        <f ca="1">AVERAGE(OFFSET($FI$3,0,0,'Données projet'!$E$16+1,1))-AVERAGE(OFFSET($H$3,0,0,'Données projet'!$E$16+1,1))</f>
        <v>664.59451650228573</v>
      </c>
      <c r="FK192" s="59">
        <f t="shared" si="156"/>
        <v>304.44325029106631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223.58172389215167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223.58172389215167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-6.8212102632969618E-13</v>
      </c>
      <c r="O193" s="13">
        <f>N193*VLOOKUP('Données projet'!$B$9,Paramètres!$A$1:$I$89,3,0)*VLOOKUP('Données projet'!$B$9,Paramètres!$A$1:$I$89,5,0)</f>
        <v>-4.0790837374515837E-13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460.88622650237176</v>
      </c>
      <c r="T193" s="59">
        <f t="shared" si="142"/>
        <v>396.05161661639647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26.586128696766473</v>
      </c>
      <c r="AA193" s="21">
        <f>EXP(-LN(2)/25)*AA192+(1-EXP(-LN(2)/25))/(LN(2)/25)*Calculateur!V193*Calculateur!X193*VLOOKUP('Données projet'!$B$9,Paramètres!$A$1:$I$89,3,0)*0.475*44/12</f>
        <v>1.6523341015432296</v>
      </c>
      <c r="AB193" s="21">
        <f>EXP(-LN(2)/2)*AB192+(1-EXP(-LN(2)/2))/(LN(2)/2)*V193*Y193*VLOOKUP('Données projet'!$B$9,Paramètres!$A$1:$I$89,3,0)*0.475*44/12</f>
        <v>2.8515678708038262E-16</v>
      </c>
      <c r="AC193" s="22">
        <f t="shared" si="163"/>
        <v>28.238462798309701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projet'!$B$10,Paramètres!$A$1:$I$89,3,0)*VLOOKUP('Données projet'!$B$10,Paramètres!$A$1:$I$89,5,0)</f>
        <v>-2.1282176021486519E-13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387.50901594883317</v>
      </c>
      <c r="AO193" s="59">
        <f t="shared" si="144"/>
        <v>361.3623790401972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42.502999738358</v>
      </c>
      <c r="AV193" s="21">
        <f>EXP(-LN(2)/25)*AV192+(1-EXP(-LN(2)/25))/(LN(2)/25)*Calculateur!AQ193*Calculateur!AS193*VLOOKUP('Données projet'!$B$10,Paramètres!$A$1:$I$89,3,0)*0.475*44/12</f>
        <v>3.2733383849120554</v>
      </c>
      <c r="AW193" s="21">
        <f>EXP(-LN(2)/2)*AW192+(1-EXP(-LN(2)/2))/(LN(2)/2)*AQ193*AT193*VLOOKUP('Données projet'!$B$10,Paramètres!$A$1:$I$89,3,0)*0.475*44/12</f>
        <v>2.8006382774902994E-12</v>
      </c>
      <c r="AX193" s="21">
        <f t="shared" si="166"/>
        <v>45.776338123272858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4.3717136577470225E-13</v>
      </c>
      <c r="BF193" s="13">
        <f t="shared" si="167"/>
        <v>5.5313598682231701E-12</v>
      </c>
      <c r="BG193" s="20">
        <f t="shared" si="168"/>
        <v>1.039519189921296E-11</v>
      </c>
      <c r="BH193" s="59">
        <f t="shared" si="116"/>
        <v>290.03585244761268</v>
      </c>
      <c r="BI193" s="59">
        <f ca="1">AVERAGE(OFFSET($BH$3,0,0,'Données projet'!$E$11+1,1))-AVERAGE(OFFSET($H$3,0,0,'Données projet'!$E$11+1,1))</f>
        <v>627.65081154031589</v>
      </c>
      <c r="BJ193" s="59">
        <f t="shared" si="146"/>
        <v>288.78083487077618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205.05565345426976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205.05565345426976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4.8316906031686813E-13</v>
      </c>
      <c r="BZ193" s="13">
        <f>BY193*VLOOKUP('Données projet'!$B$12,Paramètres!$A$1:$I$89,3,0)*VLOOKUP('Données projet'!$B$12,Paramètres!$A$1:$I$89,5,0)</f>
        <v>4.8993342716130437E-13</v>
      </c>
      <c r="CA193" s="13">
        <f t="shared" si="170"/>
        <v>6.1172634040517391E-12</v>
      </c>
      <c r="CB193" s="20">
        <f t="shared" si="171"/>
        <v>1.1507534481029384E-11</v>
      </c>
      <c r="CC193" s="59">
        <f t="shared" si="119"/>
        <v>290.03585244761376</v>
      </c>
      <c r="CD193" s="59">
        <f ca="1">AVERAGE(OFFSET($CC$3,0,0,'Données projet'!$E$12+1,1))-AVERAGE(OFFSET($H$3,0,0,'Données projet'!$E$12+1,1))</f>
        <v>692.2706942067415</v>
      </c>
      <c r="CE193" s="59">
        <f t="shared" si="148"/>
        <v>316.17529091924803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229.80374956081954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229.80374956081954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1.1368683772161603E-13</v>
      </c>
      <c r="CU193" s="17">
        <f>CT193*VLOOKUP('Données projet'!$B$13,Paramètres!$A$1:$I$89,3,0)*VLOOKUP('Données projet'!$B$13,Paramètres!$A$1:$I$89,5,0)</f>
        <v>1.0818439477588981E-13</v>
      </c>
      <c r="CV193" s="13">
        <f t="shared" si="173"/>
        <v>1.6104228458716316E-12</v>
      </c>
      <c r="CW193" s="20">
        <f t="shared" si="174"/>
        <v>2.9932409441277661E-12</v>
      </c>
      <c r="CX193" s="59">
        <f t="shared" si="122"/>
        <v>290.03585244760529</v>
      </c>
      <c r="CY193" s="59">
        <f ca="1">AVERAGE(OFFSET($CX$3,0,0,'Données projet'!$E$13+1,1))-AVERAGE(OFFSET($H$3,0,0,'Données projet'!$E$13+1,1))</f>
        <v>424.5933338095914</v>
      </c>
      <c r="CZ193" s="59">
        <f t="shared" si="150"/>
        <v>159.28977188196134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48.477967427504993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48.477967427504993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-18.333333333333343</v>
      </c>
      <c r="DU193" s="59">
        <f t="shared" si="152"/>
        <v>-18.333333333333343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-18.333333333333343</v>
      </c>
      <c r="EP193" s="59">
        <f t="shared" si="154"/>
        <v>-18.333333333333343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4.8316906031686813E-13</v>
      </c>
      <c r="FF193" s="17">
        <f>FE193*VLOOKUP('Données projet'!$B$16,Paramètres!$A$1:$I$89,3,0)*VLOOKUP('Données projet'!$B$16,Paramètres!$A$1:$I$89,5,0)</f>
        <v>4.6732111513847483E-13</v>
      </c>
      <c r="FG193" s="13">
        <f t="shared" si="182"/>
        <v>5.8671100737071438E-12</v>
      </c>
      <c r="FH193" s="20">
        <f t="shared" si="183"/>
        <v>1.1032467653906121E-11</v>
      </c>
      <c r="FI193" s="59">
        <f t="shared" si="131"/>
        <v>290.03585244761331</v>
      </c>
      <c r="FJ193" s="59">
        <f ca="1">AVERAGE(OFFSET($FI$3,0,0,'Données projet'!$E$16+1,1))-AVERAGE(OFFSET($H$3,0,0,'Données projet'!$E$16+1,1))</f>
        <v>664.59451650228573</v>
      </c>
      <c r="FK193" s="59">
        <f t="shared" si="156"/>
        <v>304.44325029106631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219.19742265801258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219.19742265801258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-6.8212102632969618E-13</v>
      </c>
      <c r="O194" s="13">
        <f>N194*VLOOKUP('Données projet'!$B$9,Paramètres!$A$1:$I$89,3,0)*VLOOKUP('Données projet'!$B$9,Paramètres!$A$1:$I$89,5,0)</f>
        <v>-4.0790837374515837E-13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460.88622650237176</v>
      </c>
      <c r="T194" s="59">
        <f t="shared" si="142"/>
        <v>396.05161661639647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26.064790928960196</v>
      </c>
      <c r="AA194" s="21">
        <f>EXP(-LN(2)/25)*AA193+(1-EXP(-LN(2)/25))/(LN(2)/25)*Calculateur!V194*Calculateur!X194*VLOOKUP('Données projet'!$B$9,Paramètres!$A$1:$I$89,3,0)*0.475*44/12</f>
        <v>1.6071509386440561</v>
      </c>
      <c r="AB194" s="21">
        <f>EXP(-LN(2)/2)*AB193+(1-EXP(-LN(2)/2))/(LN(2)/2)*V194*Y194*VLOOKUP('Données projet'!$B$9,Paramètres!$A$1:$I$89,3,0)*0.475*44/12</f>
        <v>2.0163629784590704E-16</v>
      </c>
      <c r="AC194" s="22">
        <f t="shared" si="163"/>
        <v>27.671941867604254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projet'!$B$10,Paramètres!$A$1:$I$89,3,0)*VLOOKUP('Données projet'!$B$10,Paramètres!$A$1:$I$89,5,0)</f>
        <v>-2.1282176021486519E-13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387.50901594883317</v>
      </c>
      <c r="AO194" s="59">
        <f t="shared" si="144"/>
        <v>361.3623790401972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41.669541837758828</v>
      </c>
      <c r="AV194" s="21">
        <f>EXP(-LN(2)/25)*AV193+(1-EXP(-LN(2)/25))/(LN(2)/25)*Calculateur!AQ194*Calculateur!AS194*VLOOKUP('Données projet'!$B$10,Paramètres!$A$1:$I$89,3,0)*0.475*44/12</f>
        <v>3.1838287746392511</v>
      </c>
      <c r="AW194" s="21">
        <f>EXP(-LN(2)/2)*AW193+(1-EXP(-LN(2)/2))/(LN(2)/2)*AQ194*AT194*VLOOKUP('Données projet'!$B$10,Paramètres!$A$1:$I$89,3,0)*0.475*44/12</f>
        <v>1.9803503176640025E-12</v>
      </c>
      <c r="AX194" s="21">
        <f t="shared" si="166"/>
        <v>44.853370612400063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4.3717136577470225E-13</v>
      </c>
      <c r="BF194" s="13">
        <f t="shared" si="167"/>
        <v>5.5313598682231701E-12</v>
      </c>
      <c r="BG194" s="20">
        <f t="shared" si="168"/>
        <v>1.039519189921296E-11</v>
      </c>
      <c r="BH194" s="59">
        <f t="shared" si="116"/>
        <v>290.09305636891725</v>
      </c>
      <c r="BI194" s="59">
        <f ca="1">AVERAGE(OFFSET($BH$3,0,0,'Données projet'!$E$11+1,1))-AVERAGE(OFFSET($H$3,0,0,'Données projet'!$E$11+1,1))</f>
        <v>627.65081154031589</v>
      </c>
      <c r="BJ194" s="59">
        <f t="shared" si="146"/>
        <v>288.78083487077618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201.03463716163034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201.03463716163034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4.8316906031686813E-13</v>
      </c>
      <c r="BZ194" s="13">
        <f>BY194*VLOOKUP('Données projet'!$B$12,Paramètres!$A$1:$I$89,3,0)*VLOOKUP('Données projet'!$B$12,Paramètres!$A$1:$I$89,5,0)</f>
        <v>4.8993342716130437E-13</v>
      </c>
      <c r="CA194" s="13">
        <f t="shared" si="170"/>
        <v>6.1172634040517391E-12</v>
      </c>
      <c r="CB194" s="20">
        <f t="shared" si="171"/>
        <v>1.1507534481029384E-11</v>
      </c>
      <c r="CC194" s="59">
        <f t="shared" si="119"/>
        <v>290.09305636891833</v>
      </c>
      <c r="CD194" s="59">
        <f ca="1">AVERAGE(OFFSET($CC$3,0,0,'Données projet'!$E$12+1,1))-AVERAGE(OFFSET($H$3,0,0,'Données projet'!$E$12+1,1))</f>
        <v>692.2706942067415</v>
      </c>
      <c r="CE194" s="59">
        <f t="shared" si="148"/>
        <v>316.17529091924803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225.29743819837881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225.29743819837881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1.1368683772161603E-13</v>
      </c>
      <c r="CU194" s="17">
        <f>CT194*VLOOKUP('Données projet'!$B$13,Paramètres!$A$1:$I$89,3,0)*VLOOKUP('Données projet'!$B$13,Paramètres!$A$1:$I$89,5,0)</f>
        <v>1.0818439477588981E-13</v>
      </c>
      <c r="CV194" s="13">
        <f t="shared" si="173"/>
        <v>1.6104228458716316E-12</v>
      </c>
      <c r="CW194" s="20">
        <f t="shared" si="174"/>
        <v>2.9932409441277661E-12</v>
      </c>
      <c r="CX194" s="59">
        <f t="shared" si="122"/>
        <v>290.09305636890986</v>
      </c>
      <c r="CY194" s="59">
        <f ca="1">AVERAGE(OFFSET($CX$3,0,0,'Données projet'!$E$13+1,1))-AVERAGE(OFFSET($H$3,0,0,'Données projet'!$E$13+1,1))</f>
        <v>424.5933338095914</v>
      </c>
      <c r="CZ194" s="59">
        <f t="shared" si="150"/>
        <v>159.28977188196134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47.52734405489209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47.52734405489209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-18.333333333333343</v>
      </c>
      <c r="DU194" s="59">
        <f t="shared" si="152"/>
        <v>-18.333333333333343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-18.333333333333343</v>
      </c>
      <c r="EP194" s="59">
        <f t="shared" si="154"/>
        <v>-18.333333333333343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4.8316906031686813E-13</v>
      </c>
      <c r="FF194" s="17">
        <f>FE194*VLOOKUP('Données projet'!$B$16,Paramètres!$A$1:$I$89,3,0)*VLOOKUP('Données projet'!$B$16,Paramètres!$A$1:$I$89,5,0)</f>
        <v>4.6732111513847483E-13</v>
      </c>
      <c r="FG194" s="13">
        <f t="shared" si="182"/>
        <v>5.8671100737071438E-12</v>
      </c>
      <c r="FH194" s="20">
        <f t="shared" si="183"/>
        <v>1.1032467653906121E-11</v>
      </c>
      <c r="FI194" s="59">
        <f t="shared" si="131"/>
        <v>290.09305636891787</v>
      </c>
      <c r="FJ194" s="59">
        <f ca="1">AVERAGE(OFFSET($FI$3,0,0,'Données projet'!$E$16+1,1))-AVERAGE(OFFSET($H$3,0,0,'Données projet'!$E$16+1,1))</f>
        <v>664.59451650228573</v>
      </c>
      <c r="FK194" s="59">
        <f t="shared" si="156"/>
        <v>304.44325029106631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214.89909489691527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214.89909489691527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-6.8212102632969618E-13</v>
      </c>
      <c r="O195" s="13">
        <f>N195*VLOOKUP('Données projet'!$B$9,Paramètres!$A$1:$I$89,3,0)*VLOOKUP('Données projet'!$B$9,Paramètres!$A$1:$I$89,5,0)</f>
        <v>-4.0790837374515837E-13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460.88622650237176</v>
      </c>
      <c r="T195" s="59">
        <f t="shared" si="142"/>
        <v>396.05161661639647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25.553676276795962</v>
      </c>
      <c r="AA195" s="21">
        <f>EXP(-LN(2)/25)*AA194+(1-EXP(-LN(2)/25))/(LN(2)/25)*Calculateur!V195*Calculateur!X195*VLOOKUP('Données projet'!$B$9,Paramètres!$A$1:$I$89,3,0)*0.475*44/12</f>
        <v>1.5632033117104398</v>
      </c>
      <c r="AB195" s="21">
        <f>EXP(-LN(2)/2)*AB194+(1-EXP(-LN(2)/2))/(LN(2)/2)*V195*Y195*VLOOKUP('Données projet'!$B$9,Paramètres!$A$1:$I$89,3,0)*0.475*44/12</f>
        <v>1.4257839354019131E-16</v>
      </c>
      <c r="AC195" s="22">
        <f t="shared" si="163"/>
        <v>27.1168795885064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projet'!$B$10,Paramètres!$A$1:$I$89,3,0)*VLOOKUP('Données projet'!$B$10,Paramètres!$A$1:$I$89,5,0)</f>
        <v>-2.1282176021486519E-13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387.50901594883317</v>
      </c>
      <c r="AO195" s="59">
        <f t="shared" si="144"/>
        <v>361.3623790401972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40.852427538231289</v>
      </c>
      <c r="AV195" s="21">
        <f>EXP(-LN(2)/25)*AV194+(1-EXP(-LN(2)/25))/(LN(2)/25)*Calculateur!AQ195*Calculateur!AS195*VLOOKUP('Données projet'!$B$10,Paramètres!$A$1:$I$89,3,0)*0.475*44/12</f>
        <v>3.0967668093664624</v>
      </c>
      <c r="AW195" s="21">
        <f>EXP(-LN(2)/2)*AW194+(1-EXP(-LN(2)/2))/(LN(2)/2)*AQ195*AT195*VLOOKUP('Données projet'!$B$10,Paramètres!$A$1:$I$89,3,0)*0.475*44/12</f>
        <v>1.4003191387451497E-12</v>
      </c>
      <c r="AX195" s="21">
        <f t="shared" si="166"/>
        <v>43.949194347599153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4.3717136577470225E-13</v>
      </c>
      <c r="BF195" s="13">
        <f t="shared" si="167"/>
        <v>5.5313598682231701E-12</v>
      </c>
      <c r="BG195" s="20">
        <f t="shared" si="168"/>
        <v>1.039519189921296E-11</v>
      </c>
      <c r="BH195" s="59">
        <f t="shared" si="116"/>
        <v>290.14926793007606</v>
      </c>
      <c r="BI195" s="59">
        <f ca="1">AVERAGE(OFFSET($BH$3,0,0,'Données projet'!$E$11+1,1))-AVERAGE(OFFSET($H$3,0,0,'Données projet'!$E$11+1,1))</f>
        <v>627.65081154031589</v>
      </c>
      <c r="BJ195" s="59">
        <f t="shared" si="146"/>
        <v>288.78083487077618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197.09247054591182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197.09247054591182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4.8316906031686813E-13</v>
      </c>
      <c r="BZ195" s="13">
        <f>BY195*VLOOKUP('Données projet'!$B$12,Paramètres!$A$1:$I$89,3,0)*VLOOKUP('Données projet'!$B$12,Paramètres!$A$1:$I$89,5,0)</f>
        <v>4.8993342716130437E-13</v>
      </c>
      <c r="CA195" s="13">
        <f t="shared" si="170"/>
        <v>6.1172634040517391E-12</v>
      </c>
      <c r="CB195" s="20">
        <f t="shared" si="171"/>
        <v>1.1507534481029384E-11</v>
      </c>
      <c r="CC195" s="59">
        <f t="shared" si="119"/>
        <v>290.14926793007714</v>
      </c>
      <c r="CD195" s="59">
        <f ca="1">AVERAGE(OFFSET($CC$3,0,0,'Données projet'!$E$12+1,1))-AVERAGE(OFFSET($H$3,0,0,'Données projet'!$E$12+1,1))</f>
        <v>692.2706942067415</v>
      </c>
      <c r="CE195" s="59">
        <f t="shared" si="148"/>
        <v>316.17529091924803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220.87949285317703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220.87949285317703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1.1368683772161603E-13</v>
      </c>
      <c r="CU195" s="17">
        <f>CT195*VLOOKUP('Données projet'!$B$13,Paramètres!$A$1:$I$89,3,0)*VLOOKUP('Données projet'!$B$13,Paramètres!$A$1:$I$89,5,0)</f>
        <v>1.0818439477588981E-13</v>
      </c>
      <c r="CV195" s="13">
        <f t="shared" si="173"/>
        <v>1.6104228458716316E-12</v>
      </c>
      <c r="CW195" s="20">
        <f t="shared" si="174"/>
        <v>2.9932409441277661E-12</v>
      </c>
      <c r="CX195" s="59">
        <f t="shared" si="122"/>
        <v>290.14926793006867</v>
      </c>
      <c r="CY195" s="59">
        <f ca="1">AVERAGE(OFFSET($CX$3,0,0,'Données projet'!$E$13+1,1))-AVERAGE(OFFSET($H$3,0,0,'Données projet'!$E$13+1,1))</f>
        <v>424.5933338095914</v>
      </c>
      <c r="CZ195" s="59">
        <f t="shared" si="150"/>
        <v>159.28977188196134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46.595361826793123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46.595361826793123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-18.333333333333343</v>
      </c>
      <c r="DU195" s="59">
        <f t="shared" si="152"/>
        <v>-18.333333333333343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-18.333333333333343</v>
      </c>
      <c r="EP195" s="59">
        <f t="shared" si="154"/>
        <v>-18.333333333333343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4.8316906031686813E-13</v>
      </c>
      <c r="FF195" s="17">
        <f>FE195*VLOOKUP('Données projet'!$B$16,Paramètres!$A$1:$I$89,3,0)*VLOOKUP('Données projet'!$B$16,Paramètres!$A$1:$I$89,5,0)</f>
        <v>4.6732111513847483E-13</v>
      </c>
      <c r="FG195" s="13">
        <f t="shared" si="182"/>
        <v>5.8671100737071438E-12</v>
      </c>
      <c r="FH195" s="20">
        <f t="shared" si="183"/>
        <v>1.1032467653906121E-11</v>
      </c>
      <c r="FI195" s="59">
        <f t="shared" si="131"/>
        <v>290.14926793007669</v>
      </c>
      <c r="FJ195" s="59">
        <f ca="1">AVERAGE(OFFSET($FI$3,0,0,'Données projet'!$E$16+1,1))-AVERAGE(OFFSET($H$3,0,0,'Données projet'!$E$16+1,1))</f>
        <v>664.59451650228573</v>
      </c>
      <c r="FK195" s="59">
        <f t="shared" si="156"/>
        <v>304.44325029106631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210.68505472149201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210.68505472149201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-6.8212102632969618E-13</v>
      </c>
      <c r="O196" s="13">
        <f>N196*VLOOKUP('Données projet'!$B$9,Paramètres!$A$1:$I$89,3,0)*VLOOKUP('Données projet'!$B$9,Paramètres!$A$1:$I$89,5,0)</f>
        <v>-4.0790837374515837E-13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460.88622650237176</v>
      </c>
      <c r="T196" s="59">
        <f t="shared" si="142"/>
        <v>396.05161661639647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25.052584271211511</v>
      </c>
      <c r="AA196" s="21">
        <f>EXP(-LN(2)/25)*AA195+(1-EXP(-LN(2)/25))/(LN(2)/25)*Calculateur!V196*Calculateur!X196*VLOOKUP('Données projet'!$B$9,Paramètres!$A$1:$I$89,3,0)*0.475*44/12</f>
        <v>1.5204574349464284</v>
      </c>
      <c r="AB196" s="21">
        <f>EXP(-LN(2)/2)*AB195+(1-EXP(-LN(2)/2))/(LN(2)/2)*V196*Y196*VLOOKUP('Données projet'!$B$9,Paramètres!$A$1:$I$89,3,0)*0.475*44/12</f>
        <v>1.0081814892295352E-16</v>
      </c>
      <c r="AC196" s="22">
        <f t="shared" si="163"/>
        <v>26.573041706157941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projet'!$B$10,Paramètres!$A$1:$I$89,3,0)*VLOOKUP('Données projet'!$B$10,Paramètres!$A$1:$I$89,5,0)</f>
        <v>-2.1282176021486519E-13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387.50901594883317</v>
      </c>
      <c r="AO196" s="59">
        <f t="shared" si="144"/>
        <v>361.3623790401972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40.051336351726974</v>
      </c>
      <c r="AV196" s="21">
        <f>EXP(-LN(2)/25)*AV195+(1-EXP(-LN(2)/25))/(LN(2)/25)*Calculateur!AQ196*Calculateur!AS196*VLOOKUP('Données projet'!$B$10,Paramètres!$A$1:$I$89,3,0)*0.475*44/12</f>
        <v>3.0120855581124477</v>
      </c>
      <c r="AW196" s="21">
        <f>EXP(-LN(2)/2)*AW195+(1-EXP(-LN(2)/2))/(LN(2)/2)*AQ196*AT196*VLOOKUP('Données projet'!$B$10,Paramètres!$A$1:$I$89,3,0)*0.475*44/12</f>
        <v>9.9017515883200123E-13</v>
      </c>
      <c r="AX196" s="21">
        <f t="shared" si="166"/>
        <v>43.063421909840407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4.3717136577470225E-13</v>
      </c>
      <c r="BF196" s="13">
        <f t="shared" si="167"/>
        <v>5.5313598682231701E-12</v>
      </c>
      <c r="BG196" s="20">
        <f t="shared" si="168"/>
        <v>1.039519189921296E-11</v>
      </c>
      <c r="BH196" s="59">
        <f t="shared" ref="BH196:BH203" si="194">BG196+(AY196+AZ196)*44/12</f>
        <v>290.20450434631891</v>
      </c>
      <c r="BI196" s="59">
        <f ca="1">AVERAGE(OFFSET($BH$3,0,0,'Données projet'!$E$11+1,1))-AVERAGE(OFFSET($H$3,0,0,'Données projet'!$E$11+1,1))</f>
        <v>627.65081154031589</v>
      </c>
      <c r="BJ196" s="59">
        <f t="shared" si="146"/>
        <v>288.78083487077618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193.22760741304333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193.22760741304333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4.8316906031686813E-13</v>
      </c>
      <c r="BZ196" s="13">
        <f>BY196*VLOOKUP('Données projet'!$B$12,Paramètres!$A$1:$I$89,3,0)*VLOOKUP('Données projet'!$B$12,Paramètres!$A$1:$I$89,5,0)</f>
        <v>4.8993342716130437E-13</v>
      </c>
      <c r="CA196" s="13">
        <f t="shared" si="170"/>
        <v>6.1172634040517391E-12</v>
      </c>
      <c r="CB196" s="20">
        <f t="shared" si="171"/>
        <v>1.1507534481029384E-11</v>
      </c>
      <c r="CC196" s="59">
        <f t="shared" ref="CC196:CC203" si="195">CB196+(BT196+BU196)*44/12</f>
        <v>290.20450434631999</v>
      </c>
      <c r="CD196" s="59">
        <f ca="1">AVERAGE(OFFSET($CC$3,0,0,'Données projet'!$E$12+1,1))-AVERAGE(OFFSET($H$3,0,0,'Données projet'!$E$12+1,1))</f>
        <v>692.2706942067415</v>
      </c>
      <c r="CE196" s="59">
        <f t="shared" si="148"/>
        <v>316.17529091924803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216.54818072151406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216.54818072151406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1.1368683772161603E-13</v>
      </c>
      <c r="CU196" s="17">
        <f>CT196*VLOOKUP('Données projet'!$B$13,Paramètres!$A$1:$I$89,3,0)*VLOOKUP('Données projet'!$B$13,Paramètres!$A$1:$I$89,5,0)</f>
        <v>1.0818439477588981E-13</v>
      </c>
      <c r="CV196" s="13">
        <f t="shared" si="173"/>
        <v>1.6104228458716316E-12</v>
      </c>
      <c r="CW196" s="20">
        <f t="shared" si="174"/>
        <v>2.9932409441277661E-12</v>
      </c>
      <c r="CX196" s="59">
        <f t="shared" ref="CX196:CX203" si="196">CW196+(CO196+CP196)*44/12</f>
        <v>290.20450434631152</v>
      </c>
      <c r="CY196" s="59">
        <f ca="1">AVERAGE(OFFSET($CX$3,0,0,'Données projet'!$E$13+1,1))-AVERAGE(OFFSET($H$3,0,0,'Données projet'!$E$13+1,1))</f>
        <v>424.5933338095914</v>
      </c>
      <c r="CZ196" s="59">
        <f t="shared" si="150"/>
        <v>159.28977188196134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45.681655201734145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45.681655201734145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-18.333333333333343</v>
      </c>
      <c r="DU196" s="59">
        <f t="shared" si="152"/>
        <v>-18.333333333333343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-18.333333333333343</v>
      </c>
      <c r="EP196" s="59">
        <f t="shared" si="154"/>
        <v>-18.333333333333343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4.8316906031686813E-13</v>
      </c>
      <c r="FF196" s="17">
        <f>FE196*VLOOKUP('Données projet'!$B$16,Paramètres!$A$1:$I$89,3,0)*VLOOKUP('Données projet'!$B$16,Paramètres!$A$1:$I$89,5,0)</f>
        <v>4.6732111513847483E-13</v>
      </c>
      <c r="FG196" s="13">
        <f t="shared" si="182"/>
        <v>5.8671100737071438E-12</v>
      </c>
      <c r="FH196" s="20">
        <f t="shared" si="183"/>
        <v>1.1032467653906121E-11</v>
      </c>
      <c r="FI196" s="59">
        <f t="shared" ref="FI196:FI203" si="199">FH196+(EZ196+FA196)*44/12</f>
        <v>290.20450434631954</v>
      </c>
      <c r="FJ196" s="59">
        <f ca="1">AVERAGE(OFFSET($FI$3,0,0,'Données projet'!$E$16+1,1))-AVERAGE(OFFSET($H$3,0,0,'Données projet'!$E$16+1,1))</f>
        <v>664.59451650228573</v>
      </c>
      <c r="FK196" s="59">
        <f t="shared" si="156"/>
        <v>304.44325029106631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206.55364930359809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206.55364930359809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-6.8212102632969618E-13</v>
      </c>
      <c r="O197" s="13">
        <f>N197*VLOOKUP('Données projet'!$B$9,Paramètres!$A$1:$I$89,3,0)*VLOOKUP('Données projet'!$B$9,Paramètres!$A$1:$I$89,5,0)</f>
        <v>-4.0790837374515837E-13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460.88622650237176</v>
      </c>
      <c r="T197" s="59">
        <f t="shared" ref="T197:T203" si="204">$T$3</f>
        <v>396.05161661639647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24.56131837422063</v>
      </c>
      <c r="AA197" s="21">
        <f>EXP(-LN(2)/25)*AA196+(1-EXP(-LN(2)/25))/(LN(2)/25)*Calculateur!V197*Calculateur!X197*VLOOKUP('Données projet'!$B$9,Paramètres!$A$1:$I$89,3,0)*0.475*44/12</f>
        <v>1.4788804464304368</v>
      </c>
      <c r="AB197" s="21">
        <f>EXP(-LN(2)/2)*AB196+(1-EXP(-LN(2)/2))/(LN(2)/2)*V197*Y197*VLOOKUP('Données projet'!$B$9,Paramètres!$A$1:$I$89,3,0)*0.475*44/12</f>
        <v>7.1289196770095655E-17</v>
      </c>
      <c r="AC197" s="22">
        <f t="shared" si="163"/>
        <v>26.040198820651067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projet'!$B$10,Paramètres!$A$1:$I$89,3,0)*VLOOKUP('Données projet'!$B$10,Paramètres!$A$1:$I$89,5,0)</f>
        <v>-2.1282176021486519E-13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387.50901594883317</v>
      </c>
      <c r="AO197" s="59">
        <f t="shared" ref="AO197:AO203" si="205">$AO$3</f>
        <v>361.3623790401972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39.26595407477263</v>
      </c>
      <c r="AV197" s="21">
        <f>EXP(-LN(2)/25)*AV196+(1-EXP(-LN(2)/25))/(LN(2)/25)*Calculateur!AQ197*Calculateur!AS197*VLOOKUP('Données projet'!$B$10,Paramètres!$A$1:$I$89,3,0)*0.475*44/12</f>
        <v>2.9297199201271678</v>
      </c>
      <c r="AW197" s="21">
        <f>EXP(-LN(2)/2)*AW196+(1-EXP(-LN(2)/2))/(LN(2)/2)*AQ197*AT197*VLOOKUP('Données projet'!$B$10,Paramètres!$A$1:$I$89,3,0)*0.475*44/12</f>
        <v>7.0015956937257485E-13</v>
      </c>
      <c r="AX197" s="21">
        <f t="shared" si="166"/>
        <v>42.195673994900503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4.3717136577470225E-13</v>
      </c>
      <c r="BF197" s="13">
        <f t="shared" si="167"/>
        <v>5.5313598682231701E-12</v>
      </c>
      <c r="BG197" s="20">
        <f t="shared" si="168"/>
        <v>1.039519189921296E-11</v>
      </c>
      <c r="BH197" s="59">
        <f t="shared" si="194"/>
        <v>290.25878253423014</v>
      </c>
      <c r="BI197" s="59">
        <f ca="1">AVERAGE(OFFSET($BH$3,0,0,'Données projet'!$E$11+1,1))-AVERAGE(OFFSET($H$3,0,0,'Données projet'!$E$11+1,1))</f>
        <v>627.65081154031589</v>
      </c>
      <c r="BJ197" s="59">
        <f t="shared" ref="BJ197:BJ203" si="206">$BJ$3</f>
        <v>288.78083487077618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189.43853188887664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189.43853188887664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4.8316906031686813E-13</v>
      </c>
      <c r="BZ197" s="13">
        <f>BY197*VLOOKUP('Données projet'!$B$12,Paramètres!$A$1:$I$89,3,0)*VLOOKUP('Données projet'!$B$12,Paramètres!$A$1:$I$89,5,0)</f>
        <v>4.8993342716130437E-13</v>
      </c>
      <c r="CA197" s="13">
        <f t="shared" si="170"/>
        <v>6.1172634040517391E-12</v>
      </c>
      <c r="CB197" s="20">
        <f t="shared" si="171"/>
        <v>1.1507534481029384E-11</v>
      </c>
      <c r="CC197" s="59">
        <f t="shared" si="195"/>
        <v>290.25878253423122</v>
      </c>
      <c r="CD197" s="59">
        <f ca="1">AVERAGE(OFFSET($CC$3,0,0,'Données projet'!$E$12+1,1))-AVERAGE(OFFSET($H$3,0,0,'Données projet'!$E$12+1,1))</f>
        <v>692.2706942067415</v>
      </c>
      <c r="CE197" s="59">
        <f t="shared" ref="CE197:CE203" si="207">$CE$3</f>
        <v>316.17529091924803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212.30180297891346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212.30180297891346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1.1368683772161603E-13</v>
      </c>
      <c r="CU197" s="17">
        <f>CT197*VLOOKUP('Données projet'!$B$13,Paramètres!$A$1:$I$89,3,0)*VLOOKUP('Données projet'!$B$13,Paramètres!$A$1:$I$89,5,0)</f>
        <v>1.0818439477588981E-13</v>
      </c>
      <c r="CV197" s="13">
        <f t="shared" si="173"/>
        <v>1.6104228458716316E-12</v>
      </c>
      <c r="CW197" s="20">
        <f t="shared" si="174"/>
        <v>2.9932409441277661E-12</v>
      </c>
      <c r="CX197" s="59">
        <f t="shared" si="196"/>
        <v>290.25878253422275</v>
      </c>
      <c r="CY197" s="59">
        <f ca="1">AVERAGE(OFFSET($CX$3,0,0,'Données projet'!$E$13+1,1))-AVERAGE(OFFSET($H$3,0,0,'Données projet'!$E$13+1,1))</f>
        <v>424.5933338095914</v>
      </c>
      <c r="CZ197" s="59">
        <f t="shared" ref="CZ197:CZ203" si="208">$CZ$3</f>
        <v>159.28977188196134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44.785865806286566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44.785865806286566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-18.333333333333343</v>
      </c>
      <c r="DU197" s="59">
        <f t="shared" ref="DU197:DU203" si="209">$DU$3</f>
        <v>-18.333333333333343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-18.333333333333343</v>
      </c>
      <c r="EP197" s="59">
        <f t="shared" ref="EP197:EP203" si="210">$EP$3</f>
        <v>-18.333333333333343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4.8316906031686813E-13</v>
      </c>
      <c r="FF197" s="17">
        <f>FE197*VLOOKUP('Données projet'!$B$16,Paramètres!$A$1:$I$89,3,0)*VLOOKUP('Données projet'!$B$16,Paramètres!$A$1:$I$89,5,0)</f>
        <v>4.6732111513847483E-13</v>
      </c>
      <c r="FG197" s="13">
        <f t="shared" si="182"/>
        <v>5.8671100737071438E-12</v>
      </c>
      <c r="FH197" s="20">
        <f t="shared" si="183"/>
        <v>1.1032467653906121E-11</v>
      </c>
      <c r="FI197" s="59">
        <f t="shared" si="199"/>
        <v>290.25878253423076</v>
      </c>
      <c r="FJ197" s="59">
        <f ca="1">AVERAGE(OFFSET($FI$3,0,0,'Données projet'!$E$16+1,1))-AVERAGE(OFFSET($H$3,0,0,'Données projet'!$E$16+1,1))</f>
        <v>664.59451650228573</v>
      </c>
      <c r="FK197" s="59">
        <f t="shared" ref="FK197:FK203" si="211">$FK$3</f>
        <v>304.44325029106631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202.5032582260406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202.5032582260406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-6.8212102632969618E-13</v>
      </c>
      <c r="O198" s="13">
        <f>N198*VLOOKUP('Données projet'!$B$9,Paramètres!$A$1:$I$89,3,0)*VLOOKUP('Données projet'!$B$9,Paramètres!$A$1:$I$89,5,0)</f>
        <v>-4.0790837374515837E-13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460.88622650237176</v>
      </c>
      <c r="T198" s="59">
        <f t="shared" si="204"/>
        <v>396.05161661639647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24.079685901827126</v>
      </c>
      <c r="AA198" s="21">
        <f>EXP(-LN(2)/25)*AA197+(1-EXP(-LN(2)/25))/(LN(2)/25)*Calculateur!V198*Calculateur!X198*VLOOKUP('Données projet'!$B$9,Paramètres!$A$1:$I$89,3,0)*0.475*44/12</f>
        <v>1.4384403828518539</v>
      </c>
      <c r="AB198" s="21">
        <f>EXP(-LN(2)/2)*AB197+(1-EXP(-LN(2)/2))/(LN(2)/2)*V198*Y198*VLOOKUP('Données projet'!$B$9,Paramètres!$A$1:$I$89,3,0)*0.475*44/12</f>
        <v>5.0409074461476759E-17</v>
      </c>
      <c r="AC198" s="22">
        <f t="shared" si="163"/>
        <v>25.518126284678981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projet'!$B$10,Paramètres!$A$1:$I$89,3,0)*VLOOKUP('Données projet'!$B$10,Paramètres!$A$1:$I$89,5,0)</f>
        <v>-2.1282176021486519E-13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387.50901594883317</v>
      </c>
      <c r="AO198" s="59">
        <f t="shared" si="205"/>
        <v>361.3623790401972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38.495972665233474</v>
      </c>
      <c r="AV198" s="21">
        <f>EXP(-LN(2)/25)*AV197+(1-EXP(-LN(2)/25))/(LN(2)/25)*Calculateur!AQ198*Calculateur!AS198*VLOOKUP('Données projet'!$B$10,Paramètres!$A$1:$I$89,3,0)*0.475*44/12</f>
        <v>2.8496065748440156</v>
      </c>
      <c r="AW198" s="21">
        <f>EXP(-LN(2)/2)*AW197+(1-EXP(-LN(2)/2))/(LN(2)/2)*AQ198*AT198*VLOOKUP('Données projet'!$B$10,Paramètres!$A$1:$I$89,3,0)*0.475*44/12</f>
        <v>4.9508757941600061E-13</v>
      </c>
      <c r="AX198" s="21">
        <f t="shared" si="166"/>
        <v>41.345579240077988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4.3717136577470225E-13</v>
      </c>
      <c r="BF198" s="13">
        <f t="shared" si="167"/>
        <v>5.5313598682231701E-12</v>
      </c>
      <c r="BG198" s="20">
        <f t="shared" si="168"/>
        <v>1.039519189921296E-11</v>
      </c>
      <c r="BH198" s="59">
        <f t="shared" si="194"/>
        <v>290.3121191169289</v>
      </c>
      <c r="BI198" s="59">
        <f ca="1">AVERAGE(OFFSET($BH$3,0,0,'Données projet'!$E$11+1,1))-AVERAGE(OFFSET($H$3,0,0,'Données projet'!$E$11+1,1))</f>
        <v>627.65081154031589</v>
      </c>
      <c r="BJ198" s="59">
        <f t="shared" si="206"/>
        <v>288.78083487077618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185.72375782463098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185.72375782463098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4.8316906031686813E-13</v>
      </c>
      <c r="BZ198" s="13">
        <f>BY198*VLOOKUP('Données projet'!$B$12,Paramètres!$A$1:$I$89,3,0)*VLOOKUP('Données projet'!$B$12,Paramètres!$A$1:$I$89,5,0)</f>
        <v>4.8993342716130437E-13</v>
      </c>
      <c r="CA198" s="13">
        <f t="shared" si="170"/>
        <v>6.1172634040517391E-12</v>
      </c>
      <c r="CB198" s="20">
        <f t="shared" si="171"/>
        <v>1.1507534481029384E-11</v>
      </c>
      <c r="CC198" s="59">
        <f t="shared" si="195"/>
        <v>290.31211911692998</v>
      </c>
      <c r="CD198" s="59">
        <f ca="1">AVERAGE(OFFSET($CC$3,0,0,'Données projet'!$E$12+1,1))-AVERAGE(OFFSET($H$3,0,0,'Données projet'!$E$12+1,1))</f>
        <v>692.2706942067415</v>
      </c>
      <c r="CE198" s="59">
        <f t="shared" si="207"/>
        <v>316.17529091924803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208.13869411381057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208.13869411381057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1.1368683772161603E-13</v>
      </c>
      <c r="CU198" s="17">
        <f>CT198*VLOOKUP('Données projet'!$B$13,Paramètres!$A$1:$I$89,3,0)*VLOOKUP('Données projet'!$B$13,Paramètres!$A$1:$I$89,5,0)</f>
        <v>1.0818439477588981E-13</v>
      </c>
      <c r="CV198" s="13">
        <f t="shared" si="173"/>
        <v>1.6104228458716316E-12</v>
      </c>
      <c r="CW198" s="20">
        <f t="shared" si="174"/>
        <v>2.9932409441277661E-12</v>
      </c>
      <c r="CX198" s="59">
        <f t="shared" si="196"/>
        <v>290.31211911692151</v>
      </c>
      <c r="CY198" s="59">
        <f ca="1">AVERAGE(OFFSET($CX$3,0,0,'Données projet'!$E$13+1,1))-AVERAGE(OFFSET($H$3,0,0,'Données projet'!$E$13+1,1))</f>
        <v>424.5933338095914</v>
      </c>
      <c r="CZ198" s="59">
        <f t="shared" si="208"/>
        <v>159.28977188196134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43.907642294506132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43.907642294506132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-18.333333333333343</v>
      </c>
      <c r="DU198" s="59">
        <f t="shared" si="209"/>
        <v>-18.333333333333343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-18.333333333333343</v>
      </c>
      <c r="EP198" s="59">
        <f t="shared" si="210"/>
        <v>-18.333333333333343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4.8316906031686813E-13</v>
      </c>
      <c r="FF198" s="17">
        <f>FE198*VLOOKUP('Données projet'!$B$16,Paramètres!$A$1:$I$89,3,0)*VLOOKUP('Données projet'!$B$16,Paramètres!$A$1:$I$89,5,0)</f>
        <v>4.6732111513847483E-13</v>
      </c>
      <c r="FG198" s="13">
        <f t="shared" si="182"/>
        <v>5.8671100737071438E-12</v>
      </c>
      <c r="FH198" s="20">
        <f t="shared" si="183"/>
        <v>1.1032467653906121E-11</v>
      </c>
      <c r="FI198" s="59">
        <f t="shared" si="199"/>
        <v>290.31211911692952</v>
      </c>
      <c r="FJ198" s="59">
        <f ca="1">AVERAGE(OFFSET($FI$3,0,0,'Données projet'!$E$16+1,1))-AVERAGE(OFFSET($H$3,0,0,'Données projet'!$E$16+1,1))</f>
        <v>664.59451650228573</v>
      </c>
      <c r="FK198" s="59">
        <f t="shared" si="211"/>
        <v>304.44325029106631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198.53229284701939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198.53229284701939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-6.8212102632969618E-13</v>
      </c>
      <c r="O199" s="13">
        <f>N199*VLOOKUP('Données projet'!$B$9,Paramètres!$A$1:$I$89,3,0)*VLOOKUP('Données projet'!$B$9,Paramètres!$A$1:$I$89,5,0)</f>
        <v>-4.0790837374515837E-13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460.88622650237176</v>
      </c>
      <c r="T199" s="59">
        <f t="shared" si="204"/>
        <v>396.05161661639647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23.607497948450462</v>
      </c>
      <c r="AA199" s="21">
        <f>EXP(-LN(2)/25)*AA198+(1-EXP(-LN(2)/25))/(LN(2)/25)*Calculateur!V199*Calculateur!X199*VLOOKUP('Données projet'!$B$9,Paramètres!$A$1:$I$89,3,0)*0.475*44/12</f>
        <v>1.3991061549384778</v>
      </c>
      <c r="AB199" s="21">
        <f>EXP(-LN(2)/2)*AB198+(1-EXP(-LN(2)/2))/(LN(2)/2)*V199*Y199*VLOOKUP('Données projet'!$B$9,Paramètres!$A$1:$I$89,3,0)*0.475*44/12</f>
        <v>3.5644598385047827E-17</v>
      </c>
      <c r="AC199" s="22">
        <f t="shared" si="163"/>
        <v>25.006604103388938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projet'!$B$10,Paramètres!$A$1:$I$89,3,0)*VLOOKUP('Données projet'!$B$10,Paramètres!$A$1:$I$89,5,0)</f>
        <v>-2.1282176021486519E-13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387.50901594883317</v>
      </c>
      <c r="AO199" s="59">
        <f t="shared" si="205"/>
        <v>361.3623790401972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37.741090121493095</v>
      </c>
      <c r="AV199" s="21">
        <f>EXP(-LN(2)/25)*AV198+(1-EXP(-LN(2)/25))/(LN(2)/25)*Calculateur!AQ199*Calculateur!AS199*VLOOKUP('Données projet'!$B$10,Paramètres!$A$1:$I$89,3,0)*0.475*44/12</f>
        <v>2.7716839332006091</v>
      </c>
      <c r="AW199" s="21">
        <f>EXP(-LN(2)/2)*AW198+(1-EXP(-LN(2)/2))/(LN(2)/2)*AQ199*AT199*VLOOKUP('Données projet'!$B$10,Paramètres!$A$1:$I$89,3,0)*0.475*44/12</f>
        <v>3.5007978468628743E-13</v>
      </c>
      <c r="AX199" s="21">
        <f t="shared" si="166"/>
        <v>40.512774054694049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4.3717136577470225E-13</v>
      </c>
      <c r="BF199" s="13">
        <f t="shared" si="167"/>
        <v>5.5313598682231701E-12</v>
      </c>
      <c r="BG199" s="20">
        <f t="shared" si="168"/>
        <v>1.039519189921296E-11</v>
      </c>
      <c r="BH199" s="59">
        <f t="shared" si="194"/>
        <v>290.3645304291606</v>
      </c>
      <c r="BI199" s="59">
        <f ca="1">AVERAGE(OFFSET($BH$3,0,0,'Données projet'!$E$11+1,1))-AVERAGE(OFFSET($H$3,0,0,'Données projet'!$E$11+1,1))</f>
        <v>627.65081154031589</v>
      </c>
      <c r="BJ199" s="59">
        <f t="shared" si="206"/>
        <v>288.78083487077618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182.08182821399674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182.08182821399674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4.8316906031686813E-13</v>
      </c>
      <c r="BZ199" s="13">
        <f>BY199*VLOOKUP('Données projet'!$B$12,Paramètres!$A$1:$I$89,3,0)*VLOOKUP('Données projet'!$B$12,Paramètres!$A$1:$I$89,5,0)</f>
        <v>4.8993342716130437E-13</v>
      </c>
      <c r="CA199" s="13">
        <f t="shared" si="170"/>
        <v>6.1172634040517391E-12</v>
      </c>
      <c r="CB199" s="20">
        <f t="shared" si="171"/>
        <v>1.1507534481029384E-11</v>
      </c>
      <c r="CC199" s="59">
        <f t="shared" si="195"/>
        <v>290.36453042916168</v>
      </c>
      <c r="CD199" s="59">
        <f ca="1">AVERAGE(OFFSET($CC$3,0,0,'Données projet'!$E$12+1,1))-AVERAGE(OFFSET($H$3,0,0,'Données projet'!$E$12+1,1))</f>
        <v>692.2706942067415</v>
      </c>
      <c r="CE199" s="59">
        <f t="shared" si="207"/>
        <v>316.17529091924803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204.05722127430667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204.05722127430667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1.1368683772161603E-13</v>
      </c>
      <c r="CU199" s="17">
        <f>CT199*VLOOKUP('Données projet'!$B$13,Paramètres!$A$1:$I$89,3,0)*VLOOKUP('Données projet'!$B$13,Paramètres!$A$1:$I$89,5,0)</f>
        <v>1.0818439477588981E-13</v>
      </c>
      <c r="CV199" s="13">
        <f t="shared" si="173"/>
        <v>1.6104228458716316E-12</v>
      </c>
      <c r="CW199" s="20">
        <f t="shared" si="174"/>
        <v>2.9932409441277661E-12</v>
      </c>
      <c r="CX199" s="59">
        <f t="shared" si="196"/>
        <v>290.36453042915321</v>
      </c>
      <c r="CY199" s="59">
        <f ca="1">AVERAGE(OFFSET($CX$3,0,0,'Données projet'!$E$13+1,1))-AVERAGE(OFFSET($H$3,0,0,'Données projet'!$E$13+1,1))</f>
        <v>424.5933338095914</v>
      </c>
      <c r="CZ199" s="59">
        <f t="shared" si="208"/>
        <v>159.28977188196134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43.04664021012826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43.04664021012826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-18.333333333333343</v>
      </c>
      <c r="DU199" s="59">
        <f t="shared" si="209"/>
        <v>-18.333333333333343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-18.333333333333343</v>
      </c>
      <c r="EP199" s="59">
        <f t="shared" si="210"/>
        <v>-18.333333333333343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4.8316906031686813E-13</v>
      </c>
      <c r="FF199" s="17">
        <f>FE199*VLOOKUP('Données projet'!$B$16,Paramètres!$A$1:$I$89,3,0)*VLOOKUP('Données projet'!$B$16,Paramètres!$A$1:$I$89,5,0)</f>
        <v>4.6732111513847483E-13</v>
      </c>
      <c r="FG199" s="13">
        <f t="shared" si="182"/>
        <v>5.8671100737071438E-12</v>
      </c>
      <c r="FH199" s="20">
        <f t="shared" si="183"/>
        <v>1.1032467653906121E-11</v>
      </c>
      <c r="FI199" s="59">
        <f t="shared" si="199"/>
        <v>290.36453042916122</v>
      </c>
      <c r="FJ199" s="59">
        <f ca="1">AVERAGE(OFFSET($FI$3,0,0,'Données projet'!$E$16+1,1))-AVERAGE(OFFSET($H$3,0,0,'Données projet'!$E$16+1,1))</f>
        <v>664.59451650228573</v>
      </c>
      <c r="FK199" s="59">
        <f t="shared" si="211"/>
        <v>304.44325029106631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194.63919567703107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194.63919567703107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-6.8212102632969618E-13</v>
      </c>
      <c r="O200" s="13">
        <f>N200*VLOOKUP('Données projet'!$B$9,Paramètres!$A$1:$I$89,3,0)*VLOOKUP('Données projet'!$B$9,Paramètres!$A$1:$I$89,5,0)</f>
        <v>-4.0790837374515837E-13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460.88622650237176</v>
      </c>
      <c r="T200" s="59">
        <f t="shared" si="204"/>
        <v>396.05161661639647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23.144569312833298</v>
      </c>
      <c r="AA200" s="21">
        <f>EXP(-LN(2)/25)*AA199+(1-EXP(-LN(2)/25))/(LN(2)/25)*Calculateur!V200*Calculateur!X200*VLOOKUP('Données projet'!$B$9,Paramètres!$A$1:$I$89,3,0)*0.475*44/12</f>
        <v>1.3608475235558901</v>
      </c>
      <c r="AB200" s="21">
        <f>EXP(-LN(2)/2)*AB199+(1-EXP(-LN(2)/2))/(LN(2)/2)*V200*Y200*VLOOKUP('Données projet'!$B$9,Paramètres!$A$1:$I$89,3,0)*0.475*44/12</f>
        <v>2.520453723073838E-17</v>
      </c>
      <c r="AC200" s="22">
        <f t="shared" si="163"/>
        <v>24.505416836389188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projet'!$B$10,Paramètres!$A$1:$I$89,3,0)*VLOOKUP('Données projet'!$B$10,Paramètres!$A$1:$I$89,5,0)</f>
        <v>-2.1282176021486519E-13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387.50901594883317</v>
      </c>
      <c r="AO200" s="59">
        <f t="shared" si="205"/>
        <v>361.3623790401972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37.001010364002575</v>
      </c>
      <c r="AV200" s="21">
        <f>EXP(-LN(2)/25)*AV199+(1-EXP(-LN(2)/25))/(LN(2)/25)*Calculateur!AQ200*Calculateur!AS200*VLOOKUP('Données projet'!$B$10,Paramètres!$A$1:$I$89,3,0)*0.475*44/12</f>
        <v>2.6958920902907151</v>
      </c>
      <c r="AW200" s="21">
        <f>EXP(-LN(2)/2)*AW199+(1-EXP(-LN(2)/2))/(LN(2)/2)*AQ200*AT200*VLOOKUP('Données projet'!$B$10,Paramètres!$A$1:$I$89,3,0)*0.475*44/12</f>
        <v>2.4754378970800031E-13</v>
      </c>
      <c r="AX200" s="21">
        <f t="shared" si="166"/>
        <v>39.696902454293536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4.3717136577470225E-13</v>
      </c>
      <c r="BF200" s="13">
        <f t="shared" si="167"/>
        <v>5.5313598682231701E-12</v>
      </c>
      <c r="BG200" s="20">
        <f t="shared" si="168"/>
        <v>1.039519189921296E-11</v>
      </c>
      <c r="BH200" s="59">
        <f t="shared" si="194"/>
        <v>290.41603252229919</v>
      </c>
      <c r="BI200" s="59">
        <f ca="1">AVERAGE(OFFSET($BH$3,0,0,'Données projet'!$E$11+1,1))-AVERAGE(OFFSET($H$3,0,0,'Données projet'!$E$11+1,1))</f>
        <v>627.65081154031589</v>
      </c>
      <c r="BJ200" s="59">
        <f t="shared" si="206"/>
        <v>288.78083487077618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178.51131462166933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178.51131462166933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4.8316906031686813E-13</v>
      </c>
      <c r="BZ200" s="13">
        <f>BY200*VLOOKUP('Données projet'!$B$12,Paramètres!$A$1:$I$89,3,0)*VLOOKUP('Données projet'!$B$12,Paramètres!$A$1:$I$89,5,0)</f>
        <v>4.8993342716130437E-13</v>
      </c>
      <c r="CA200" s="13">
        <f t="shared" si="170"/>
        <v>6.1172634040517391E-12</v>
      </c>
      <c r="CB200" s="20">
        <f t="shared" si="171"/>
        <v>1.1507534481029384E-11</v>
      </c>
      <c r="CC200" s="59">
        <f t="shared" si="195"/>
        <v>290.41603252230027</v>
      </c>
      <c r="CD200" s="59">
        <f ca="1">AVERAGE(OFFSET($CC$3,0,0,'Données projet'!$E$12+1,1))-AVERAGE(OFFSET($H$3,0,0,'Données projet'!$E$12+1,1))</f>
        <v>692.2706942067415</v>
      </c>
      <c r="CE200" s="59">
        <f t="shared" si="207"/>
        <v>316.17529091924803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200.05578362773284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200.05578362773284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1.1368683772161603E-13</v>
      </c>
      <c r="CU200" s="17">
        <f>CT200*VLOOKUP('Données projet'!$B$13,Paramètres!$A$1:$I$89,3,0)*VLOOKUP('Données projet'!$B$13,Paramètres!$A$1:$I$89,5,0)</f>
        <v>1.0818439477588981E-13</v>
      </c>
      <c r="CV200" s="13">
        <f t="shared" si="173"/>
        <v>1.6104228458716316E-12</v>
      </c>
      <c r="CW200" s="20">
        <f t="shared" si="174"/>
        <v>2.9932409441277661E-12</v>
      </c>
      <c r="CX200" s="59">
        <f t="shared" si="196"/>
        <v>290.4160325222918</v>
      </c>
      <c r="CY200" s="59">
        <f ca="1">AVERAGE(OFFSET($CX$3,0,0,'Données projet'!$E$13+1,1))-AVERAGE(OFFSET($H$3,0,0,'Données projet'!$E$13+1,1))</f>
        <v>424.5933338095914</v>
      </c>
      <c r="CZ200" s="59">
        <f t="shared" si="208"/>
        <v>159.28977188196134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42.202521851465619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42.202521851465619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-18.333333333333343</v>
      </c>
      <c r="DU200" s="59">
        <f t="shared" si="209"/>
        <v>-18.333333333333343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-18.333333333333343</v>
      </c>
      <c r="EP200" s="59">
        <f t="shared" si="210"/>
        <v>-18.333333333333343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4.8316906031686813E-13</v>
      </c>
      <c r="FF200" s="17">
        <f>FE200*VLOOKUP('Données projet'!$B$16,Paramètres!$A$1:$I$89,3,0)*VLOOKUP('Données projet'!$B$16,Paramètres!$A$1:$I$89,5,0)</f>
        <v>4.6732111513847483E-13</v>
      </c>
      <c r="FG200" s="13">
        <f t="shared" si="182"/>
        <v>5.8671100737071438E-12</v>
      </c>
      <c r="FH200" s="20">
        <f t="shared" si="183"/>
        <v>1.1032467653906121E-11</v>
      </c>
      <c r="FI200" s="59">
        <f t="shared" si="199"/>
        <v>290.41603252229982</v>
      </c>
      <c r="FJ200" s="59">
        <f ca="1">AVERAGE(OFFSET($FI$3,0,0,'Données projet'!$E$16+1,1))-AVERAGE(OFFSET($H$3,0,0,'Données projet'!$E$16+1,1))</f>
        <v>664.59451650228573</v>
      </c>
      <c r="FK200" s="59">
        <f t="shared" si="211"/>
        <v>304.44325029106631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190.8224397679914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190.8224397679914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-6.8212102632969618E-13</v>
      </c>
      <c r="O201" s="13">
        <f>N201*VLOOKUP('Données projet'!$B$9,Paramètres!$A$1:$I$89,3,0)*VLOOKUP('Données projet'!$B$9,Paramètres!$A$1:$I$89,5,0)</f>
        <v>-4.0790837374515837E-13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460.88622650237176</v>
      </c>
      <c r="T201" s="59">
        <f t="shared" si="204"/>
        <v>396.05161661639647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22.690718425402</v>
      </c>
      <c r="AA201" s="21">
        <f>EXP(-LN(2)/25)*AA200+(1-EXP(-LN(2)/25))/(LN(2)/25)*Calculateur!V201*Calculateur!X201*VLOOKUP('Données projet'!$B$9,Paramètres!$A$1:$I$89,3,0)*0.475*44/12</f>
        <v>1.3236350764603932</v>
      </c>
      <c r="AB201" s="21">
        <f>EXP(-LN(2)/2)*AB200+(1-EXP(-LN(2)/2))/(LN(2)/2)*V201*Y201*VLOOKUP('Données projet'!$B$9,Paramètres!$A$1:$I$89,3,0)*0.475*44/12</f>
        <v>1.7822299192523914E-17</v>
      </c>
      <c r="AC201" s="22">
        <f t="shared" si="163"/>
        <v>24.014353501862395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projet'!$B$10,Paramètres!$A$1:$I$89,3,0)*VLOOKUP('Données projet'!$B$10,Paramètres!$A$1:$I$89,5,0)</f>
        <v>-2.1282176021486519E-13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387.50901594883317</v>
      </c>
      <c r="AO201" s="59">
        <f t="shared" si="205"/>
        <v>361.3623790401972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36.275443119152364</v>
      </c>
      <c r="AV201" s="21">
        <f>EXP(-LN(2)/25)*AV200+(1-EXP(-LN(2)/25))/(LN(2)/25)*Calculateur!AQ201*Calculateur!AS201*VLOOKUP('Données projet'!$B$10,Paramètres!$A$1:$I$89,3,0)*0.475*44/12</f>
        <v>2.6221727793109122</v>
      </c>
      <c r="AW201" s="21">
        <f>EXP(-LN(2)/2)*AW200+(1-EXP(-LN(2)/2))/(LN(2)/2)*AQ201*AT201*VLOOKUP('Données projet'!$B$10,Paramètres!$A$1:$I$89,3,0)*0.475*44/12</f>
        <v>1.7503989234314371E-13</v>
      </c>
      <c r="AX201" s="21">
        <f t="shared" si="166"/>
        <v>38.897615898463457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4.3717136577470225E-13</v>
      </c>
      <c r="BF201" s="13">
        <f t="shared" si="167"/>
        <v>5.5313598682231701E-12</v>
      </c>
      <c r="BG201" s="20">
        <f t="shared" si="168"/>
        <v>1.039519189921296E-11</v>
      </c>
      <c r="BH201" s="59">
        <f t="shared" si="194"/>
        <v>290.46664116926331</v>
      </c>
      <c r="BI201" s="59">
        <f ca="1">AVERAGE(OFFSET($BH$3,0,0,'Données projet'!$E$11+1,1))-AVERAGE(OFFSET($H$3,0,0,'Données projet'!$E$11+1,1))</f>
        <v>627.65081154031589</v>
      </c>
      <c r="BJ201" s="59">
        <f t="shared" si="206"/>
        <v>288.78083487077618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175.0108166230892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175.0108166230892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4.8316906031686813E-13</v>
      </c>
      <c r="BZ201" s="13">
        <f>BY201*VLOOKUP('Données projet'!$B$12,Paramètres!$A$1:$I$89,3,0)*VLOOKUP('Données projet'!$B$12,Paramètres!$A$1:$I$89,5,0)</f>
        <v>4.8993342716130437E-13</v>
      </c>
      <c r="CA201" s="13">
        <f t="shared" si="170"/>
        <v>6.1172634040517391E-12</v>
      </c>
      <c r="CB201" s="20">
        <f t="shared" si="171"/>
        <v>1.1507534481029384E-11</v>
      </c>
      <c r="CC201" s="59">
        <f t="shared" si="195"/>
        <v>290.46664116926439</v>
      </c>
      <c r="CD201" s="59">
        <f ca="1">AVERAGE(OFFSET($CC$3,0,0,'Données projet'!$E$12+1,1))-AVERAGE(OFFSET($H$3,0,0,'Données projet'!$E$12+1,1))</f>
        <v>692.2706942067415</v>
      </c>
      <c r="CE201" s="59">
        <f t="shared" si="207"/>
        <v>316.17529091924803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196.13281173277232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196.13281173277232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1.1368683772161603E-13</v>
      </c>
      <c r="CU201" s="17">
        <f>CT201*VLOOKUP('Données projet'!$B$13,Paramètres!$A$1:$I$89,3,0)*VLOOKUP('Données projet'!$B$13,Paramètres!$A$1:$I$89,5,0)</f>
        <v>1.0818439477588981E-13</v>
      </c>
      <c r="CV201" s="13">
        <f t="shared" si="173"/>
        <v>1.6104228458716316E-12</v>
      </c>
      <c r="CW201" s="20">
        <f t="shared" si="174"/>
        <v>2.9932409441277661E-12</v>
      </c>
      <c r="CX201" s="59">
        <f t="shared" si="196"/>
        <v>290.46664116925592</v>
      </c>
      <c r="CY201" s="59">
        <f ca="1">AVERAGE(OFFSET($CX$3,0,0,'Données projet'!$E$13+1,1))-AVERAGE(OFFSET($H$3,0,0,'Données projet'!$E$13+1,1))</f>
        <v>424.5933338095914</v>
      </c>
      <c r="CZ201" s="59">
        <f t="shared" si="208"/>
        <v>159.28977188196134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41.374956138954992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41.374956138954992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-18.333333333333343</v>
      </c>
      <c r="DU201" s="59">
        <f t="shared" si="209"/>
        <v>-18.333333333333343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-18.333333333333343</v>
      </c>
      <c r="EP201" s="59">
        <f t="shared" si="210"/>
        <v>-18.333333333333343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4.8316906031686813E-13</v>
      </c>
      <c r="FF201" s="17">
        <f>FE201*VLOOKUP('Données projet'!$B$16,Paramètres!$A$1:$I$89,3,0)*VLOOKUP('Données projet'!$B$16,Paramètres!$A$1:$I$89,5,0)</f>
        <v>4.6732111513847483E-13</v>
      </c>
      <c r="FG201" s="13">
        <f t="shared" si="182"/>
        <v>5.8671100737071438E-12</v>
      </c>
      <c r="FH201" s="20">
        <f t="shared" si="183"/>
        <v>1.1032467653906121E-11</v>
      </c>
      <c r="FI201" s="59">
        <f t="shared" si="199"/>
        <v>290.46664116926394</v>
      </c>
      <c r="FJ201" s="59">
        <f ca="1">AVERAGE(OFFSET($FI$3,0,0,'Données projet'!$E$16+1,1))-AVERAGE(OFFSET($H$3,0,0,'Données projet'!$E$16+1,1))</f>
        <v>664.59451650228573</v>
      </c>
      <c r="FK201" s="59">
        <f t="shared" si="211"/>
        <v>304.44325029106631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187.08052811433677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187.08052811433677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-6.8212102632969618E-13</v>
      </c>
      <c r="O202" s="13">
        <f>N202*VLOOKUP('Données projet'!$B$9,Paramètres!$A$1:$I$89,3,0)*VLOOKUP('Données projet'!$B$9,Paramètres!$A$1:$I$89,5,0)</f>
        <v>-4.0790837374515837E-13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460.88622650237176</v>
      </c>
      <c r="T202" s="59">
        <f t="shared" si="204"/>
        <v>396.05161661639647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22.245767277051524</v>
      </c>
      <c r="AA202" s="21">
        <f>EXP(-LN(2)/25)*AA201+(1-EXP(-LN(2)/25))/(LN(2)/25)*Calculateur!V202*Calculateur!X202*VLOOKUP('Données projet'!$B$9,Paramètres!$A$1:$I$89,3,0)*0.475*44/12</f>
        <v>1.2874402056876404</v>
      </c>
      <c r="AB202" s="21">
        <f>EXP(-LN(2)/2)*AB201+(1-EXP(-LN(2)/2))/(LN(2)/2)*V202*Y202*VLOOKUP('Données projet'!$B$9,Paramètres!$A$1:$I$89,3,0)*0.475*44/12</f>
        <v>1.260226861536919E-17</v>
      </c>
      <c r="AC202" s="22">
        <f t="shared" si="163"/>
        <v>23.533207482739165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projet'!$B$10,Paramètres!$A$1:$I$89,3,0)*VLOOKUP('Données projet'!$B$10,Paramètres!$A$1:$I$89,5,0)</f>
        <v>-2.1282176021486519E-13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387.50901594883317</v>
      </c>
      <c r="AO202" s="59">
        <f t="shared" si="205"/>
        <v>361.3623790401972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35.564103805421347</v>
      </c>
      <c r="AV202" s="21">
        <f>EXP(-LN(2)/25)*AV201+(1-EXP(-LN(2)/25))/(LN(2)/25)*Calculateur!AQ202*Calculateur!AS202*VLOOKUP('Données projet'!$B$10,Paramètres!$A$1:$I$89,3,0)*0.475*44/12</f>
        <v>2.5504693267665819</v>
      </c>
      <c r="AW202" s="21">
        <f>EXP(-LN(2)/2)*AW201+(1-EXP(-LN(2)/2))/(LN(2)/2)*AQ202*AT202*VLOOKUP('Données projet'!$B$10,Paramètres!$A$1:$I$89,3,0)*0.475*44/12</f>
        <v>1.2377189485400015E-13</v>
      </c>
      <c r="AX202" s="21">
        <f t="shared" si="166"/>
        <v>38.114573132188049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4.3717136577470225E-13</v>
      </c>
      <c r="BF202" s="13">
        <f t="shared" si="167"/>
        <v>5.5313598682231701E-12</v>
      </c>
      <c r="BG202" s="20">
        <f t="shared" si="168"/>
        <v>1.039519189921296E-11</v>
      </c>
      <c r="BH202" s="59">
        <f t="shared" si="194"/>
        <v>290.51637186934653</v>
      </c>
      <c r="BI202" s="59">
        <f ca="1">AVERAGE(OFFSET($BH$3,0,0,'Données projet'!$E$11+1,1))-AVERAGE(OFFSET($H$3,0,0,'Données projet'!$E$11+1,1))</f>
        <v>627.65081154031589</v>
      </c>
      <c r="BJ202" s="59">
        <f t="shared" si="206"/>
        <v>288.78083487077618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171.57896125516825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171.57896125516825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4.8316906031686813E-13</v>
      </c>
      <c r="BZ202" s="13">
        <f>BY202*VLOOKUP('Données projet'!$B$12,Paramètres!$A$1:$I$89,3,0)*VLOOKUP('Données projet'!$B$12,Paramètres!$A$1:$I$89,5,0)</f>
        <v>4.8993342716130437E-13</v>
      </c>
      <c r="CA202" s="13">
        <f t="shared" si="170"/>
        <v>6.1172634040517391E-12</v>
      </c>
      <c r="CB202" s="20">
        <f t="shared" si="171"/>
        <v>1.1507534481029384E-11</v>
      </c>
      <c r="CC202" s="59">
        <f t="shared" si="195"/>
        <v>290.51637186934761</v>
      </c>
      <c r="CD202" s="59">
        <f ca="1">AVERAGE(OFFSET($CC$3,0,0,'Données projet'!$E$12+1,1))-AVERAGE(OFFSET($H$3,0,0,'Données projet'!$E$12+1,1))</f>
        <v>692.2706942067415</v>
      </c>
      <c r="CE202" s="59">
        <f t="shared" si="207"/>
        <v>316.17529091924803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192.28676692389541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192.28676692389541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1.1368683772161603E-13</v>
      </c>
      <c r="CU202" s="17">
        <f>CT202*VLOOKUP('Données projet'!$B$13,Paramètres!$A$1:$I$89,3,0)*VLOOKUP('Données projet'!$B$13,Paramètres!$A$1:$I$89,5,0)</f>
        <v>1.0818439477588981E-13</v>
      </c>
      <c r="CV202" s="13">
        <f t="shared" si="173"/>
        <v>1.6104228458716316E-12</v>
      </c>
      <c r="CW202" s="20">
        <f t="shared" si="174"/>
        <v>2.9932409441277661E-12</v>
      </c>
      <c r="CX202" s="59">
        <f t="shared" si="196"/>
        <v>290.51637186933914</v>
      </c>
      <c r="CY202" s="59">
        <f ca="1">AVERAGE(OFFSET($CX$3,0,0,'Données projet'!$E$13+1,1))-AVERAGE(OFFSET($H$3,0,0,'Données projet'!$E$13+1,1))</f>
        <v>424.5933338095914</v>
      </c>
      <c r="CZ202" s="59">
        <f t="shared" si="208"/>
        <v>159.28977188196134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40.563618485301461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40.563618485301461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-18.333333333333343</v>
      </c>
      <c r="DU202" s="59">
        <f t="shared" si="209"/>
        <v>-18.333333333333343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-18.333333333333343</v>
      </c>
      <c r="EP202" s="59">
        <f t="shared" si="210"/>
        <v>-18.333333333333343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4.8316906031686813E-13</v>
      </c>
      <c r="FF202" s="17">
        <f>FE202*VLOOKUP('Données projet'!$B$16,Paramètres!$A$1:$I$89,3,0)*VLOOKUP('Données projet'!$B$16,Paramètres!$A$1:$I$89,5,0)</f>
        <v>4.6732111513847483E-13</v>
      </c>
      <c r="FG202" s="13">
        <f t="shared" si="182"/>
        <v>5.8671100737071438E-12</v>
      </c>
      <c r="FH202" s="20">
        <f t="shared" si="183"/>
        <v>1.1032467653906121E-11</v>
      </c>
      <c r="FI202" s="59">
        <f t="shared" si="199"/>
        <v>290.51637186934715</v>
      </c>
      <c r="FJ202" s="59">
        <f ca="1">AVERAGE(OFFSET($FI$3,0,0,'Données projet'!$E$16+1,1))-AVERAGE(OFFSET($H$3,0,0,'Données projet'!$E$16+1,1))</f>
        <v>664.59451650228573</v>
      </c>
      <c r="FK202" s="59">
        <f t="shared" si="211"/>
        <v>304.44325029106631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183.41199306586955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183.41199306586955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-6.8212102632969618E-13</v>
      </c>
      <c r="O203" s="13">
        <f>N203*VLOOKUP('Données projet'!$B$9,Paramètres!$A$1:$I$89,3,0)*VLOOKUP('Données projet'!$B$9,Paramètres!$A$1:$I$89,5,0)</f>
        <v>-4.0790837374515837E-13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460.88622650237176</v>
      </c>
      <c r="T203" s="59">
        <f t="shared" si="204"/>
        <v>396.05161661639647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21.809541349326796</v>
      </c>
      <c r="AA203" s="21">
        <f>EXP(-LN(2)/25)*AA202+(1-EXP(-LN(2)/25))/(LN(2)/25)*Calculateur!V203*Calculateur!X203*VLOOKUP('Données projet'!$B$9,Paramètres!$A$1:$I$89,3,0)*0.475*44/12</f>
        <v>1.2522350855595739</v>
      </c>
      <c r="AB203" s="21">
        <f>EXP(-LN(2)/2)*AB202+(1-EXP(-LN(2)/2))/(LN(2)/2)*V203*Y203*VLOOKUP('Données projet'!$B$9,Paramètres!$A$1:$I$89,3,0)*0.475*44/12</f>
        <v>8.9111495962619568E-18</v>
      </c>
      <c r="AC203" s="22">
        <f t="shared" si="163"/>
        <v>23.061776434886369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projet'!$B$10,Paramètres!$A$1:$I$89,3,0)*VLOOKUP('Données projet'!$B$10,Paramètres!$A$1:$I$89,5,0)</f>
        <v>-2.1282176021486519E-13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387.50901594883317</v>
      </c>
      <c r="AO203" s="59">
        <f t="shared" si="205"/>
        <v>361.3623790401972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34.866713421758455</v>
      </c>
      <c r="AV203" s="21">
        <f>EXP(-LN(2)/25)*AV202+(1-EXP(-LN(2)/25))/(LN(2)/25)*Calculateur!AQ203*Calculateur!AS203*VLOOKUP('Données projet'!$B$10,Paramètres!$A$1:$I$89,3,0)*0.475*44/12</f>
        <v>2.4807266089027968</v>
      </c>
      <c r="AW203" s="21">
        <f>EXP(-LN(2)/2)*AW202+(1-EXP(-LN(2)/2))/(LN(2)/2)*AQ203*AT203*VLOOKUP('Données projet'!$B$10,Paramètres!$A$1:$I$89,3,0)*0.475*44/12</f>
        <v>8.7519946171571857E-14</v>
      </c>
      <c r="AX203" s="21">
        <f t="shared" si="166"/>
        <v>37.347440030661339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4.3717136577470225E-13</v>
      </c>
      <c r="BF203" s="13">
        <f t="shared" si="167"/>
        <v>5.5313598682231701E-12</v>
      </c>
      <c r="BG203" s="20">
        <f t="shared" si="168"/>
        <v>1.039519189921296E-11</v>
      </c>
      <c r="BH203" s="59">
        <f t="shared" si="194"/>
        <v>290.56523985296451</v>
      </c>
      <c r="BI203" s="59">
        <f ca="1">AVERAGE(OFFSET($BH$3,0,0,'Données projet'!$E$11+1,1))-AVERAGE(OFFSET($H$3,0,0,'Données projet'!$E$11+1,1))</f>
        <v>627.65081154031589</v>
      </c>
      <c r="BJ203" s="59">
        <f t="shared" si="206"/>
        <v>288.78083487077618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168.21440247778716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168.21440247778716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4.8316906031686813E-13</v>
      </c>
      <c r="BZ203" s="13">
        <f>BY203*VLOOKUP('Données projet'!$B$12,Paramètres!$A$1:$I$89,3,0)*VLOOKUP('Données projet'!$B$12,Paramètres!$A$1:$I$89,5,0)</f>
        <v>4.8993342716130437E-13</v>
      </c>
      <c r="CA203" s="13">
        <f t="shared" si="170"/>
        <v>6.1172634040517391E-12</v>
      </c>
      <c r="CB203" s="20">
        <f t="shared" si="171"/>
        <v>1.1507534481029384E-11</v>
      </c>
      <c r="CC203" s="59">
        <f t="shared" si="195"/>
        <v>290.56523985296559</v>
      </c>
      <c r="CD203" s="59">
        <f ca="1">AVERAGE(OFFSET($CC$3,0,0,'Données projet'!$E$12+1,1))-AVERAGE(OFFSET($H$3,0,0,'Données projet'!$E$12+1,1))</f>
        <v>692.2706942067415</v>
      </c>
      <c r="CE203" s="59">
        <f t="shared" si="207"/>
        <v>316.17529091924803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188.51614070786488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188.51614070786488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1.1368683772161603E-13</v>
      </c>
      <c r="CU203" s="17">
        <f>CT203*VLOOKUP('Données projet'!$B$13,Paramètres!$A$1:$I$89,3,0)*VLOOKUP('Données projet'!$B$13,Paramètres!$A$1:$I$89,5,0)</f>
        <v>1.0818439477588981E-13</v>
      </c>
      <c r="CV203" s="13">
        <f t="shared" si="173"/>
        <v>1.6104228458716316E-12</v>
      </c>
      <c r="CW203" s="20">
        <f t="shared" si="174"/>
        <v>2.9932409441277661E-12</v>
      </c>
      <c r="CX203" s="59">
        <f t="shared" si="196"/>
        <v>290.56523985295712</v>
      </c>
      <c r="CY203" s="59">
        <f ca="1">AVERAGE(OFFSET($CX$3,0,0,'Données projet'!$E$13+1,1))-AVERAGE(OFFSET($H$3,0,0,'Données projet'!$E$13+1,1))</f>
        <v>424.5933338095914</v>
      </c>
      <c r="CZ203" s="59">
        <f t="shared" si="208"/>
        <v>159.28977188196134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39.76819066816897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39.76819066816897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-18.333333333333343</v>
      </c>
      <c r="DU203" s="59">
        <f t="shared" si="209"/>
        <v>-18.333333333333343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-18.333333333333343</v>
      </c>
      <c r="EP203" s="59">
        <f t="shared" si="210"/>
        <v>-18.333333333333343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4.8316906031686813E-13</v>
      </c>
      <c r="FF203" s="17">
        <f>FE203*VLOOKUP('Données projet'!$B$16,Paramètres!$A$1:$I$89,3,0)*VLOOKUP('Données projet'!$B$16,Paramètres!$A$1:$I$89,5,0)</f>
        <v>4.6732111513847483E-13</v>
      </c>
      <c r="FG203" s="13">
        <f t="shared" si="182"/>
        <v>5.8671100737071438E-12</v>
      </c>
      <c r="FH203" s="20">
        <f t="shared" si="183"/>
        <v>1.1032467653906121E-11</v>
      </c>
      <c r="FI203" s="59">
        <f t="shared" si="199"/>
        <v>290.56523985296514</v>
      </c>
      <c r="FJ203" s="59">
        <f ca="1">AVERAGE(OFFSET($FI$3,0,0,'Données projet'!$E$16+1,1))-AVERAGE(OFFSET($H$3,0,0,'Données projet'!$E$16+1,1))</f>
        <v>664.59451650228573</v>
      </c>
      <c r="FK203" s="59">
        <f t="shared" si="211"/>
        <v>304.44325029106631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179.81539575211735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179.81539575211735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1.2908435877572824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1.1544582689993719</v>
      </c>
      <c r="BA205" s="82">
        <f>EXP(LN('Données projet'!B88)/'Données projet'!A88)</f>
        <v>1.1289835501862808</v>
      </c>
      <c r="BV205" s="82">
        <f>EXP(LN('Données projet'!B114)/'Données projet'!A114)</f>
        <v>1.1289835501862808</v>
      </c>
      <c r="CQ205" s="82">
        <f>EXP(LN('Données projet'!B140)/'Données projet'!A140)</f>
        <v>1.1379108111976481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>
        <f>EXP(LN('Données projet'!B218)/'Données projet'!A218)</f>
        <v>1.1289835501862808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J52" sqref="J5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laricio</v>
      </c>
      <c r="B6" s="146">
        <f>'Données projet'!D9</f>
        <v>2.3001611999999998</v>
      </c>
      <c r="C6" s="147">
        <f ca="1">IF(OR('Données projet'!B9="",'Données projet'!C9="",'Données projet'!C9=0%),0,Calculateur!S3)</f>
        <v>460.88622650237176</v>
      </c>
      <c r="D6" s="147">
        <f>IF(OR('Données projet'!B9="",'Données projet'!C9="",'Données projet'!C9=0%),0,Calculateur!T3)</f>
        <v>396.05161661639647</v>
      </c>
      <c r="E6" s="147">
        <f ca="1">MIN(C6,D6)</f>
        <v>396.05161661639647</v>
      </c>
      <c r="F6" s="147">
        <f ca="1">E6*B6</f>
        <v>910.98256173831032</v>
      </c>
      <c r="G6" s="147">
        <f ca="1">F6*(100%-'Données projet'!$C$24)*(100%-'Données projet'!$C$25)*(100%-'Données projet'!$C$26)*(100%-'Données projet'!$C$27)</f>
        <v>737.89587500803134</v>
      </c>
      <c r="H6" s="148">
        <f>IF(OR('Données projet'!B9="",'Données projet'!C9="",'Données projet'!C9=0%),0,AVERAGE(Calculateur!$AC$3:$AC$33)*B6)</f>
        <v>20.999140134630576</v>
      </c>
      <c r="I6" s="149">
        <f>H6*(100%-'Données projet'!$C$24)*(100%-'Données projet'!$C$25)*(100%-'Données projet'!$C$26)*(100%-'Données projet'!$C$27)</f>
        <v>17.009303509050767</v>
      </c>
      <c r="J6" s="150">
        <f>IF(OR('Données projet'!B9="",'Données projet'!C9="",'Données projet'!C9=0%),0,SUM(Calculateur!$V$3:$V$33)*VLOOKUP('Données projet'!$B$9,Paramètres!$A$1:$I$89,9,0)*B6)</f>
        <v>156.40153093907998</v>
      </c>
      <c r="K6" s="151">
        <f>J6*(100%-'Données projet'!$C$24)*(100%-'Données projet'!$C$25)*(100%-'Données projet'!$C$26)*(100%-'Données projet'!$C$27)</f>
        <v>126.68524006065478</v>
      </c>
      <c r="L6" s="152">
        <f ca="1">G6+I6+K6</f>
        <v>881.59041857773684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Cèdre de l'Atlas</v>
      </c>
      <c r="B7" s="154">
        <f>'Données projet'!D10</f>
        <v>2.6001839999999996</v>
      </c>
      <c r="C7" s="147">
        <f ca="1">IF(OR('Données projet'!B10="",'Données projet'!C10="",'Données projet'!C10=0%),0,Calculateur!AN3)</f>
        <v>387.50901594883317</v>
      </c>
      <c r="D7" s="147">
        <f>IF(OR('Données projet'!B10="",'Données projet'!C10="",'Données projet'!C10=0%),0,Calculateur!AO3)</f>
        <v>361.3623790401972</v>
      </c>
      <c r="E7" s="147">
        <f t="shared" ref="E7:E15" ca="1" si="0">MIN(C7,D7)</f>
        <v>361.3623790401972</v>
      </c>
      <c r="F7" s="147">
        <f t="shared" ref="F7:F15" ca="1" si="1">E7*B7</f>
        <v>939.60867618225598</v>
      </c>
      <c r="G7" s="147">
        <f ca="1">F7*(100%-'Données projet'!$C$24)*(100%-'Données projet'!$C$25)*(100%-'Données projet'!$C$26)*(100%-'Données projet'!$C$27)</f>
        <v>761.08302770762737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761.08302770762737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Chêne sessile</v>
      </c>
      <c r="B8" s="154">
        <f>'Données projet'!D11</f>
        <v>2.1201515999999998</v>
      </c>
      <c r="C8" s="147">
        <f ca="1">IF(OR('Données projet'!B11="",'Données projet'!C11="",'Données projet'!C11=0%),0,Calculateur!BI3)</f>
        <v>627.65081154031589</v>
      </c>
      <c r="D8" s="147">
        <f>IF(OR('Données projet'!B11="",'Données projet'!C11="",'Données projet'!C11=0%),0,Calculateur!BJ3)</f>
        <v>288.78083487077618</v>
      </c>
      <c r="E8" s="147">
        <f t="shared" ca="1" si="0"/>
        <v>288.78083487077618</v>
      </c>
      <c r="F8" s="147">
        <f t="shared" ca="1" si="1"/>
        <v>612.25914910061181</v>
      </c>
      <c r="G8" s="147">
        <f ca="1">F8*(100%-'Données projet'!$C$24)*(100%-'Données projet'!$C$25)*(100%-'Données projet'!$C$26)*(100%-'Données projet'!$C$27)</f>
        <v>495.92991077149554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495.92991077149554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Chêne pubescent</v>
      </c>
      <c r="B9" s="154">
        <f>'Données projet'!D12</f>
        <v>1.5901086</v>
      </c>
      <c r="C9" s="147">
        <f ca="1">IF(OR('Données projet'!B12="",'Données projet'!C12="",'Données projet'!C12=0%),0,Calculateur!CD3)</f>
        <v>692.2706942067415</v>
      </c>
      <c r="D9" s="147">
        <f>IF(OR('Données projet'!B12="",'Données projet'!C12="",'Données projet'!C12=0%),0,Calculateur!CE3)</f>
        <v>316.17529091924803</v>
      </c>
      <c r="E9" s="147">
        <f t="shared" ca="1" si="0"/>
        <v>316.17529091924803</v>
      </c>
      <c r="F9" s="147">
        <f t="shared" ca="1" si="1"/>
        <v>502.7530491981982</v>
      </c>
      <c r="G9" s="147">
        <f ca="1">F9*(100%-'Données projet'!$C$24)*(100%-'Données projet'!$C$25)*(100%-'Données projet'!$C$26)*(100%-'Données projet'!$C$27)</f>
        <v>407.22996985054056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407.22996985054056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Charme</v>
      </c>
      <c r="B10" s="154">
        <f>'Données projet'!D13</f>
        <v>1.3250921999999998</v>
      </c>
      <c r="C10" s="147">
        <f ca="1">IF(OR('Données projet'!B13="",'Données projet'!C13="",'Données projet'!C13=0%),0,Calculateur!CY3)</f>
        <v>424.5933338095914</v>
      </c>
      <c r="D10" s="147">
        <f>IF(OR('Données projet'!B13="",'Données projet'!C13="",'Données projet'!C13=0%),0,Calculateur!CZ3)</f>
        <v>159.28977188196134</v>
      </c>
      <c r="E10" s="147">
        <f t="shared" ca="1" si="0"/>
        <v>159.28977188196134</v>
      </c>
      <c r="F10" s="147">
        <f t="shared" ca="1" si="1"/>
        <v>211.07363426056628</v>
      </c>
      <c r="G10" s="147">
        <f ca="1">F10*(100%-'Données projet'!$C$24)*(100%-'Données projet'!$C$25)*(100%-'Données projet'!$C$26)*(100%-'Données projet'!$C$27)</f>
        <v>170.9696437510587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170.9696437510587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Alisier torminal</v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Alisier torminal</v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Alisier torminal</v>
      </c>
      <c r="B13" s="154">
        <f>'Données projet'!D16</f>
        <v>0.10572299999999998</v>
      </c>
      <c r="C13" s="147">
        <f ca="1">IF(OR('Données projet'!B16="",'Données projet'!C16="",'Données projet'!C16=0%),0,Calculateur!FJ3)</f>
        <v>664.59451650228573</v>
      </c>
      <c r="D13" s="147">
        <f>IF(OR('Données projet'!B16="",'Données projet'!C16="",'Données projet'!C16=0%),0,Calculateur!FK3)</f>
        <v>304.44325029106631</v>
      </c>
      <c r="E13" s="147">
        <f t="shared" ca="1" si="0"/>
        <v>304.44325029106631</v>
      </c>
      <c r="F13" s="147">
        <f t="shared" ca="1" si="1"/>
        <v>32.186653750522396</v>
      </c>
      <c r="G13" s="147">
        <f ca="1">F13*(100%-'Données projet'!$C$24)*(100%-'Données projet'!$C$25)*(100%-'Données projet'!$C$26)*(100%-'Données projet'!$C$27)</f>
        <v>26.071189537923143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26.071189537923143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3208.8637242304653</v>
      </c>
      <c r="G16" s="166">
        <f t="shared" ca="1" si="3"/>
        <v>2599.1796166266768</v>
      </c>
      <c r="H16" s="167">
        <f t="shared" si="3"/>
        <v>20.999140134630576</v>
      </c>
      <c r="I16" s="167">
        <f t="shared" si="3"/>
        <v>17.009303509050767</v>
      </c>
      <c r="J16" s="168">
        <f t="shared" si="3"/>
        <v>156.40153093907998</v>
      </c>
      <c r="K16" s="168">
        <f t="shared" si="3"/>
        <v>126.68524006065478</v>
      </c>
      <c r="L16" s="169">
        <f t="shared" ca="1" si="3"/>
        <v>2742.874160196382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Alisier torminal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2" zoomScale="80" zoomScaleNormal="80" workbookViewId="0">
      <selection activeCell="O23" sqref="O2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1280.1856661585346</v>
      </c>
      <c r="U10" s="178">
        <f>'Données projet'!D9</f>
        <v>2.3001611999999998</v>
      </c>
      <c r="V10" s="177">
        <f>U10*T10</f>
        <v>2944.633398094014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Cèdre de l'Atlas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-1126.3558884742829</v>
      </c>
      <c r="U11" s="178">
        <f>'Données projet'!D10</f>
        <v>2.6001839999999996</v>
      </c>
      <c r="V11" s="177">
        <f t="shared" ref="V11" si="0">U11*T11</f>
        <v>-2928.7325595166144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Chêne sessile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-1974.3193797381639</v>
      </c>
      <c r="U12" s="178">
        <f>'Données projet'!D11</f>
        <v>2.1201515999999998</v>
      </c>
      <c r="V12" s="177">
        <f t="shared" ref="V12:V19" si="1">U12*T12</f>
        <v>-4185.8563918628752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Chêne pubescent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-2251.5193797381644</v>
      </c>
      <c r="U13" s="178">
        <f>'Données projet'!D12</f>
        <v>1.5901086</v>
      </c>
      <c r="V13" s="177">
        <f t="shared" si="1"/>
        <v>-3580.1603287883208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Charme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-1461.890193191648</v>
      </c>
      <c r="U14" s="178">
        <f>'Données projet'!D13</f>
        <v>1.3250921999999998</v>
      </c>
      <c r="V14" s="177">
        <f t="shared" si="1"/>
        <v>-1937.1392922547457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/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Alisier torminal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-4981.28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>Alisier torminal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-4981.28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v>1839.68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Alisier torminal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-2827.884452804637</v>
      </c>
      <c r="U17" s="178">
        <f>'Données projet'!D16</f>
        <v>0.10572299999999998</v>
      </c>
      <c r="V17" s="177">
        <f t="shared" si="1"/>
        <v>-298.97242800386459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v>340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500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19</v>
      </c>
      <c r="B23" s="181">
        <f>'Données projet'!D36</f>
        <v>46.3</v>
      </c>
      <c r="C23" s="193">
        <f>31*'Données projet'!E36+19.4*('Données projet'!F36+'Données projet'!G36)+10*'Données projet'!G36</f>
        <v>25.979999999999997</v>
      </c>
      <c r="D23" s="182">
        <f>B23*C23</f>
        <v>1202.8739999999998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-18124.450353643046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24</v>
      </c>
      <c r="B24" s="181">
        <f>'Données projet'!D37</f>
        <v>44.84</v>
      </c>
      <c r="C24" s="193">
        <f>31*'Données projet'!E37+19.4*('Données projet'!F37+'Données projet'!G37)+10*'Données projet'!G37</f>
        <v>26.64</v>
      </c>
      <c r="D24" s="182">
        <f t="shared" ref="D24:D42" si="2">B24*C24</f>
        <v>1194.5376000000001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66.989999999999995</v>
      </c>
      <c r="C25" s="193">
        <f>31*'Données projet'!E38+19.4*('Données projet'!F38+'Données projet'!G38)+10*'Données projet'!G38</f>
        <v>27.4</v>
      </c>
      <c r="D25" s="182">
        <f t="shared" si="2"/>
        <v>1835.5259999999998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-18124.450353643046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37</v>
      </c>
      <c r="B26" s="181">
        <f>'Données projet'!D39</f>
        <v>54.63</v>
      </c>
      <c r="C26" s="193">
        <f>31*'Données projet'!E39+19.4*('Données projet'!F39+'Données projet'!G39)+10*'Données projet'!G39</f>
        <v>28.16</v>
      </c>
      <c r="D26" s="182">
        <f t="shared" si="2"/>
        <v>1538.3808000000001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46</v>
      </c>
      <c r="B27" s="181">
        <f>'Données projet'!D40</f>
        <v>93.13</v>
      </c>
      <c r="C27" s="193">
        <f>31*'Données projet'!E40+19.4*('Données projet'!F40+'Données projet'!G40)+10*'Données projet'!G40</f>
        <v>28.82</v>
      </c>
      <c r="D27" s="182">
        <f t="shared" si="2"/>
        <v>2684.0065999999997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56</v>
      </c>
      <c r="B28" s="181">
        <f>'Données projet'!D41</f>
        <v>77.37</v>
      </c>
      <c r="C28" s="193">
        <f>31*'Données projet'!E41+19.4*('Données projet'!F41+'Données projet'!G41)+10*'Données projet'!G41</f>
        <v>29.58</v>
      </c>
      <c r="D28" s="182">
        <f t="shared" si="2"/>
        <v>2288.6046000000001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66</v>
      </c>
      <c r="B29" s="181">
        <f>'Données projet'!D42</f>
        <v>87.84</v>
      </c>
      <c r="C29" s="193">
        <f>31*'Données projet'!E42+19.4*('Données projet'!F42+'Données projet'!G42)+10*'Données projet'!G42</f>
        <v>29.58</v>
      </c>
      <c r="D29" s="182">
        <f t="shared" si="2"/>
        <v>2598.3071999999997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76</v>
      </c>
      <c r="B30" s="181">
        <f>'Données projet'!D43</f>
        <v>671.57</v>
      </c>
      <c r="C30" s="193">
        <f>31*'Données projet'!E43+19.4*('Données projet'!F43+'Données projet'!G43)+10*'Données projet'!G43</f>
        <v>29.58</v>
      </c>
      <c r="D30" s="182">
        <f t="shared" si="2"/>
        <v>19865.0406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>
        <f>31*'Données projet'!E44+19.4*('Données projet'!F44+'Données projet'!G44)+10*'Données projet'!G44</f>
        <v>0</v>
      </c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>
        <f>31*'Données projet'!E45+19.4*('Données projet'!F45+'Données projet'!G45)+10*'Données projet'!G45</f>
        <v>0</v>
      </c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>
        <f>31*'Données projet'!E46+19.4*('Données projet'!F46+'Données projet'!G46)+10*'Données projet'!G46</f>
        <v>0</v>
      </c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>
        <f>31*'Données projet'!E47+19.4*('Données projet'!F47+'Données projet'!G47)+10*'Données projet'!G47</f>
        <v>0</v>
      </c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>
        <f>31*'Données projet'!E48+19.4*('Données projet'!F48+'Données projet'!G48)+10*'Données projet'!G48</f>
        <v>0</v>
      </c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>
        <f>31*'Données projet'!E49+19.4*('Données projet'!F49+'Données projet'!G49)+10*'Données projet'!G49</f>
        <v>0</v>
      </c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>
        <f>31*'Données projet'!E50+19.4*('Données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>
        <f>31*'Données projet'!E51+19.4*('Données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>
        <f>31*'Données projet'!E52+19.4*('Données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31*'Données projet'!E53+19.4*('Données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31*'Données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31*'Données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v>3364.28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42</v>
      </c>
      <c r="B54" s="181">
        <f>'Données projet'!D62</f>
        <v>182.39</v>
      </c>
      <c r="C54" s="191">
        <f>55*'Données projet'!E62+19.4*('Données projet'!F62+'Données projet'!G62)+10*'Données projet'!H62</f>
        <v>33.64</v>
      </c>
      <c r="D54" s="179">
        <f>B54*C54</f>
        <v>6135.5995999999996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49</v>
      </c>
      <c r="B55" s="181">
        <f>'Données projet'!D63</f>
        <v>100.16</v>
      </c>
      <c r="C55" s="191">
        <f>55*'Données projet'!E63+19.4*('Données projet'!F63+'Données projet'!G63)+10*'Données projet'!H63</f>
        <v>37.200000000000003</v>
      </c>
      <c r="D55" s="179">
        <f t="shared" ref="D55:D73" si="4">B55*C55</f>
        <v>3725.9520000000002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56</v>
      </c>
      <c r="B56" s="181">
        <f>'Données projet'!D64</f>
        <v>79.39</v>
      </c>
      <c r="C56" s="191">
        <f>55*'Données projet'!E64+19.4*('Données projet'!F64+'Données projet'!G64)+10*'Données projet'!H64</f>
        <v>40.76</v>
      </c>
      <c r="D56" s="179">
        <f t="shared" si="4"/>
        <v>3235.9364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63</v>
      </c>
      <c r="B57" s="181">
        <f>'Données projet'!D65</f>
        <v>79.099999999999994</v>
      </c>
      <c r="C57" s="191">
        <f>55*'Données projet'!E65+19.4*('Données projet'!F65+'Données projet'!G65)+10*'Données projet'!H65</f>
        <v>44.32</v>
      </c>
      <c r="D57" s="179">
        <f t="shared" si="4"/>
        <v>3505.712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71</v>
      </c>
      <c r="B58" s="181">
        <f>'Données projet'!D66</f>
        <v>90.8</v>
      </c>
      <c r="C58" s="191">
        <f>55*'Données projet'!E66+19.4*('Données projet'!F66+'Données projet'!G66)+10*'Données projet'!H66</f>
        <v>47.88</v>
      </c>
      <c r="D58" s="179">
        <f t="shared" si="4"/>
        <v>4347.5039999999999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79</v>
      </c>
      <c r="B59" s="181">
        <f>'Données projet'!D67</f>
        <v>87.99</v>
      </c>
      <c r="C59" s="191">
        <f>55*'Données projet'!E67+19.4*('Données projet'!F67+'Données projet'!G67)+10*'Données projet'!H67</f>
        <v>47.88</v>
      </c>
      <c r="D59" s="179">
        <f t="shared" si="4"/>
        <v>4212.9611999999997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87</v>
      </c>
      <c r="B60" s="181">
        <f>'Données projet'!D68</f>
        <v>88.62</v>
      </c>
      <c r="C60" s="191">
        <f>55*'Données projet'!E68+19.4*('Données projet'!F68+'Données projet'!G68)+10*'Données projet'!H68</f>
        <v>47.88</v>
      </c>
      <c r="D60" s="179">
        <f t="shared" si="4"/>
        <v>4243.1256000000003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95</v>
      </c>
      <c r="B61" s="181">
        <f>'Données projet'!D69</f>
        <v>268.81</v>
      </c>
      <c r="C61" s="191">
        <f>55*'Données projet'!E69+19.4*('Données projet'!F69+'Données projet'!G69)+10*'Données projet'!H69</f>
        <v>47.88</v>
      </c>
      <c r="D61" s="179">
        <f t="shared" si="4"/>
        <v>12870.622800000001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105</v>
      </c>
      <c r="B62" s="181">
        <f>'Données projet'!D70</f>
        <v>356.68</v>
      </c>
      <c r="C62" s="191">
        <f>55*'Données projet'!E70+19.4*('Données projet'!F70+'Données projet'!G70)+10*'Données projet'!H70</f>
        <v>47.88</v>
      </c>
      <c r="D62" s="179">
        <f t="shared" si="4"/>
        <v>17077.838400000001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55*'Données projet'!E71+19.4*('Données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55*'Données projet'!E72+19.4*('Données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55*'Données projet'!E73+19.4*('Données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55*'Données projet'!E74+19.4*('Données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55*'Données projet'!E75+19.4*('Données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55*'Données projet'!E76+19.4*('Données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55*'Données projet'!E77+19.4*('Données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55*'Données projet'!E78+19.4*('Données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55*'Données projet'!E79+19.4*('Données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55*'Données projet'!E80+19.4*('Données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55*'Données projet'!E81+19.4*('Données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>
        <v>3133.28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42</v>
      </c>
      <c r="B85" s="181">
        <f>'Données projet'!D88</f>
        <v>43.21</v>
      </c>
      <c r="C85" s="191">
        <f>150*'Données projet'!E88+13.8*('Données projet'!F88+'Données projet'!G88)+10*'Données projet'!H88</f>
        <v>38</v>
      </c>
      <c r="D85" s="179">
        <f>B85*C85</f>
        <v>1641.98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50</v>
      </c>
      <c r="B86" s="181">
        <f>'Données projet'!D89</f>
        <v>35.58</v>
      </c>
      <c r="C86" s="191">
        <f>150*'Données projet'!E89+13.8*('Données projet'!F89+'Données projet'!G89)+10*'Données projet'!H89</f>
        <v>38</v>
      </c>
      <c r="D86" s="179">
        <f t="shared" ref="D86:D104" si="6">B86*C86</f>
        <v>1352.04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58</v>
      </c>
      <c r="B87" s="181">
        <f>'Données projet'!D90</f>
        <v>44.93</v>
      </c>
      <c r="C87" s="191">
        <f>150*'Données projet'!E90+13.8*('Données projet'!F90+'Données projet'!G90)+10*'Données projet'!H90</f>
        <v>38</v>
      </c>
      <c r="D87" s="179">
        <f t="shared" si="6"/>
        <v>1707.34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66</v>
      </c>
      <c r="B88" s="181">
        <f>'Données projet'!D91</f>
        <v>49.91</v>
      </c>
      <c r="C88" s="191">
        <f>150*'Données projet'!E91+13.8*('Données projet'!F91+'Données projet'!G91)+10*'Données projet'!H91</f>
        <v>52</v>
      </c>
      <c r="D88" s="179">
        <f t="shared" si="6"/>
        <v>2595.3199999999997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74</v>
      </c>
      <c r="B89" s="181">
        <f>'Données projet'!D92</f>
        <v>47.4</v>
      </c>
      <c r="C89" s="191">
        <f>150*'Données projet'!E92+13.8*('Données projet'!F92+'Données projet'!G92)+10*'Données projet'!H92</f>
        <v>66</v>
      </c>
      <c r="D89" s="179">
        <f t="shared" si="6"/>
        <v>3128.4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84</v>
      </c>
      <c r="B90" s="181">
        <f>'Données projet'!D93</f>
        <v>61.47</v>
      </c>
      <c r="C90" s="191">
        <f>150*'Données projet'!E93+13.8*('Données projet'!F93+'Données projet'!G93)+10*'Données projet'!H93</f>
        <v>66</v>
      </c>
      <c r="D90" s="179">
        <f t="shared" si="6"/>
        <v>4057.02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94</v>
      </c>
      <c r="B91" s="181">
        <f>'Données projet'!D94</f>
        <v>61.85</v>
      </c>
      <c r="C91" s="191">
        <f>150*'Données projet'!E94+13.8*('Données projet'!F94+'Données projet'!G94)+10*'Données projet'!H94</f>
        <v>80</v>
      </c>
      <c r="D91" s="179">
        <f t="shared" si="6"/>
        <v>4948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104</v>
      </c>
      <c r="B92" s="181">
        <f>'Données projet'!D95</f>
        <v>60.19</v>
      </c>
      <c r="C92" s="191">
        <f>150*'Données projet'!E95+13.8*('Données projet'!F95+'Données projet'!G95)+10*'Données projet'!H95</f>
        <v>80</v>
      </c>
      <c r="D92" s="179">
        <f t="shared" si="6"/>
        <v>4815.2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114</v>
      </c>
      <c r="B93" s="181">
        <f>'Données projet'!D96</f>
        <v>56.07</v>
      </c>
      <c r="C93" s="191">
        <f>150*'Données projet'!E96+13.8*('Données projet'!F96+'Données projet'!G96)+10*'Données projet'!H96</f>
        <v>94</v>
      </c>
      <c r="D93" s="179">
        <f t="shared" si="6"/>
        <v>5270.58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124</v>
      </c>
      <c r="B94" s="181">
        <f>'Données projet'!D97</f>
        <v>52.53</v>
      </c>
      <c r="C94" s="191">
        <f>150*'Données projet'!E97+13.8*('Données projet'!F97+'Données projet'!G97)+10*'Données projet'!H97</f>
        <v>108</v>
      </c>
      <c r="D94" s="179">
        <f t="shared" si="6"/>
        <v>5673.24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134</v>
      </c>
      <c r="B95" s="181">
        <f>'Données projet'!D98</f>
        <v>54.95</v>
      </c>
      <c r="C95" s="191">
        <f>150*'Données projet'!E98+13.8*('Données projet'!F98+'Données projet'!G98)+10*'Données projet'!H98</f>
        <v>108</v>
      </c>
      <c r="D95" s="179">
        <f t="shared" si="6"/>
        <v>5934.6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144</v>
      </c>
      <c r="B96" s="181">
        <f>'Données projet'!D99</f>
        <v>56.01</v>
      </c>
      <c r="C96" s="191">
        <f>150*'Données projet'!E99+13.8*('Données projet'!F99+'Données projet'!G99)+10*'Données projet'!H99</f>
        <v>108</v>
      </c>
      <c r="D96" s="179">
        <f t="shared" si="6"/>
        <v>6049.08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154</v>
      </c>
      <c r="B97" s="181">
        <f>'Données projet'!D100</f>
        <v>55.13</v>
      </c>
      <c r="C97" s="191">
        <f>150*'Données projet'!E100+13.8*('Données projet'!F100+'Données projet'!G100)+10*'Données projet'!H100</f>
        <v>108</v>
      </c>
      <c r="D97" s="179">
        <f t="shared" si="6"/>
        <v>5954.04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164</v>
      </c>
      <c r="B98" s="181">
        <f>'Données projet'!D101</f>
        <v>59.58</v>
      </c>
      <c r="C98" s="191">
        <f>150*'Données projet'!E101+13.8*('Données projet'!F101+'Données projet'!G101)+10*'Données projet'!H101</f>
        <v>122</v>
      </c>
      <c r="D98" s="179">
        <f t="shared" si="6"/>
        <v>7268.76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174</v>
      </c>
      <c r="B99" s="181">
        <f>'Données projet'!D102</f>
        <v>214.77</v>
      </c>
      <c r="C99" s="191">
        <f>150*'Données projet'!E102+13.8*('Données projet'!F102+'Données projet'!G102)+10*'Données projet'!H102</f>
        <v>122</v>
      </c>
      <c r="D99" s="179">
        <f t="shared" si="6"/>
        <v>26201.940000000002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177</v>
      </c>
      <c r="B100" s="181">
        <f>'Données projet'!D103</f>
        <v>115.19</v>
      </c>
      <c r="C100" s="191">
        <f>150*'Données projet'!E103+13.8*('Données projet'!F103+'Données projet'!G103)+10*'Données projet'!H103</f>
        <v>122</v>
      </c>
      <c r="D100" s="179">
        <f t="shared" si="6"/>
        <v>14053.18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180</v>
      </c>
      <c r="B101" s="181">
        <f>'Données projet'!D104</f>
        <v>77.72</v>
      </c>
      <c r="C101" s="191">
        <f>150*'Données projet'!E104+13.8*('Données projet'!F104+'Données projet'!G104)+10*'Données projet'!H104</f>
        <v>122</v>
      </c>
      <c r="D101" s="179">
        <f t="shared" si="6"/>
        <v>9481.84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183</v>
      </c>
      <c r="B102" s="181">
        <f>'Données projet'!D105</f>
        <v>169.76</v>
      </c>
      <c r="C102" s="191">
        <f>150*'Données projet'!E105+13.8*('Données projet'!F105+'Données projet'!G105)+10*'Données projet'!H105</f>
        <v>122</v>
      </c>
      <c r="D102" s="179">
        <f t="shared" si="6"/>
        <v>20710.719999999998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150*'Données projet'!E106+13.8*('Données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150*'Données projet'!E107+13.8*('Données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Chêne pubescent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v>3410.48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str">
        <f>IF(O109+1&lt;=MIN('Données projet'!$E$9:$E$18),O109+1,"STOP")</f>
        <v>STOP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42</v>
      </c>
      <c r="B116" s="181">
        <f>'Données projet'!D114</f>
        <v>43.21</v>
      </c>
      <c r="C116" s="191">
        <f>150*'Données projet'!E114+13.8*('Données projet'!F114+'Données projet'!G114)+10*'Données projet'!H114</f>
        <v>38</v>
      </c>
      <c r="D116" s="179">
        <f>B116*C116</f>
        <v>1641.98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50</v>
      </c>
      <c r="B117" s="181">
        <f>'Données projet'!D115</f>
        <v>35.58</v>
      </c>
      <c r="C117" s="191">
        <f>150*'Données projet'!E115+13.8*('Données projet'!F115+'Données projet'!G115)+10*'Données projet'!H115</f>
        <v>38</v>
      </c>
      <c r="D117" s="179">
        <f t="shared" ref="D117:D135" si="8">B117*C117</f>
        <v>1352.04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58</v>
      </c>
      <c r="B118" s="181">
        <f>'Données projet'!D116</f>
        <v>44.93</v>
      </c>
      <c r="C118" s="191">
        <f>150*'Données projet'!E116+13.8*('Données projet'!F116+'Données projet'!G116)+10*'Données projet'!H116</f>
        <v>38</v>
      </c>
      <c r="D118" s="179">
        <f t="shared" si="8"/>
        <v>1707.34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66</v>
      </c>
      <c r="B119" s="181">
        <f>'Données projet'!D117</f>
        <v>49.91</v>
      </c>
      <c r="C119" s="191">
        <f>150*'Données projet'!E117+13.8*('Données projet'!F117+'Données projet'!G117)+10*'Données projet'!H117</f>
        <v>52</v>
      </c>
      <c r="D119" s="179">
        <f t="shared" si="8"/>
        <v>2595.3199999999997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74</v>
      </c>
      <c r="B120" s="181">
        <f>'Données projet'!D118</f>
        <v>47.4</v>
      </c>
      <c r="C120" s="191">
        <f>150*'Données projet'!E118+13.8*('Données projet'!F118+'Données projet'!G118)+10*'Données projet'!H118</f>
        <v>66</v>
      </c>
      <c r="D120" s="179">
        <f t="shared" si="8"/>
        <v>3128.4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84</v>
      </c>
      <c r="B121" s="181">
        <f>'Données projet'!D119</f>
        <v>61.47</v>
      </c>
      <c r="C121" s="191">
        <f>150*'Données projet'!E119+13.8*('Données projet'!F119+'Données projet'!G119)+10*'Données projet'!H119</f>
        <v>66</v>
      </c>
      <c r="D121" s="179">
        <f t="shared" si="8"/>
        <v>4057.02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94</v>
      </c>
      <c r="B122" s="181">
        <f>'Données projet'!D120</f>
        <v>61.85</v>
      </c>
      <c r="C122" s="191">
        <f>150*'Données projet'!E120+13.8*('Données projet'!F120+'Données projet'!G120)+10*'Données projet'!H120</f>
        <v>80</v>
      </c>
      <c r="D122" s="179">
        <f t="shared" si="8"/>
        <v>4948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104</v>
      </c>
      <c r="B123" s="181">
        <f>'Données projet'!D121</f>
        <v>60.19</v>
      </c>
      <c r="C123" s="191">
        <f>150*'Données projet'!E121+13.8*('Données projet'!F121+'Données projet'!G121)+10*'Données projet'!H121</f>
        <v>80</v>
      </c>
      <c r="D123" s="179">
        <f t="shared" si="8"/>
        <v>4815.2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114</v>
      </c>
      <c r="B124" s="181">
        <f>'Données projet'!D122</f>
        <v>56.07</v>
      </c>
      <c r="C124" s="191">
        <f>150*'Données projet'!E122+13.8*('Données projet'!F122+'Données projet'!G122)+10*'Données projet'!H122</f>
        <v>94</v>
      </c>
      <c r="D124" s="179">
        <f t="shared" si="8"/>
        <v>5270.58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124</v>
      </c>
      <c r="B125" s="181">
        <f>'Données projet'!D123</f>
        <v>52.53</v>
      </c>
      <c r="C125" s="191">
        <f>150*'Données projet'!E123+13.8*('Données projet'!F123+'Données projet'!G123)+10*'Données projet'!H123</f>
        <v>108</v>
      </c>
      <c r="D125" s="179">
        <f t="shared" si="8"/>
        <v>5673.24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134</v>
      </c>
      <c r="B126" s="181">
        <f>'Données projet'!D124</f>
        <v>54.95</v>
      </c>
      <c r="C126" s="191">
        <f>150*'Données projet'!E124+13.8*('Données projet'!F124+'Données projet'!G124)+10*'Données projet'!H124</f>
        <v>108</v>
      </c>
      <c r="D126" s="179">
        <f t="shared" si="8"/>
        <v>5934.6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144</v>
      </c>
      <c r="B127" s="181">
        <f>'Données projet'!D125</f>
        <v>56.01</v>
      </c>
      <c r="C127" s="191">
        <f>150*'Données projet'!E125+13.8*('Données projet'!F125+'Données projet'!G125)+10*'Données projet'!H125</f>
        <v>108</v>
      </c>
      <c r="D127" s="179">
        <f t="shared" si="8"/>
        <v>6049.08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154</v>
      </c>
      <c r="B128" s="181">
        <f>'Données projet'!D126</f>
        <v>55.13</v>
      </c>
      <c r="C128" s="191">
        <f>150*'Données projet'!E126+13.8*('Données projet'!F126+'Données projet'!G126)+10*'Données projet'!H126</f>
        <v>108</v>
      </c>
      <c r="D128" s="179">
        <f t="shared" si="8"/>
        <v>5954.04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164</v>
      </c>
      <c r="B129" s="181">
        <f>'Données projet'!D127</f>
        <v>59.58</v>
      </c>
      <c r="C129" s="191">
        <f>150*'Données projet'!E127+13.8*('Données projet'!F127+'Données projet'!G127)+10*'Données projet'!H127</f>
        <v>122</v>
      </c>
      <c r="D129" s="179">
        <f t="shared" si="8"/>
        <v>7268.76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174</v>
      </c>
      <c r="B130" s="181">
        <f>'Données projet'!D128</f>
        <v>214.77</v>
      </c>
      <c r="C130" s="191">
        <f>150*'Données projet'!E128+13.8*('Données projet'!F128+'Données projet'!G128)+10*'Données projet'!H128</f>
        <v>122</v>
      </c>
      <c r="D130" s="179">
        <f t="shared" si="8"/>
        <v>26201.940000000002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177</v>
      </c>
      <c r="B131" s="181">
        <f>'Données projet'!D129</f>
        <v>115.19</v>
      </c>
      <c r="C131" s="191">
        <f>150*'Données projet'!E129+13.8*('Données projet'!F129+'Données projet'!G129)+10*'Données projet'!H129</f>
        <v>122</v>
      </c>
      <c r="D131" s="179">
        <f t="shared" si="8"/>
        <v>14053.18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180</v>
      </c>
      <c r="B132" s="181">
        <f>'Données projet'!D130</f>
        <v>77.72</v>
      </c>
      <c r="C132" s="191">
        <f>150*'Données projet'!E130+13.8*('Données projet'!F130+'Données projet'!G130)+10*'Données projet'!H130</f>
        <v>122</v>
      </c>
      <c r="D132" s="179">
        <f t="shared" si="8"/>
        <v>9481.84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183</v>
      </c>
      <c r="B133" s="181">
        <f>'Données projet'!D131</f>
        <v>169.76</v>
      </c>
      <c r="C133" s="191">
        <f>150*'Données projet'!E131+13.8*('Données projet'!F131+'Données projet'!G131)+10*'Données projet'!H131</f>
        <v>122</v>
      </c>
      <c r="D133" s="179">
        <f t="shared" si="8"/>
        <v>20710.719999999998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150*'Données projet'!E132+13.8*('Données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150*'Données projet'!E133+13.8*('Données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Charme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v>2055.2800000000002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35</v>
      </c>
      <c r="B147" s="175">
        <f>'Données projet'!D140</f>
        <v>12</v>
      </c>
      <c r="C147" s="191">
        <f>50*'Données projet'!E140+13.8*('Données projet'!F140+'Données projet'!G140)+10*'Données projet'!H140</f>
        <v>18</v>
      </c>
      <c r="D147" s="182">
        <f>B147*C147</f>
        <v>216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40</v>
      </c>
      <c r="B148" s="175">
        <f>'Données projet'!D141</f>
        <v>17</v>
      </c>
      <c r="C148" s="191">
        <f>50*'Données projet'!E141+13.8*('Données projet'!F141+'Données projet'!G141)+10*'Données projet'!H141</f>
        <v>18</v>
      </c>
      <c r="D148" s="182">
        <f t="shared" ref="D148:D166" si="10">B148*C148</f>
        <v>306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45</v>
      </c>
      <c r="B149" s="175">
        <f>'Données projet'!D142</f>
        <v>20</v>
      </c>
      <c r="C149" s="191">
        <f>50*'Données projet'!E142+13.8*('Données projet'!F142+'Données projet'!G142)+10*'Données projet'!H142</f>
        <v>22</v>
      </c>
      <c r="D149" s="182">
        <f t="shared" si="10"/>
        <v>440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50</v>
      </c>
      <c r="B150" s="175">
        <f>'Données projet'!D143</f>
        <v>23</v>
      </c>
      <c r="C150" s="191">
        <f>50*'Données projet'!E143+13.8*('Données projet'!F143+'Données projet'!G143)+10*'Données projet'!H143</f>
        <v>22</v>
      </c>
      <c r="D150" s="182">
        <f t="shared" si="10"/>
        <v>506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55</v>
      </c>
      <c r="B151" s="175">
        <f>'Données projet'!D144</f>
        <v>24</v>
      </c>
      <c r="C151" s="191">
        <f>50*'Données projet'!E144+13.8*('Données projet'!F144+'Données projet'!G144)+10*'Données projet'!H144</f>
        <v>26</v>
      </c>
      <c r="D151" s="182">
        <f t="shared" si="10"/>
        <v>624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60</v>
      </c>
      <c r="B152" s="175">
        <f>'Données projet'!D145</f>
        <v>25</v>
      </c>
      <c r="C152" s="191">
        <f>50*'Données projet'!E145+13.8*('Données projet'!F145+'Données projet'!G145)+10*'Données projet'!H145</f>
        <v>26</v>
      </c>
      <c r="D152" s="182">
        <f t="shared" si="10"/>
        <v>650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65</v>
      </c>
      <c r="B153" s="175">
        <f>'Données projet'!D146</f>
        <v>26</v>
      </c>
      <c r="C153" s="191">
        <f>50*'Données projet'!E146+13.8*('Données projet'!F146+'Données projet'!G146)+10*'Données projet'!H146</f>
        <v>30</v>
      </c>
      <c r="D153" s="182">
        <f t="shared" si="10"/>
        <v>780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70</v>
      </c>
      <c r="B154" s="175">
        <f>'Données projet'!D147</f>
        <v>26</v>
      </c>
      <c r="C154" s="191">
        <f>50*'Données projet'!E147+13.8*('Données projet'!F147+'Données projet'!G147)+10*'Données projet'!H147</f>
        <v>30</v>
      </c>
      <c r="D154" s="182">
        <f t="shared" si="10"/>
        <v>780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75</v>
      </c>
      <c r="B155" s="175">
        <f>'Données projet'!D148</f>
        <v>27</v>
      </c>
      <c r="C155" s="191">
        <f>50*'Données projet'!E148+13.8*('Données projet'!F148+'Données projet'!G148)+10*'Données projet'!H148</f>
        <v>34</v>
      </c>
      <c r="D155" s="182">
        <f t="shared" si="10"/>
        <v>918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80</v>
      </c>
      <c r="B156" s="175">
        <f>'Données projet'!D149</f>
        <v>27</v>
      </c>
      <c r="C156" s="191">
        <f>50*'Données projet'!E149+13.8*('Données projet'!F149+'Données projet'!G149)+10*'Données projet'!H149</f>
        <v>34</v>
      </c>
      <c r="D156" s="182">
        <f t="shared" si="10"/>
        <v>918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85</v>
      </c>
      <c r="B157" s="175">
        <f>'Données projet'!D150</f>
        <v>26</v>
      </c>
      <c r="C157" s="191">
        <f>50*'Données projet'!E150+13.8*('Données projet'!F150+'Données projet'!G150)+10*'Données projet'!H150</f>
        <v>34</v>
      </c>
      <c r="D157" s="182">
        <f t="shared" si="10"/>
        <v>884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90</v>
      </c>
      <c r="B158" s="175">
        <f>'Données projet'!D151</f>
        <v>26</v>
      </c>
      <c r="C158" s="191">
        <f>50*'Données projet'!E151+13.8*('Données projet'!F151+'Données projet'!G151)+10*'Données projet'!H151</f>
        <v>34</v>
      </c>
      <c r="D158" s="182">
        <f t="shared" si="10"/>
        <v>884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95</v>
      </c>
      <c r="B159" s="175">
        <f>'Données projet'!D152</f>
        <v>26</v>
      </c>
      <c r="C159" s="191">
        <f>50*'Données projet'!E152+13.8*('Données projet'!F152+'Données projet'!G152)+10*'Données projet'!H152</f>
        <v>38</v>
      </c>
      <c r="D159" s="182">
        <f t="shared" si="10"/>
        <v>988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100</v>
      </c>
      <c r="B160" s="175">
        <f>'Données projet'!D153</f>
        <v>25</v>
      </c>
      <c r="C160" s="191">
        <f>50*'Données projet'!E153+13.8*('Données projet'!F153+'Données projet'!G153)+10*'Données projet'!H153</f>
        <v>38</v>
      </c>
      <c r="D160" s="182">
        <f t="shared" si="10"/>
        <v>950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105</v>
      </c>
      <c r="B161" s="175">
        <f>'Données projet'!D154</f>
        <v>25</v>
      </c>
      <c r="C161" s="191">
        <f>50*'Données projet'!E154+13.8*('Données projet'!F154+'Données projet'!G154)+10*'Données projet'!H154</f>
        <v>38</v>
      </c>
      <c r="D161" s="182">
        <f t="shared" si="10"/>
        <v>950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110</v>
      </c>
      <c r="B162" s="175">
        <f>'Données projet'!D155</f>
        <v>24</v>
      </c>
      <c r="C162" s="191">
        <f>50*'Données projet'!E155+13.8*('Données projet'!F155+'Données projet'!G155)+10*'Données projet'!H155</f>
        <v>38</v>
      </c>
      <c r="D162" s="182">
        <f t="shared" si="10"/>
        <v>912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115</v>
      </c>
      <c r="B163" s="175">
        <f>'Données projet'!D156</f>
        <v>23</v>
      </c>
      <c r="C163" s="191">
        <f>50*'Données projet'!E156+13.8*('Données projet'!F156+'Données projet'!G156)+10*'Données projet'!H156</f>
        <v>42</v>
      </c>
      <c r="D163" s="182">
        <f t="shared" si="10"/>
        <v>966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120</v>
      </c>
      <c r="B164" s="175">
        <f>'Données projet'!D157</f>
        <v>23</v>
      </c>
      <c r="C164" s="191">
        <f>50*'Données projet'!E157+13.8*('Données projet'!F157+'Données projet'!G157)+10*'Données projet'!H157</f>
        <v>42</v>
      </c>
      <c r="D164" s="182">
        <f t="shared" si="10"/>
        <v>966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125</v>
      </c>
      <c r="B165" s="175">
        <f>'Données projet'!D158</f>
        <v>22</v>
      </c>
      <c r="C165" s="191">
        <f>50*'Données projet'!E158+13.8*('Données projet'!F158+'Données projet'!G158)+10*'Données projet'!H158</f>
        <v>42</v>
      </c>
      <c r="D165" s="182">
        <f t="shared" si="10"/>
        <v>924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130</v>
      </c>
      <c r="B166" s="175">
        <f>'Données projet'!D159</f>
        <v>282</v>
      </c>
      <c r="C166" s="191">
        <f>50*'Données projet'!E159+13.8*('Données projet'!F159+'Données projet'!G159)+10*'Données projet'!H159</f>
        <v>42</v>
      </c>
      <c r="D166" s="182">
        <f t="shared" si="10"/>
        <v>11844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29" t="s">
        <v>324</v>
      </c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v>4981.28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Alisier torminal</v>
      </c>
      <c r="C200" s="4"/>
      <c r="D200" s="4"/>
      <c r="E200" s="4"/>
      <c r="F200" s="229" t="s">
        <v>325</v>
      </c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>
        <v>4981.28</v>
      </c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Alisier torminal</v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v>4981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42</v>
      </c>
      <c r="B240" s="181">
        <f>'Données projet'!D218</f>
        <v>43.21</v>
      </c>
      <c r="C240" s="193">
        <f>300*'Données projet'!E218+13.8*('Données projet'!F218+'Données projet'!G218)+10*'Données projet'!H218</f>
        <v>68</v>
      </c>
      <c r="D240" s="179">
        <f>B240*C240</f>
        <v>2938.28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50</v>
      </c>
      <c r="B241" s="181">
        <f>'Données projet'!D219</f>
        <v>35.58</v>
      </c>
      <c r="C241" s="193">
        <f>300*'Données projet'!E219+13.8*('Données projet'!F219+'Données projet'!G219)+10*'Données projet'!H219</f>
        <v>68</v>
      </c>
      <c r="D241" s="179">
        <f t="shared" ref="D241:D259" si="13">B241*C241</f>
        <v>2419.44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58</v>
      </c>
      <c r="B242" s="181">
        <f>'Données projet'!D220</f>
        <v>44.93</v>
      </c>
      <c r="C242" s="193">
        <f>300*'Données projet'!E220+13.8*('Données projet'!F220+'Données projet'!G220)+10*'Données projet'!H220</f>
        <v>68</v>
      </c>
      <c r="D242" s="179">
        <f t="shared" si="13"/>
        <v>3055.24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66</v>
      </c>
      <c r="B243" s="181">
        <f>'Données projet'!D221</f>
        <v>49.91</v>
      </c>
      <c r="C243" s="193">
        <f>300*'Données projet'!E221+13.8*('Données projet'!F221+'Données projet'!G221)+10*'Données projet'!H221</f>
        <v>97</v>
      </c>
      <c r="D243" s="179">
        <f t="shared" si="13"/>
        <v>4841.2699999999995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74</v>
      </c>
      <c r="B244" s="181">
        <f>'Données projet'!D222</f>
        <v>47.4</v>
      </c>
      <c r="C244" s="193">
        <f>300*'Données projet'!E222+13.8*('Données projet'!F222+'Données projet'!G222)+10*'Données projet'!H222</f>
        <v>126</v>
      </c>
      <c r="D244" s="179">
        <f t="shared" si="13"/>
        <v>5972.4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84</v>
      </c>
      <c r="B245" s="181">
        <f>'Données projet'!D223</f>
        <v>61.47</v>
      </c>
      <c r="C245" s="193">
        <f>300*'Données projet'!E223+13.8*('Données projet'!F223+'Données projet'!G223)+10*'Données projet'!H223</f>
        <v>126</v>
      </c>
      <c r="D245" s="179">
        <f t="shared" si="13"/>
        <v>7745.22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94</v>
      </c>
      <c r="B246" s="181">
        <f>'Données projet'!D224</f>
        <v>61.85</v>
      </c>
      <c r="C246" s="193">
        <f>300*'Données projet'!E224+13.8*('Données projet'!F224+'Données projet'!G224)+10*'Données projet'!H224</f>
        <v>155</v>
      </c>
      <c r="D246" s="179">
        <f t="shared" si="13"/>
        <v>9586.75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104</v>
      </c>
      <c r="B247" s="181">
        <f>'Données projet'!D225</f>
        <v>60.19</v>
      </c>
      <c r="C247" s="193">
        <f>300*'Données projet'!E225+13.8*('Données projet'!F225+'Données projet'!G225)+10*'Données projet'!H225</f>
        <v>155</v>
      </c>
      <c r="D247" s="179">
        <f t="shared" si="13"/>
        <v>9329.4499999999989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114</v>
      </c>
      <c r="B248" s="181">
        <f>'Données projet'!D226</f>
        <v>56.07</v>
      </c>
      <c r="C248" s="193">
        <f>300*'Données projet'!E226+13.8*('Données projet'!F226+'Données projet'!G226)+10*'Données projet'!H226</f>
        <v>184</v>
      </c>
      <c r="D248" s="179">
        <f t="shared" si="13"/>
        <v>10316.879999999999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124</v>
      </c>
      <c r="B249" s="181">
        <f>'Données projet'!D227</f>
        <v>52.53</v>
      </c>
      <c r="C249" s="193">
        <f>300*'Données projet'!E227+13.8*('Données projet'!F227+'Données projet'!G227)+10*'Données projet'!H227</f>
        <v>213</v>
      </c>
      <c r="D249" s="179">
        <f t="shared" si="13"/>
        <v>11188.89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134</v>
      </c>
      <c r="B250" s="181">
        <f>'Données projet'!D228</f>
        <v>54.95</v>
      </c>
      <c r="C250" s="193">
        <f>300*'Données projet'!E228+13.8*('Données projet'!F228+'Données projet'!G228)+10*'Données projet'!H228</f>
        <v>213</v>
      </c>
      <c r="D250" s="179">
        <f t="shared" si="13"/>
        <v>11704.35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144</v>
      </c>
      <c r="B251" s="181">
        <f>'Données projet'!D229</f>
        <v>56.01</v>
      </c>
      <c r="C251" s="193">
        <f>300*'Données projet'!E229+13.8*('Données projet'!F229+'Données projet'!G229)+10*'Données projet'!H229</f>
        <v>213</v>
      </c>
      <c r="D251" s="179">
        <f t="shared" si="13"/>
        <v>11930.13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154</v>
      </c>
      <c r="B252" s="181">
        <f>'Données projet'!D230</f>
        <v>55.13</v>
      </c>
      <c r="C252" s="193">
        <f>300*'Données projet'!E230+13.8*('Données projet'!F230+'Données projet'!G230)+10*'Données projet'!H230</f>
        <v>213</v>
      </c>
      <c r="D252" s="179">
        <f t="shared" si="13"/>
        <v>11742.69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164</v>
      </c>
      <c r="B253" s="181">
        <f>'Données projet'!D231</f>
        <v>59.58</v>
      </c>
      <c r="C253" s="193">
        <f>300*'Données projet'!E231+13.8*('Données projet'!F231+'Données projet'!G231)+10*'Données projet'!H231</f>
        <v>242</v>
      </c>
      <c r="D253" s="179">
        <f t="shared" si="13"/>
        <v>14418.359999999999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174</v>
      </c>
      <c r="B254" s="181">
        <f>'Données projet'!D232</f>
        <v>214.77</v>
      </c>
      <c r="C254" s="193">
        <f>300*'Données projet'!E232+13.8*('Données projet'!F232+'Données projet'!G232)+10*'Données projet'!H232</f>
        <v>242</v>
      </c>
      <c r="D254" s="179">
        <f t="shared" si="13"/>
        <v>51974.340000000004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177</v>
      </c>
      <c r="B255" s="181">
        <f>'Données projet'!D233</f>
        <v>115.19</v>
      </c>
      <c r="C255" s="193">
        <f>300*'Données projet'!E233+13.8*('Données projet'!F233+'Données projet'!G233)+10*'Données projet'!H233</f>
        <v>242</v>
      </c>
      <c r="D255" s="179">
        <f t="shared" si="13"/>
        <v>27875.98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180</v>
      </c>
      <c r="B256" s="181">
        <f>'Données projet'!D234</f>
        <v>77.72</v>
      </c>
      <c r="C256" s="193">
        <f>300*'Données projet'!E234+13.8*('Données projet'!F234+'Données projet'!G234)+10*'Données projet'!H234</f>
        <v>242</v>
      </c>
      <c r="D256" s="179">
        <f t="shared" si="13"/>
        <v>18808.239999999998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183</v>
      </c>
      <c r="B257" s="181">
        <f>'Données projet'!D235</f>
        <v>169.76</v>
      </c>
      <c r="C257" s="193">
        <f>300*'Données projet'!E235+13.8*('Données projet'!F235+'Données projet'!G235)+10*'Données projet'!H235</f>
        <v>242</v>
      </c>
      <c r="D257" s="179">
        <f t="shared" si="13"/>
        <v>41081.919999999998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300*'Données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300*'Données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/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2025-01-24T13:55:54Z</dcterms:modified>
</cp:coreProperties>
</file>