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Reboisement CA Vosges_Ville-sur-Illon (88)\Dossier d_instruction\"/>
    </mc:Choice>
  </mc:AlternateContent>
  <xr:revisionPtr revIDLastSave="0" documentId="13_ncr:1_{FAE15FCA-AC76-4742-B868-769309EC968C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AH163" i="2" l="1" a="1"/>
  <c r="AH163" i="2" s="1"/>
  <c r="AH62" i="2" a="1"/>
  <c r="AH62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AN100" i="2" l="1"/>
  <c r="AN99" i="2"/>
  <c r="AN190" i="2"/>
  <c r="AN4" i="2"/>
  <c r="AN138" i="2"/>
  <c r="AN119" i="2"/>
  <c r="AN62" i="2"/>
  <c r="AN76" i="2"/>
  <c r="AN46" i="2"/>
  <c r="AN110" i="2"/>
  <c r="AN45" i="2"/>
  <c r="AN128" i="2"/>
  <c r="AN74" i="2"/>
  <c r="AN17" i="2"/>
  <c r="AN37" i="2"/>
  <c r="AN185" i="2"/>
  <c r="AN83" i="2"/>
  <c r="AN77" i="2"/>
  <c r="AN183" i="2"/>
  <c r="AN121" i="2"/>
  <c r="AN101" i="2"/>
  <c r="AN48" i="2"/>
  <c r="AN91" i="2"/>
  <c r="AN40" i="2"/>
  <c r="AN152" i="2"/>
  <c r="AN131" i="2"/>
  <c r="AN114" i="2"/>
  <c r="AN81" i="2"/>
  <c r="AN184" i="2"/>
  <c r="AN193" i="2"/>
  <c r="AN107" i="2"/>
  <c r="AN155" i="2"/>
  <c r="AN39" i="2"/>
  <c r="AN144" i="2"/>
  <c r="AN82" i="2"/>
  <c r="AN72" i="2"/>
  <c r="AN167" i="2"/>
  <c r="AN7" i="2"/>
  <c r="AN112" i="2"/>
  <c r="AN89" i="2"/>
  <c r="AN87" i="2"/>
  <c r="AN154" i="2"/>
  <c r="AN9" i="2"/>
  <c r="AN109" i="2"/>
  <c r="AN19" i="2"/>
  <c r="AN189" i="2"/>
  <c r="AN180" i="2"/>
  <c r="AN198" i="2"/>
  <c r="AN30" i="2"/>
  <c r="AN16" i="2"/>
  <c r="AN49" i="2"/>
  <c r="AN106" i="2"/>
  <c r="AN179" i="2"/>
  <c r="AN61" i="2"/>
  <c r="AN135" i="2"/>
  <c r="AN173" i="2"/>
  <c r="AN129" i="2"/>
  <c r="AN54" i="2"/>
  <c r="AN197" i="2"/>
  <c r="AN57" i="2"/>
  <c r="AN25" i="2"/>
  <c r="AN5" i="2"/>
  <c r="AN148" i="2"/>
  <c r="AN170" i="2"/>
  <c r="AN59" i="2"/>
  <c r="AN8" i="2"/>
  <c r="AN140" i="2"/>
  <c r="AN58" i="2"/>
  <c r="AN124" i="2"/>
  <c r="AN44" i="2"/>
  <c r="AN122" i="2"/>
  <c r="AN133" i="2"/>
  <c r="AN43" i="2"/>
  <c r="AN38" i="2"/>
  <c r="AN111" i="2"/>
  <c r="AN18" i="2"/>
  <c r="AN136" i="2"/>
  <c r="AN23" i="2"/>
  <c r="AN174" i="2"/>
  <c r="AN78" i="2"/>
  <c r="AN201" i="2"/>
  <c r="AN157" i="2"/>
  <c r="AN150" i="2"/>
  <c r="AN145" i="2"/>
  <c r="AN94" i="2"/>
  <c r="AN67" i="2"/>
  <c r="AN166" i="2"/>
  <c r="AN160" i="2"/>
  <c r="AN93" i="2"/>
  <c r="AN153" i="2"/>
  <c r="AN120" i="2"/>
  <c r="AN188" i="2"/>
  <c r="AN172" i="2"/>
  <c r="AN159" i="2"/>
  <c r="AN161" i="2"/>
  <c r="AN22" i="2"/>
  <c r="AN24" i="2"/>
  <c r="AN71" i="2"/>
  <c r="AN192" i="2"/>
  <c r="AN33" i="2"/>
  <c r="AN108" i="2"/>
  <c r="AN116" i="2"/>
  <c r="AN165" i="2"/>
  <c r="AN149" i="2"/>
  <c r="AN176" i="2"/>
  <c r="AN96" i="2"/>
  <c r="AN42" i="2"/>
  <c r="AN139" i="2"/>
  <c r="AN84" i="2"/>
  <c r="AN36" i="2"/>
  <c r="AN115" i="2"/>
  <c r="AN134" i="2"/>
  <c r="AN64" i="2"/>
  <c r="AN126" i="2"/>
  <c r="AN187" i="2"/>
  <c r="AN55" i="2"/>
  <c r="AN3" i="2"/>
  <c r="C7" i="4" s="1"/>
  <c r="E7" i="4" s="1"/>
  <c r="F7" i="4" s="1"/>
  <c r="G7" i="4" s="1"/>
  <c r="L7" i="4" s="1"/>
  <c r="AN14" i="2"/>
  <c r="AN177" i="2"/>
  <c r="AN118" i="2"/>
  <c r="AN195" i="2"/>
  <c r="AN125" i="2"/>
  <c r="AN69" i="2"/>
  <c r="AN194" i="2"/>
  <c r="AN21" i="2"/>
  <c r="AN146" i="2"/>
  <c r="AN90" i="2"/>
  <c r="AN65" i="2"/>
  <c r="AN151" i="2"/>
  <c r="AN12" i="2"/>
  <c r="AN73" i="2"/>
  <c r="AN27" i="2"/>
  <c r="AN178" i="2"/>
  <c r="AN20" i="2"/>
  <c r="AN13" i="2"/>
  <c r="AN196" i="2"/>
  <c r="AN163" i="2"/>
  <c r="AN6" i="2"/>
  <c r="AN75" i="2"/>
  <c r="AN162" i="2"/>
  <c r="AN95" i="2"/>
  <c r="AN158" i="2"/>
  <c r="AN35" i="2"/>
  <c r="AN127" i="2"/>
  <c r="AN56" i="2"/>
  <c r="AN86" i="2"/>
  <c r="AN53" i="2"/>
  <c r="AN51" i="2"/>
  <c r="AN156" i="2"/>
  <c r="AN132" i="2"/>
  <c r="AN123" i="2"/>
  <c r="AN102" i="2"/>
  <c r="AN92" i="2"/>
  <c r="AN15" i="2"/>
  <c r="AN175" i="2"/>
  <c r="AN171" i="2"/>
  <c r="AN113" i="2"/>
  <c r="AN10" i="2"/>
  <c r="AN105" i="2"/>
  <c r="AN31" i="2"/>
  <c r="AN141" i="2"/>
  <c r="AN97" i="2"/>
  <c r="AN98" i="2"/>
  <c r="AN47" i="2"/>
  <c r="AN117" i="2"/>
  <c r="AN66" i="2"/>
  <c r="AN70" i="2"/>
  <c r="AN80" i="2"/>
  <c r="AN85" i="2"/>
  <c r="AN142" i="2"/>
  <c r="AN104" i="2"/>
  <c r="AN28" i="2"/>
  <c r="AN79" i="2"/>
  <c r="AN181" i="2"/>
  <c r="AN203" i="2"/>
  <c r="AN191" i="2"/>
  <c r="AN32" i="2"/>
  <c r="AN29" i="2"/>
  <c r="AN60" i="2"/>
  <c r="AN186" i="2"/>
  <c r="AN103" i="2"/>
  <c r="AN130" i="2"/>
  <c r="AN26" i="2"/>
  <c r="AN63" i="2"/>
  <c r="AN199" i="2"/>
  <c r="AN11" i="2"/>
  <c r="AN137" i="2"/>
  <c r="AN68" i="2"/>
  <c r="AN164" i="2"/>
  <c r="AN52" i="2"/>
  <c r="AN50" i="2"/>
  <c r="AN202" i="2"/>
  <c r="AN200" i="2"/>
  <c r="AN147" i="2"/>
  <c r="AN182" i="2"/>
  <c r="AN41" i="2"/>
  <c r="AN88" i="2"/>
  <c r="AN169" i="2"/>
  <c r="AN143" i="2"/>
  <c r="AN168" i="2"/>
  <c r="AN34" i="2"/>
  <c r="FE166" i="2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58" i="2" l="1"/>
  <c r="BI201" i="2"/>
  <c r="BI150" i="2"/>
  <c r="BI91" i="2"/>
  <c r="BI159" i="2"/>
  <c r="BI139" i="2"/>
  <c r="BI28" i="2"/>
  <c r="BI148" i="2"/>
  <c r="BI155" i="2"/>
  <c r="BI197" i="2"/>
  <c r="BI124" i="2"/>
  <c r="BI193" i="2"/>
  <c r="BI90" i="2"/>
  <c r="BI47" i="2"/>
  <c r="BI57" i="2"/>
  <c r="BI66" i="2"/>
  <c r="BI75" i="2"/>
  <c r="BI200" i="2"/>
  <c r="BI140" i="2"/>
  <c r="BI117" i="2"/>
  <c r="BI104" i="2"/>
  <c r="BI136" i="2"/>
  <c r="BI137" i="2"/>
  <c r="BI53" i="2"/>
  <c r="BI72" i="2"/>
  <c r="BI54" i="2"/>
  <c r="BI196" i="2"/>
  <c r="BI115" i="2"/>
  <c r="BI176" i="2"/>
  <c r="BI153" i="2"/>
  <c r="BI169" i="2"/>
  <c r="BI42" i="2"/>
  <c r="BI145" i="2"/>
  <c r="BI76" i="2"/>
  <c r="BI109" i="2"/>
  <c r="BI24" i="2"/>
  <c r="BI164" i="2"/>
  <c r="BI89" i="2"/>
  <c r="BI126" i="2"/>
  <c r="BI160" i="2"/>
  <c r="BI65" i="2"/>
  <c r="BI32" i="2"/>
  <c r="BI118" i="2"/>
  <c r="BI25" i="2"/>
  <c r="BI87" i="2"/>
  <c r="BI130" i="2"/>
  <c r="BI62" i="2"/>
  <c r="BI177" i="2"/>
  <c r="BI174" i="2"/>
  <c r="BI190" i="2"/>
  <c r="BI78" i="2"/>
  <c r="BI110" i="2"/>
  <c r="BI27" i="2"/>
  <c r="BI99" i="2"/>
  <c r="BI185" i="2"/>
  <c r="BI8" i="2"/>
  <c r="BI52" i="2"/>
  <c r="BI92" i="2"/>
  <c r="BI191" i="2"/>
  <c r="BI63" i="2"/>
  <c r="BI56" i="2"/>
  <c r="BI37" i="2"/>
  <c r="BI98" i="2"/>
  <c r="BI81" i="2"/>
  <c r="BI26" i="2"/>
  <c r="BI29" i="2"/>
  <c r="BI88" i="2"/>
  <c r="BI165" i="2"/>
  <c r="BI49" i="2"/>
  <c r="BI61" i="2"/>
  <c r="BI187" i="2"/>
  <c r="BI102" i="2"/>
  <c r="BI97" i="2"/>
  <c r="BI180" i="2"/>
  <c r="BI186" i="2"/>
  <c r="BI13" i="2"/>
  <c r="BI170" i="2"/>
  <c r="BI114" i="2"/>
  <c r="BI39" i="2"/>
  <c r="BI31" i="2"/>
  <c r="BI95" i="2"/>
  <c r="BI156" i="2"/>
  <c r="BI94" i="2"/>
  <c r="BI144" i="2"/>
  <c r="BI106" i="2"/>
  <c r="BI35" i="2"/>
  <c r="BI111" i="2"/>
  <c r="BI125" i="2"/>
  <c r="BI103" i="2"/>
  <c r="BI152" i="2"/>
  <c r="BI202" i="2"/>
  <c r="BI41" i="2"/>
  <c r="BI79" i="2"/>
  <c r="BI68" i="2"/>
  <c r="BI120" i="2"/>
  <c r="BI194" i="2"/>
  <c r="BI48" i="2"/>
  <c r="BI173" i="2"/>
  <c r="BI64" i="2"/>
  <c r="BI80" i="2"/>
  <c r="BI143" i="2"/>
  <c r="BI195" i="2"/>
  <c r="BI71" i="2"/>
  <c r="BI43" i="2"/>
  <c r="BI100" i="2"/>
  <c r="BI157" i="2"/>
  <c r="BI184" i="2"/>
  <c r="BI116" i="2"/>
  <c r="BI10" i="2"/>
  <c r="BI15" i="2"/>
  <c r="BI198" i="2"/>
  <c r="BI3" i="2"/>
  <c r="C8" i="4" s="1"/>
  <c r="E8" i="4" s="1"/>
  <c r="F8" i="4" s="1"/>
  <c r="G8" i="4" s="1"/>
  <c r="L8" i="4" s="1"/>
  <c r="BI131" i="2"/>
  <c r="BI12" i="2"/>
  <c r="BI123" i="2"/>
  <c r="BI60" i="2"/>
  <c r="BI151" i="2"/>
  <c r="BI38" i="2"/>
  <c r="BI4" i="2"/>
  <c r="BI183" i="2"/>
  <c r="BI40" i="2"/>
  <c r="BI129" i="2"/>
  <c r="BI96" i="2"/>
  <c r="BI146" i="2"/>
  <c r="BI113" i="2"/>
  <c r="BI168" i="2"/>
  <c r="BI7" i="2"/>
  <c r="BI122" i="2"/>
  <c r="BI16" i="2"/>
  <c r="BI171" i="2"/>
  <c r="BI6" i="2"/>
  <c r="BI199" i="2"/>
  <c r="BI138" i="2"/>
  <c r="BI162" i="2"/>
  <c r="BI135" i="2"/>
  <c r="BI167" i="2"/>
  <c r="BI84" i="2"/>
  <c r="BI82" i="2"/>
  <c r="BI67" i="2"/>
  <c r="BI189" i="2"/>
  <c r="BI23" i="2"/>
  <c r="BI85" i="2"/>
  <c r="BI133" i="2"/>
  <c r="BI45" i="2"/>
  <c r="BI20" i="2"/>
  <c r="BI83" i="2"/>
  <c r="BI17" i="2"/>
  <c r="BI166" i="2"/>
  <c r="BI19" i="2"/>
  <c r="BI36" i="2"/>
  <c r="BI107" i="2"/>
  <c r="BI77" i="2"/>
  <c r="BI46" i="2"/>
  <c r="BI134" i="2"/>
  <c r="BI203" i="2"/>
  <c r="BI14" i="2"/>
  <c r="BI70" i="2"/>
  <c r="BI59" i="2"/>
  <c r="BI147" i="2"/>
  <c r="BI132" i="2"/>
  <c r="BI119" i="2"/>
  <c r="BI154" i="2"/>
  <c r="BI33" i="2"/>
  <c r="BI192" i="2"/>
  <c r="BI182" i="2"/>
  <c r="BI18" i="2"/>
  <c r="BI175" i="2"/>
  <c r="BI161" i="2"/>
  <c r="BI142" i="2"/>
  <c r="BI55" i="2"/>
  <c r="BI105" i="2"/>
  <c r="BI179" i="2"/>
  <c r="BI74" i="2"/>
  <c r="BI127" i="2"/>
  <c r="BI101" i="2"/>
  <c r="BI172" i="2"/>
  <c r="BI30" i="2"/>
  <c r="BI121" i="2"/>
  <c r="BI73" i="2"/>
  <c r="BI163" i="2"/>
  <c r="BI9" i="2"/>
  <c r="BI158" i="2"/>
  <c r="BI50" i="2"/>
  <c r="BI108" i="2"/>
  <c r="BI93" i="2"/>
  <c r="BI141" i="2"/>
  <c r="BI44" i="2"/>
  <c r="BI11" i="2"/>
  <c r="BI5" i="2"/>
  <c r="BI22" i="2"/>
  <c r="BI34" i="2"/>
  <c r="BI128" i="2"/>
  <c r="BI178" i="2"/>
  <c r="BI149" i="2"/>
  <c r="BI181" i="2"/>
  <c r="BI112" i="2"/>
  <c r="BI188" i="2"/>
  <c r="BI86" i="2"/>
  <c r="BI21" i="2"/>
  <c r="BI69" i="2"/>
  <c r="BI51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<sst xmlns="http://schemas.openxmlformats.org/spreadsheetml/2006/main" count="1175" uniqueCount="326">
  <si>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</si>
  <si>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</si>
  <si>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</si>
  <si>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</si>
  <si>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</si>
  <si>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</si>
  <si>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</si>
  <si>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</si>
  <si>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</si>
  <si>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</si>
  <si>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</si>
  <si>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</si>
  <si>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</si>
  <si>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</si>
  <si>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</si>
  <si>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</si>
  <si>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</si>
  <si>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</si>
  <si>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</si>
  <si>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</si>
  <si>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</si>
  <si>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</si>
  <si>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</si>
  <si>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</si>
  <si>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</si>
  <si>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</si>
  <si>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</si>
  <si>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</si>
  <si>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</si>
  <si>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</si>
  <si>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</si>
  <si>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</si>
  <si>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</si>
  <si>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</si>
  <si>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</si>
  <si>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</si>
  <si>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</si>
  <si>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</si>
  <si>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</si>
  <si>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</si>
  <si>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</si>
  <si>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</si>
  <si>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</si>
  <si>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</si>
  <si>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</si>
  <si>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</si>
  <si>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</si>
  <si>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</si>
  <si>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</si>
  <si>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</si>
  <si>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</si>
  <si>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</si>
  <si>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</si>
  <si>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</si>
  <si>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</si>
  <si>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</si>
  <si>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</si>
  <si>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</si>
  <si>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</si>
  <si>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</si>
  <si>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</si>
  <si>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</si>
  <si>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</si>
  <si>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</si>
  <si>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</si>
  <si>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</si>
  <si>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</si>
  <si>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</si>
  <si>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</si>
  <si>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</si>
  <si>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</si>
  <si>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</si>
  <si>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</si>
  <si>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</si>
  <si>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</si>
  <si>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</si>
  <si>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</si>
  <si>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</si>
  <si>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</si>
  <si>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</si>
  <si>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</si>
  <si>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</si>
  <si>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</si>
  <si>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</si>
  <si>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</si>
  <si>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</si>
  <si>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</si>
  <si>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</si>
  <si>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</si>
  <si>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</si>
  <si>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</si>
  <si>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</si>
  <si>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</si>
  <si>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</si>
  <si>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</si>
  <si>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</si>
  <si>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</si>
  <si>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</si>
  <si>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</si>
  <si>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</si>
  <si>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</si>
  <si>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</si>
  <si>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</si>
  <si>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</si>
  <si>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</si>
  <si>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</si>
  <si>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</si>
  <si>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</si>
  <si>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</si>
  <si>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</si>
  <si>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</si>
  <si>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</si>
  <si>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</si>
  <si>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</si>
  <si>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</si>
  <si>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</si>
  <si>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</si>
  <si>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</si>
  <si>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</si>
  <si>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</si>
  <si>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</si>
  <si>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</si>
  <si>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</si>
  <si>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</si>
  <si>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</si>
  <si>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</si>
  <si>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</si>
  <si>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</si>
  <si>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</si>
  <si>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</si>
  <si>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</si>
  <si>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</si>
  <si>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</si>
  <si>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</si>
  <si>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</si>
  <si>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</si>
  <si>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</si>
  <si>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</si>
  <si>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</si>
  <si>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</si>
  <si>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</si>
  <si>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</si>
  <si>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</si>
  <si>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</si>
  <si>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</si>
  <si>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</si>
  <si>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</si>
  <si>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</si>
  <si>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</si>
  <si>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</si>
  <si>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</si>
  <si>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</si>
  <si>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</si>
  <si>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</si>
  <si>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</si>
  <si>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</si>
  <si>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</si>
  <si>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</si>
  <si>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</si>
  <si>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</si>
  <si>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</si>
  <si>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</si>
  <si>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</si>
  <si>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</si>
  <si>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</si>
  <si>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</si>
  <si>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</si>
  <si>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</si>
  <si>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</si>
  <si>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</si>
  <si>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</si>
  <si>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</si>
  <si>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</si>
  <si>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</si>
  <si>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</si>
  <si>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</si>
  <si>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</si>
  <si>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</si>
  <si>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</si>
  <si>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</si>
  <si>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</si>
  <si>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</si>
  <si>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</si>
  <si>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</si>
  <si>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</si>
  <si>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</si>
  <si>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</si>
  <si>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</si>
  <si>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</si>
  <si>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</si>
  <si>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</si>
  <si>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</si>
  <si>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</si>
  <si>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</si>
  <si>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</si>
  <si>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</si>
  <si>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</si>
  <si>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</si>
  <si>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</si>
  <si>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</si>
  <si>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</si>
  <si>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</si>
  <si>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</si>
  <si>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</si>
  <si>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</si>
  <si>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</si>
  <si>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</si>
  <si>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</si>
  <si>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</si>
  <si>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</si>
  <si>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</si>
  <si>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</si>
  <si>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</si>
  <si>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</si>
  <si>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</si>
  <si>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</si>
  <si>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</si>
  <si>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</si>
  <si>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</si>
  <si>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</si>
  <si>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</si>
  <si>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</si>
  <si>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</si>
  <si>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</si>
  <si>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</si>
  <si>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</si>
  <si>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</si>
  <si>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</si>
  <si>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</si>
  <si>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</si>
  <si>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</si>
  <si>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</si>
  <si>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</si>
  <si>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</si>
  <si>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</si>
  <si>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</si>
  <si>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</si>
  <si>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</si>
  <si>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</si>
  <si>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</si>
  <si>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</si>
  <si>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</si>
  <si>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</si>
  <si>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</si>
  <si>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</si>
  <si>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</si>
  <si>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</si>
  <si>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</si>
  <si>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</si>
  <si>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</si>
  <si>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</si>
  <si>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</si>
  <si>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</si>
  <si>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</si>
  <si>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</si>
  <si>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</si>
  <si>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</si>
  <si>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</si>
  <si>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</si>
  <si>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</si>
  <si>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</si>
  <si>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</si>
  <si>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</si>
  <si>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</si>
  <si>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</si>
  <si>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</si>
  <si>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</si>
  <si>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</si>
  <si>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</si>
  <si>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</si>
  <si>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</si>
  <si>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</si>
  <si>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</si>
  <si>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</si>
  <si>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</si>
  <si>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</si>
  <si>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</si>
  <si>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</si>
  <si>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</si>
  <si>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</si>
  <si>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</si>
  <si>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</si>
  <si>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</si>
  <si>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</si>
  <si>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</si>
  <si>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</si>
  <si>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</si>
  <si>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</si>
  <si>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</si>
  <si>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</si>
  <si>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</si>
  <si>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</si>
  <si>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</si>
  <si>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</si>
  <si>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</si>
  <si>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</si>
  <si>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</si>
  <si>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</si>
  <si>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</si>
  <si>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</si>
  <si>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</si>
  <si>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</si>
  <si>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</si>
  <si>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</si>
  <si>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</si>
  <si>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</si>
  <si>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</si>
  <si>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</si>
  <si>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</si>
  <si>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</si>
  <si>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</si>
  <si>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</si>
  <si>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</si>
  <si>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</si>
  <si>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</si>
  <si>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</si>
  <si>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</si>
  <si>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</si>
  <si>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</si>
  <si>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</si>
  <si>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</si>
  <si>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</si>
  <si>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</si>
  <si>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</si>
  <si>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</si>
  <si>
    <t>classe 2/5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</si>
</sst>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2.1185138067917109</c:v>
                </c:pt>
                <c:pt idx="2">
                  <c:v>2.894402199061441</c:v>
                </c:pt>
                <c:pt idx="3">
                  <c:v>3.9556609928452722</c:v>
                </c:pt>
                <c:pt idx="4">
                  <c:v>5.4076671097938496</c:v>
                </c:pt>
                <c:pt idx="5">
                  <c:v>7.3948535408528118</c:v>
                </c:pt>
                <c:pt idx="6">
                  <c:v>10.115234305738676</c:v>
                </c:pt>
                <c:pt idx="7">
                  <c:v>13.840348195034421</c:v>
                </c:pt>
                <c:pt idx="8">
                  <c:v>18.94264864317968</c:v>
                </c:pt>
                <c:pt idx="9">
                  <c:v>25.93312754435949</c:v>
                </c:pt>
                <c:pt idx="10">
                  <c:v>35.513007205017594</c:v>
                </c:pt>
                <c:pt idx="11">
                  <c:v>48.644774650638844</c:v>
                </c:pt>
                <c:pt idx="12">
                  <c:v>66.649814557549007</c:v>
                </c:pt>
                <c:pt idx="13">
                  <c:v>91.342625587150238</c:v>
                </c:pt>
                <c:pt idx="14">
                  <c:v>125.21536151834833</c:v>
                </c:pt>
                <c:pt idx="15">
                  <c:v>171.69161142115624</c:v>
                </c:pt>
                <c:pt idx="16">
                  <c:v>175.06369642864436</c:v>
                </c:pt>
                <c:pt idx="17">
                  <c:v>205.60586751976879</c:v>
                </c:pt>
                <c:pt idx="18">
                  <c:v>236.04300605613707</c:v>
                </c:pt>
                <c:pt idx="19">
                  <c:v>266.39056723885022</c:v>
                </c:pt>
                <c:pt idx="20">
                  <c:v>296.66018896478846</c:v>
                </c:pt>
                <c:pt idx="21">
                  <c:v>238.8755995449776</c:v>
                </c:pt>
                <c:pt idx="22">
                  <c:v>271.01275486164383</c:v>
                </c:pt>
                <c:pt idx="23">
                  <c:v>303.06413469570208</c:v>
                </c:pt>
                <c:pt idx="24">
                  <c:v>335.04008037896614</c:v>
                </c:pt>
                <c:pt idx="25">
                  <c:v>366.94879686196288</c:v>
                </c:pt>
                <c:pt idx="26">
                  <c:v>311.51274483481569</c:v>
                </c:pt>
                <c:pt idx="27">
                  <c:v>345.513196505407</c:v>
                </c:pt>
                <c:pt idx="28">
                  <c:v>379.44016191597643</c:v>
                </c:pt>
                <c:pt idx="29">
                  <c:v>413.30112748447715</c:v>
                </c:pt>
                <c:pt idx="30">
                  <c:v>447.10225323882645</c:v>
                </c:pt>
                <c:pt idx="31">
                  <c:v>392.17723375565879</c:v>
                </c:pt>
                <c:pt idx="32">
                  <c:v>426.2692346413703</c:v>
                </c:pt>
                <c:pt idx="33">
                  <c:v>460.30260387098588</c:v>
                </c:pt>
                <c:pt idx="34">
                  <c:v>494.28227935737863</c:v>
                </c:pt>
                <c:pt idx="35">
                  <c:v>528.21246537398599</c:v>
                </c:pt>
                <c:pt idx="36">
                  <c:v>472.22673256387026</c:v>
                </c:pt>
                <c:pt idx="37">
                  <c:v>504.92225767518511</c:v>
                </c:pt>
                <c:pt idx="38">
                  <c:v>537.57302517405549</c:v>
                </c:pt>
                <c:pt idx="39">
                  <c:v>570.18213138839008</c:v>
                </c:pt>
                <c:pt idx="40">
                  <c:v>602.75229006275174</c:v>
                </c:pt>
                <c:pt idx="41">
                  <c:v>544.90728253687382</c:v>
                </c:pt>
                <c:pt idx="42">
                  <c:v>575.48683746818995</c:v>
                </c:pt>
                <c:pt idx="43">
                  <c:v>606.03248943815163</c:v>
                </c:pt>
                <c:pt idx="44">
                  <c:v>636.54618486892696</c:v>
                </c:pt>
                <c:pt idx="45">
                  <c:v>667.02966862520361</c:v>
                </c:pt>
                <c:pt idx="46">
                  <c:v>613.85301973416745</c:v>
                </c:pt>
                <c:pt idx="47">
                  <c:v>641.33480510237007</c:v>
                </c:pt>
                <c:pt idx="48">
                  <c:v>668.792285285802</c:v>
                </c:pt>
                <c:pt idx="49">
                  <c:v>696.22659705561784</c:v>
                </c:pt>
                <c:pt idx="50">
                  <c:v>723.63878041944702</c:v>
                </c:pt>
                <c:pt idx="51">
                  <c:v>678.61083748340923</c:v>
                </c:pt>
                <c:pt idx="52">
                  <c:v>704.02493126473883</c:v>
                </c:pt>
                <c:pt idx="53">
                  <c:v>729.42026669230836</c:v>
                </c:pt>
                <c:pt idx="54">
                  <c:v>754.7975878309262</c:v>
                </c:pt>
                <c:pt idx="55">
                  <c:v>780.15758470453693</c:v>
                </c:pt>
                <c:pt idx="56">
                  <c:v>743.24178865133274</c:v>
                </c:pt>
                <c:pt idx="57">
                  <c:v>766.60088957174946</c:v>
                </c:pt>
                <c:pt idx="58">
                  <c:v>789.94556044741057</c:v>
                </c:pt>
                <c:pt idx="59">
                  <c:v>813.27628716107131</c:v>
                </c:pt>
                <c:pt idx="60">
                  <c:v>836.59352548438801</c:v>
                </c:pt>
                <c:pt idx="61">
                  <c:v>804.99920908631259</c:v>
                </c:pt>
                <c:pt idx="62">
                  <c:v>826.064802065957</c:v>
                </c:pt>
                <c:pt idx="63">
                  <c:v>847.11958558738479</c:v>
                </c:pt>
                <c:pt idx="64">
                  <c:v>868.16386579158745</c:v>
                </c:pt>
                <c:pt idx="65">
                  <c:v>889.19793278788904</c:v>
                </c:pt>
                <c:pt idx="66">
                  <c:v>861.65126462088608</c:v>
                </c:pt>
                <c:pt idx="67">
                  <c:v>880.43496141445894</c:v>
                </c:pt>
                <c:pt idx="68">
                  <c:v>899.21064588597585</c:v>
                </c:pt>
                <c:pt idx="69">
                  <c:v>917.97850868750186</c:v>
                </c:pt>
                <c:pt idx="70">
                  <c:v>936.73873204991912</c:v>
                </c:pt>
                <c:pt idx="71">
                  <c:v>911.22296748512326</c:v>
                </c:pt>
                <c:pt idx="72">
                  <c:v>928.23503275558551</c:v>
                </c:pt>
                <c:pt idx="73">
                  <c:v>945.2408972852412</c:v>
                </c:pt>
                <c:pt idx="74">
                  <c:v>962.24068821132141</c:v>
                </c:pt>
                <c:pt idx="75">
                  <c:v>979.23452781819208</c:v>
                </c:pt>
                <c:pt idx="76">
                  <c:v>953.24154789386921</c:v>
                </c:pt>
                <c:pt idx="77">
                  <c:v>968.48910881658685</c:v>
                </c:pt>
                <c:pt idx="78">
                  <c:v>983.73191592447984</c:v>
                </c:pt>
                <c:pt idx="79">
                  <c:v>998.97005316922184</c:v>
                </c:pt>
                <c:pt idx="80">
                  <c:v>1014.2036017355778</c:v>
                </c:pt>
                <c:pt idx="81">
                  <c:v>974.23695045015677</c:v>
                </c:pt>
                <c:pt idx="82">
                  <c:v>974.23695045015677</c:v>
                </c:pt>
                <c:pt idx="83">
                  <c:v>974.23695045015677</c:v>
                </c:pt>
                <c:pt idx="84">
                  <c:v>974.23695045015677</c:v>
                </c:pt>
                <c:pt idx="85">
                  <c:v>974.23695045015677</c:v>
                </c:pt>
                <c:pt idx="86">
                  <c:v>974.23695045015677</c:v>
                </c:pt>
                <c:pt idx="87">
                  <c:v>974.23695045015677</c:v>
                </c:pt>
                <c:pt idx="88">
                  <c:v>974.23695045015677</c:v>
                </c:pt>
                <c:pt idx="89">
                  <c:v>974.23695045015677</c:v>
                </c:pt>
                <c:pt idx="90">
                  <c:v>974.23695045015677</c:v>
                </c:pt>
                <c:pt idx="91">
                  <c:v>974.23695045015677</c:v>
                </c:pt>
                <c:pt idx="92">
                  <c:v>974.23695045015677</c:v>
                </c:pt>
                <c:pt idx="93">
                  <c:v>974.23695045015677</c:v>
                </c:pt>
                <c:pt idx="94">
                  <c:v>974.23695045015677</c:v>
                </c:pt>
                <c:pt idx="95">
                  <c:v>974.23695045015677</c:v>
                </c:pt>
                <c:pt idx="96">
                  <c:v>974.23695045015677</c:v>
                </c:pt>
                <c:pt idx="97">
                  <c:v>974.23695045015677</c:v>
                </c:pt>
                <c:pt idx="98">
                  <c:v>974.23695045015677</c:v>
                </c:pt>
                <c:pt idx="99">
                  <c:v>974.23695045015677</c:v>
                </c:pt>
                <c:pt idx="100">
                  <c:v>974.23695045015677</c:v>
                </c:pt>
                <c:pt idx="101">
                  <c:v>974.23695045015677</c:v>
                </c:pt>
                <c:pt idx="102">
                  <c:v>974.23695045015677</c:v>
                </c:pt>
                <c:pt idx="103">
                  <c:v>974.23695045015677</c:v>
                </c:pt>
                <c:pt idx="104">
                  <c:v>974.23695045015677</c:v>
                </c:pt>
                <c:pt idx="105">
                  <c:v>974.23695045015677</c:v>
                </c:pt>
                <c:pt idx="106">
                  <c:v>974.23695045015677</c:v>
                </c:pt>
                <c:pt idx="107">
                  <c:v>974.23695045015677</c:v>
                </c:pt>
                <c:pt idx="108">
                  <c:v>974.23695045015677</c:v>
                </c:pt>
                <c:pt idx="109">
                  <c:v>974.23695045015677</c:v>
                </c:pt>
                <c:pt idx="110">
                  <c:v>974.23695045015677</c:v>
                </c:pt>
                <c:pt idx="111">
                  <c:v>974.23695045015677</c:v>
                </c:pt>
                <c:pt idx="112">
                  <c:v>974.23695045015677</c:v>
                </c:pt>
                <c:pt idx="113">
                  <c:v>974.23695045015677</c:v>
                </c:pt>
                <c:pt idx="114">
                  <c:v>974.23695045015677</c:v>
                </c:pt>
                <c:pt idx="115">
                  <c:v>974.23695045015677</c:v>
                </c:pt>
                <c:pt idx="116">
                  <c:v>974.23695045015677</c:v>
                </c:pt>
                <c:pt idx="117">
                  <c:v>974.23695045015677</c:v>
                </c:pt>
                <c:pt idx="118">
                  <c:v>974.23695045015677</c:v>
                </c:pt>
                <c:pt idx="119">
                  <c:v>974.23695045015677</c:v>
                </c:pt>
                <c:pt idx="120">
                  <c:v>974.23695045015677</c:v>
                </c:pt>
                <c:pt idx="121">
                  <c:v>974.23695045015677</c:v>
                </c:pt>
                <c:pt idx="122">
                  <c:v>974.23695045015677</c:v>
                </c:pt>
                <c:pt idx="123">
                  <c:v>974.23695045015677</c:v>
                </c:pt>
                <c:pt idx="124">
                  <c:v>974.23695045015677</c:v>
                </c:pt>
                <c:pt idx="125">
                  <c:v>974.23695045015677</c:v>
                </c:pt>
                <c:pt idx="126">
                  <c:v>974.23695045015677</c:v>
                </c:pt>
                <c:pt idx="127">
                  <c:v>974.23695045015677</c:v>
                </c:pt>
                <c:pt idx="128">
                  <c:v>974.23695045015677</c:v>
                </c:pt>
                <c:pt idx="129">
                  <c:v>974.23695045015677</c:v>
                </c:pt>
                <c:pt idx="130">
                  <c:v>974.23695045015677</c:v>
                </c:pt>
                <c:pt idx="131">
                  <c:v>974.23695045015677</c:v>
                </c:pt>
                <c:pt idx="132">
                  <c:v>974.23695045015677</c:v>
                </c:pt>
                <c:pt idx="133">
                  <c:v>974.23695045015677</c:v>
                </c:pt>
                <c:pt idx="134">
                  <c:v>974.23695045015677</c:v>
                </c:pt>
                <c:pt idx="135">
                  <c:v>974.23695045015677</c:v>
                </c:pt>
                <c:pt idx="136">
                  <c:v>974.23695045015677</c:v>
                </c:pt>
                <c:pt idx="137">
                  <c:v>974.23695045015677</c:v>
                </c:pt>
                <c:pt idx="138">
                  <c:v>974.23695045015677</c:v>
                </c:pt>
                <c:pt idx="139">
                  <c:v>974.23695045015677</c:v>
                </c:pt>
                <c:pt idx="140">
                  <c:v>974.23695045015677</c:v>
                </c:pt>
                <c:pt idx="141">
                  <c:v>974.23695045015677</c:v>
                </c:pt>
                <c:pt idx="142">
                  <c:v>974.23695045015677</c:v>
                </c:pt>
                <c:pt idx="143">
                  <c:v>974.23695045015677</c:v>
                </c:pt>
                <c:pt idx="144">
                  <c:v>974.23695045015677</c:v>
                </c:pt>
                <c:pt idx="145">
                  <c:v>974.23695045015677</c:v>
                </c:pt>
                <c:pt idx="146">
                  <c:v>974.23695045015677</c:v>
                </c:pt>
                <c:pt idx="147">
                  <c:v>974.23695045015677</c:v>
                </c:pt>
                <c:pt idx="148">
                  <c:v>974.23695045015677</c:v>
                </c:pt>
                <c:pt idx="149">
                  <c:v>974.23695045015677</c:v>
                </c:pt>
                <c:pt idx="150">
                  <c:v>974.23695045015677</c:v>
                </c:pt>
                <c:pt idx="151">
                  <c:v>974.23695045015677</c:v>
                </c:pt>
                <c:pt idx="152">
                  <c:v>974.23695045015677</c:v>
                </c:pt>
                <c:pt idx="153">
                  <c:v>974.23695045015677</c:v>
                </c:pt>
                <c:pt idx="154">
                  <c:v>974.23695045015677</c:v>
                </c:pt>
                <c:pt idx="155">
                  <c:v>974.23695045015677</c:v>
                </c:pt>
                <c:pt idx="156">
                  <c:v>974.23695045015677</c:v>
                </c:pt>
                <c:pt idx="157">
                  <c:v>974.23695045015677</c:v>
                </c:pt>
                <c:pt idx="158">
                  <c:v>974.23695045015677</c:v>
                </c:pt>
                <c:pt idx="159">
                  <c:v>974.23695045015677</c:v>
                </c:pt>
                <c:pt idx="160">
                  <c:v>974.23695045015677</c:v>
                </c:pt>
                <c:pt idx="161">
                  <c:v>974.23695045015677</c:v>
                </c:pt>
                <c:pt idx="162">
                  <c:v>974.23695045015677</c:v>
                </c:pt>
                <c:pt idx="163">
                  <c:v>974.23695045015677</c:v>
                </c:pt>
                <c:pt idx="164">
                  <c:v>974.23695045015677</c:v>
                </c:pt>
                <c:pt idx="165">
                  <c:v>974.23695045015677</c:v>
                </c:pt>
                <c:pt idx="166">
                  <c:v>974.23695045015677</c:v>
                </c:pt>
                <c:pt idx="167">
                  <c:v>974.23695045015677</c:v>
                </c:pt>
                <c:pt idx="168">
                  <c:v>974.23695045015677</c:v>
                </c:pt>
                <c:pt idx="169">
                  <c:v>974.23695045015677</c:v>
                </c:pt>
                <c:pt idx="170">
                  <c:v>974.23695045015677</c:v>
                </c:pt>
                <c:pt idx="171">
                  <c:v>974.23695045015677</c:v>
                </c:pt>
                <c:pt idx="172">
                  <c:v>974.23695045015677</c:v>
                </c:pt>
                <c:pt idx="173">
                  <c:v>974.23695045015677</c:v>
                </c:pt>
                <c:pt idx="174">
                  <c:v>974.23695045015677</c:v>
                </c:pt>
                <c:pt idx="175">
                  <c:v>974.23695045015677</c:v>
                </c:pt>
                <c:pt idx="176">
                  <c:v>974.23695045015677</c:v>
                </c:pt>
                <c:pt idx="177">
                  <c:v>974.23695045015677</c:v>
                </c:pt>
                <c:pt idx="178">
                  <c:v>974.23695045015677</c:v>
                </c:pt>
                <c:pt idx="179">
                  <c:v>974.23695045015677</c:v>
                </c:pt>
                <c:pt idx="180">
                  <c:v>974.23695045015677</c:v>
                </c:pt>
                <c:pt idx="181">
                  <c:v>974.23695045015677</c:v>
                </c:pt>
                <c:pt idx="182">
                  <c:v>974.23695045015677</c:v>
                </c:pt>
                <c:pt idx="183">
                  <c:v>974.23695045015677</c:v>
                </c:pt>
                <c:pt idx="184">
                  <c:v>974.23695045015677</c:v>
                </c:pt>
                <c:pt idx="185">
                  <c:v>974.23695045015677</c:v>
                </c:pt>
                <c:pt idx="186">
                  <c:v>974.23695045015677</c:v>
                </c:pt>
                <c:pt idx="187">
                  <c:v>974.23695045015677</c:v>
                </c:pt>
                <c:pt idx="188">
                  <c:v>974.23695045015677</c:v>
                </c:pt>
                <c:pt idx="189">
                  <c:v>974.23695045015677</c:v>
                </c:pt>
                <c:pt idx="190">
                  <c:v>974.23695045015677</c:v>
                </c:pt>
                <c:pt idx="191">
                  <c:v>974.23695045015677</c:v>
                </c:pt>
                <c:pt idx="192">
                  <c:v>974.23695045015677</c:v>
                </c:pt>
                <c:pt idx="193">
                  <c:v>974.23695045015677</c:v>
                </c:pt>
                <c:pt idx="194">
                  <c:v>974.23695045015677</c:v>
                </c:pt>
                <c:pt idx="195">
                  <c:v>974.23695045015677</c:v>
                </c:pt>
                <c:pt idx="196">
                  <c:v>974.23695045015677</c:v>
                </c:pt>
                <c:pt idx="197">
                  <c:v>974.23695045015677</c:v>
                </c:pt>
                <c:pt idx="198">
                  <c:v>974.23695045015677</c:v>
                </c:pt>
                <c:pt idx="199">
                  <c:v>974.23695045015677</c:v>
                </c:pt>
                <c:pt idx="200">
                  <c:v>974.23695045015677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2.6958578669796118</c:v>
                </c:pt>
                <c:pt idx="2">
                  <c:v>3.1456024422915614</c:v>
                </c:pt>
                <c:pt idx="3">
                  <c:v>3.6706496531955941</c:v>
                </c:pt>
                <c:pt idx="4">
                  <c:v>4.2836508599891818</c:v>
                </c:pt>
                <c:pt idx="5">
                  <c:v>4.9993897338293678</c:v>
                </c:pt>
                <c:pt idx="6">
                  <c:v>5.8351427121415931</c:v>
                </c:pt>
                <c:pt idx="7">
                  <c:v>6.8111005541006202</c:v>
                </c:pt>
                <c:pt idx="8">
                  <c:v>7.9508613792111449</c:v>
                </c:pt>
                <c:pt idx="9">
                  <c:v>9.2820073405124379</c:v>
                </c:pt>
                <c:pt idx="10">
                  <c:v>10.836779154278696</c:v>
                </c:pt>
                <c:pt idx="11">
                  <c:v>12.652865131903264</c:v>
                </c:pt>
                <c:pt idx="12">
                  <c:v>14.774324197400048</c:v>
                </c:pt>
                <c:pt idx="13">
                  <c:v>17.252665696449476</c:v>
                </c:pt>
                <c:pt idx="14">
                  <c:v>20.148112693114342</c:v>
                </c:pt>
                <c:pt idx="15">
                  <c:v>23.531080005428688</c:v>
                </c:pt>
                <c:pt idx="16">
                  <c:v>27.483903564856679</c:v>
                </c:pt>
                <c:pt idx="17">
                  <c:v>32.102863930485363</c:v>
                </c:pt>
                <c:pt idx="18">
                  <c:v>37.500554102986129</c:v>
                </c:pt>
                <c:pt idx="19">
                  <c:v>43.808650348887774</c:v>
                </c:pt>
                <c:pt idx="20">
                  <c:v>51.181154776989615</c:v>
                </c:pt>
                <c:pt idx="21">
                  <c:v>59.798190157048488</c:v>
                </c:pt>
                <c:pt idx="22">
                  <c:v>69.870441230570705</c:v>
                </c:pt>
                <c:pt idx="23">
                  <c:v>81.644352879541572</c:v>
                </c:pt>
                <c:pt idx="24">
                  <c:v>95.408214395371147</c:v>
                </c:pt>
                <c:pt idx="25">
                  <c:v>111.49928120078589</c:v>
                </c:pt>
                <c:pt idx="26">
                  <c:v>130.31211127675309</c:v>
                </c:pt>
                <c:pt idx="27">
                  <c:v>152.30832388504686</c:v>
                </c:pt>
                <c:pt idx="28">
                  <c:v>178.02802371674275</c:v>
                </c:pt>
                <c:pt idx="29">
                  <c:v>208.10317523073408</c:v>
                </c:pt>
                <c:pt idx="30">
                  <c:v>243.27326072077915</c:v>
                </c:pt>
                <c:pt idx="31">
                  <c:v>274.15159553875304</c:v>
                </c:pt>
                <c:pt idx="32">
                  <c:v>304.9517496153556</c:v>
                </c:pt>
                <c:pt idx="33">
                  <c:v>335.68272416482392</c:v>
                </c:pt>
                <c:pt idx="34">
                  <c:v>366.35173699624096</c:v>
                </c:pt>
                <c:pt idx="35">
                  <c:v>396.96469882146312</c:v>
                </c:pt>
                <c:pt idx="36">
                  <c:v>287.36027167965722</c:v>
                </c:pt>
                <c:pt idx="37">
                  <c:v>312.28499675107349</c:v>
                </c:pt>
                <c:pt idx="38">
                  <c:v>337.16559898912197</c:v>
                </c:pt>
                <c:pt idx="39">
                  <c:v>362.00578971990859</c:v>
                </c:pt>
                <c:pt idx="40">
                  <c:v>386.8087295122084</c:v>
                </c:pt>
                <c:pt idx="41">
                  <c:v>411.57714071757056</c:v>
                </c:pt>
                <c:pt idx="42">
                  <c:v>345.34910174995292</c:v>
                </c:pt>
                <c:pt idx="43">
                  <c:v>370.55926373756284</c:v>
                </c:pt>
                <c:pt idx="44">
                  <c:v>395.73202966467738</c:v>
                </c:pt>
                <c:pt idx="45">
                  <c:v>420.87011059114275</c:v>
                </c:pt>
                <c:pt idx="46">
                  <c:v>445.97586750283381</c:v>
                </c:pt>
                <c:pt idx="47">
                  <c:v>471.05137407996995</c:v>
                </c:pt>
                <c:pt idx="48">
                  <c:v>496.09846540196463</c:v>
                </c:pt>
                <c:pt idx="49">
                  <c:v>402.26313463210448</c:v>
                </c:pt>
                <c:pt idx="50">
                  <c:v>425.87619549343572</c:v>
                </c:pt>
                <c:pt idx="51">
                  <c:v>449.46110395093586</c:v>
                </c:pt>
                <c:pt idx="52">
                  <c:v>473.01954367137131</c:v>
                </c:pt>
                <c:pt idx="53">
                  <c:v>496.55301706749265</c:v>
                </c:pt>
                <c:pt idx="54">
                  <c:v>520.06287264987645</c:v>
                </c:pt>
                <c:pt idx="55">
                  <c:v>543.55032717690449</c:v>
                </c:pt>
                <c:pt idx="56">
                  <c:v>454.24481650463161</c:v>
                </c:pt>
                <c:pt idx="57">
                  <c:v>476.59634202129263</c:v>
                </c:pt>
                <c:pt idx="58">
                  <c:v>498.92557909267936</c:v>
                </c:pt>
                <c:pt idx="59">
                  <c:v>521.233664652828</c:v>
                </c:pt>
                <c:pt idx="60">
                  <c:v>543.52163046495309</c:v>
                </c:pt>
                <c:pt idx="61">
                  <c:v>565.79041685083462</c:v>
                </c:pt>
                <c:pt idx="62">
                  <c:v>588.04088414741102</c:v>
                </c:pt>
                <c:pt idx="63">
                  <c:v>610.27382234025083</c:v>
                </c:pt>
                <c:pt idx="64">
                  <c:v>528.23845645617007</c:v>
                </c:pt>
                <c:pt idx="65">
                  <c:v>549.83892575965604</c:v>
                </c:pt>
                <c:pt idx="66">
                  <c:v>571.42160804713808</c:v>
                </c:pt>
                <c:pt idx="67">
                  <c:v>592.98726902778128</c:v>
                </c:pt>
                <c:pt idx="68">
                  <c:v>614.53661422900689</c:v>
                </c:pt>
                <c:pt idx="69">
                  <c:v>636.07029571344913</c:v>
                </c:pt>
                <c:pt idx="70">
                  <c:v>657.58891783971956</c:v>
                </c:pt>
                <c:pt idx="71">
                  <c:v>679.09304223054426</c:v>
                </c:pt>
                <c:pt idx="72">
                  <c:v>600.80615581089239</c:v>
                </c:pt>
                <c:pt idx="73">
                  <c:v>621.81796471134885</c:v>
                </c:pt>
                <c:pt idx="74">
                  <c:v>642.81507325128075</c:v>
                </c:pt>
                <c:pt idx="75">
                  <c:v>663.79802870135347</c:v>
                </c:pt>
                <c:pt idx="76">
                  <c:v>684.76734094880157</c:v>
                </c:pt>
                <c:pt idx="77">
                  <c:v>705.7234861406215</c:v>
                </c:pt>
                <c:pt idx="78">
                  <c:v>726.66690987194772</c:v>
                </c:pt>
                <c:pt idx="79">
                  <c:v>747.59802998811347</c:v>
                </c:pt>
                <c:pt idx="80">
                  <c:v>768.51723905691904</c:v>
                </c:pt>
                <c:pt idx="81">
                  <c:v>675.01761016261355</c:v>
                </c:pt>
                <c:pt idx="82">
                  <c:v>694.83780343012586</c:v>
                </c:pt>
                <c:pt idx="83">
                  <c:v>714.6464205142546</c:v>
                </c:pt>
                <c:pt idx="84">
                  <c:v>734.44382712262222</c:v>
                </c:pt>
                <c:pt idx="85">
                  <c:v>754.23036766119492</c:v>
                </c:pt>
                <c:pt idx="86">
                  <c:v>774.00636701258611</c:v>
                </c:pt>
                <c:pt idx="87">
                  <c:v>793.77213212336176</c:v>
                </c:pt>
                <c:pt idx="88">
                  <c:v>813.52795342520051</c:v>
                </c:pt>
                <c:pt idx="89">
                  <c:v>833.27410611098742</c:v>
                </c:pt>
                <c:pt idx="90">
                  <c:v>729.68470630285447</c:v>
                </c:pt>
                <c:pt idx="91">
                  <c:v>748.59390688021494</c:v>
                </c:pt>
                <c:pt idx="92">
                  <c:v>767.49340042346319</c:v>
                </c:pt>
                <c:pt idx="93">
                  <c:v>786.38345937215036</c:v>
                </c:pt>
                <c:pt idx="94">
                  <c:v>805.26434202452185</c:v>
                </c:pt>
                <c:pt idx="95">
                  <c:v>824.13629359258368</c:v>
                </c:pt>
                <c:pt idx="96">
                  <c:v>842.99954715561842</c:v>
                </c:pt>
                <c:pt idx="97">
                  <c:v>861.85432452401585</c:v>
                </c:pt>
                <c:pt idx="98">
                  <c:v>880.70083702367674</c:v>
                </c:pt>
                <c:pt idx="99">
                  <c:v>899.53928620986301</c:v>
                </c:pt>
                <c:pt idx="100">
                  <c:v>798.6332412457042</c:v>
                </c:pt>
                <c:pt idx="101">
                  <c:v>817.06058045885254</c:v>
                </c:pt>
                <c:pt idx="102">
                  <c:v>835.47954754465525</c:v>
                </c:pt>
                <c:pt idx="103">
                  <c:v>853.89035285880254</c:v>
                </c:pt>
                <c:pt idx="104">
                  <c:v>872.29319695717265</c:v>
                </c:pt>
                <c:pt idx="105">
                  <c:v>890.6882712536576</c:v>
                </c:pt>
                <c:pt idx="106">
                  <c:v>909.07575862089141</c:v>
                </c:pt>
                <c:pt idx="107">
                  <c:v>927.45583393990819</c:v>
                </c:pt>
                <c:pt idx="108">
                  <c:v>945.82866460402113</c:v>
                </c:pt>
                <c:pt idx="109">
                  <c:v>964.1944109815671</c:v>
                </c:pt>
                <c:pt idx="110">
                  <c:v>855.23421133508009</c:v>
                </c:pt>
                <c:pt idx="111">
                  <c:v>873.05294423725991</c:v>
                </c:pt>
                <c:pt idx="112">
                  <c:v>890.86439966147793</c:v>
                </c:pt>
                <c:pt idx="113">
                  <c:v>908.66874343169832</c:v>
                </c:pt>
                <c:pt idx="114">
                  <c:v>926.46613435177221</c:v>
                </c:pt>
                <c:pt idx="115">
                  <c:v>944.25672463450144</c:v>
                </c:pt>
                <c:pt idx="116">
                  <c:v>962.04066029672424</c:v>
                </c:pt>
                <c:pt idx="117">
                  <c:v>979.81808152371411</c:v>
                </c:pt>
                <c:pt idx="118">
                  <c:v>997.5891230057872</c:v>
                </c:pt>
                <c:pt idx="119">
                  <c:v>1015.3539142497146</c:v>
                </c:pt>
                <c:pt idx="120">
                  <c:v>641.97146052468145</c:v>
                </c:pt>
                <c:pt idx="121">
                  <c:v>641.26128291476209</c:v>
                </c:pt>
                <c:pt idx="122">
                  <c:v>640.55108906304713</c:v>
                </c:pt>
                <c:pt idx="123">
                  <c:v>639.84087894897141</c:v>
                </c:pt>
                <c:pt idx="124">
                  <c:v>447.73845435276593</c:v>
                </c:pt>
                <c:pt idx="125">
                  <c:v>448.11784733066253</c:v>
                </c:pt>
                <c:pt idx="126">
                  <c:v>448.49723343287286</c:v>
                </c:pt>
                <c:pt idx="127">
                  <c:v>448.8766126660426</c:v>
                </c:pt>
                <c:pt idx="128">
                  <c:v>323.75040495820258</c:v>
                </c:pt>
                <c:pt idx="129">
                  <c:v>323.93902671918772</c:v>
                </c:pt>
                <c:pt idx="130">
                  <c:v>324.127646051846</c:v>
                </c:pt>
                <c:pt idx="131">
                  <c:v>324.3162629577933</c:v>
                </c:pt>
                <c:pt idx="132">
                  <c:v>41.499230205854936</c:v>
                </c:pt>
                <c:pt idx="133">
                  <c:v>41.499230205854936</c:v>
                </c:pt>
                <c:pt idx="134">
                  <c:v>41.499230205854936</c:v>
                </c:pt>
                <c:pt idx="135">
                  <c:v>41.499230205854936</c:v>
                </c:pt>
                <c:pt idx="136">
                  <c:v>41.499230205854936</c:v>
                </c:pt>
                <c:pt idx="137">
                  <c:v>41.499230205854936</c:v>
                </c:pt>
                <c:pt idx="138">
                  <c:v>41.499230205854936</c:v>
                </c:pt>
                <c:pt idx="139">
                  <c:v>41.499230205854936</c:v>
                </c:pt>
                <c:pt idx="140">
                  <c:v>41.499230205854936</c:v>
                </c:pt>
                <c:pt idx="141">
                  <c:v>41.499230205854936</c:v>
                </c:pt>
                <c:pt idx="142">
                  <c:v>41.499230205854936</c:v>
                </c:pt>
                <c:pt idx="143">
                  <c:v>41.499230205854936</c:v>
                </c:pt>
                <c:pt idx="144">
                  <c:v>41.499230205854936</c:v>
                </c:pt>
                <c:pt idx="145">
                  <c:v>41.499230205854936</c:v>
                </c:pt>
                <c:pt idx="146">
                  <c:v>41.499230205854936</c:v>
                </c:pt>
                <c:pt idx="147">
                  <c:v>41.499230205854936</c:v>
                </c:pt>
                <c:pt idx="148">
                  <c:v>41.499230205854936</c:v>
                </c:pt>
                <c:pt idx="149">
                  <c:v>41.499230205854936</c:v>
                </c:pt>
                <c:pt idx="150">
                  <c:v>41.499230205854936</c:v>
                </c:pt>
                <c:pt idx="151">
                  <c:v>41.499230205854936</c:v>
                </c:pt>
                <c:pt idx="152">
                  <c:v>41.499230205854936</c:v>
                </c:pt>
                <c:pt idx="153">
                  <c:v>41.499230205854936</c:v>
                </c:pt>
                <c:pt idx="154">
                  <c:v>41.499230205854936</c:v>
                </c:pt>
                <c:pt idx="155">
                  <c:v>41.499230205854936</c:v>
                </c:pt>
                <c:pt idx="156">
                  <c:v>41.499230205854936</c:v>
                </c:pt>
                <c:pt idx="157">
                  <c:v>41.499230205854936</c:v>
                </c:pt>
                <c:pt idx="158">
                  <c:v>41.499230205854936</c:v>
                </c:pt>
                <c:pt idx="159">
                  <c:v>41.499230205854936</c:v>
                </c:pt>
                <c:pt idx="160">
                  <c:v>41.499230205854936</c:v>
                </c:pt>
                <c:pt idx="161">
                  <c:v>41.499230205854936</c:v>
                </c:pt>
                <c:pt idx="162">
                  <c:v>41.499230205854936</c:v>
                </c:pt>
                <c:pt idx="163">
                  <c:v>41.499230205854936</c:v>
                </c:pt>
                <c:pt idx="164">
                  <c:v>41.499230205854936</c:v>
                </c:pt>
                <c:pt idx="165">
                  <c:v>41.499230205854936</c:v>
                </c:pt>
                <c:pt idx="166">
                  <c:v>41.499230205854936</c:v>
                </c:pt>
                <c:pt idx="167">
                  <c:v>41.499230205854936</c:v>
                </c:pt>
                <c:pt idx="168">
                  <c:v>41.499230205854936</c:v>
                </c:pt>
                <c:pt idx="169">
                  <c:v>41.499230205854936</c:v>
                </c:pt>
                <c:pt idx="170">
                  <c:v>41.499230205854936</c:v>
                </c:pt>
                <c:pt idx="171">
                  <c:v>41.499230205854936</c:v>
                </c:pt>
                <c:pt idx="172">
                  <c:v>41.499230205854936</c:v>
                </c:pt>
                <c:pt idx="173">
                  <c:v>41.499230205854936</c:v>
                </c:pt>
                <c:pt idx="174">
                  <c:v>41.499230205854936</c:v>
                </c:pt>
                <c:pt idx="175">
                  <c:v>41.499230205854936</c:v>
                </c:pt>
                <c:pt idx="176">
                  <c:v>41.499230205854936</c:v>
                </c:pt>
                <c:pt idx="177">
                  <c:v>41.499230205854936</c:v>
                </c:pt>
                <c:pt idx="178">
                  <c:v>41.499230205854936</c:v>
                </c:pt>
                <c:pt idx="179">
                  <c:v>41.499230205854936</c:v>
                </c:pt>
                <c:pt idx="180">
                  <c:v>41.499230205854936</c:v>
                </c:pt>
                <c:pt idx="181">
                  <c:v>41.499230205854936</c:v>
                </c:pt>
                <c:pt idx="182">
                  <c:v>41.499230205854936</c:v>
                </c:pt>
                <c:pt idx="183">
                  <c:v>41.499230205854936</c:v>
                </c:pt>
                <c:pt idx="184">
                  <c:v>41.499230205854936</c:v>
                </c:pt>
                <c:pt idx="185">
                  <c:v>41.499230205854936</c:v>
                </c:pt>
                <c:pt idx="186">
                  <c:v>41.499230205854936</c:v>
                </c:pt>
                <c:pt idx="187">
                  <c:v>41.499230205854936</c:v>
                </c:pt>
                <c:pt idx="188">
                  <c:v>41.499230205854936</c:v>
                </c:pt>
                <c:pt idx="189">
                  <c:v>41.499230205854936</c:v>
                </c:pt>
                <c:pt idx="190">
                  <c:v>41.499230205854936</c:v>
                </c:pt>
                <c:pt idx="191">
                  <c:v>41.499230205854936</c:v>
                </c:pt>
                <c:pt idx="192">
                  <c:v>41.499230205854936</c:v>
                </c:pt>
                <c:pt idx="193">
                  <c:v>41.499230205854936</c:v>
                </c:pt>
                <c:pt idx="194">
                  <c:v>41.499230205854936</c:v>
                </c:pt>
                <c:pt idx="195">
                  <c:v>41.499230205854936</c:v>
                </c:pt>
                <c:pt idx="196">
                  <c:v>41.499230205854936</c:v>
                </c:pt>
                <c:pt idx="197">
                  <c:v>41.499230205854936</c:v>
                </c:pt>
                <c:pt idx="198">
                  <c:v>41.499230205854936</c:v>
                </c:pt>
                <c:pt idx="199">
                  <c:v>41.499230205854936</c:v>
                </c:pt>
                <c:pt idx="200">
                  <c:v>41.499230205854936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3.0087226411517527</c:v>
                </c:pt>
                <c:pt idx="2">
                  <c:v>3.5108476071540324</c:v>
                </c:pt>
                <c:pt idx="3">
                  <c:v>4.0970748627575784</c:v>
                </c:pt>
                <c:pt idx="4">
                  <c:v>4.7815388010848903</c:v>
                </c:pt>
                <c:pt idx="5">
                  <c:v>5.5807568096135292</c:v>
                </c:pt>
                <c:pt idx="6">
                  <c:v>6.5140322160935185</c:v>
                </c:pt>
                <c:pt idx="7">
                  <c:v>7.603925554786934</c:v>
                </c:pt>
                <c:pt idx="8">
                  <c:v>8.876805765794904</c:v>
                </c:pt>
                <c:pt idx="9">
                  <c:v>10.363494918619327</c:v>
                </c:pt>
                <c:pt idx="10">
                  <c:v>12.100022367229691</c:v>
                </c:pt>
                <c:pt idx="11">
                  <c:v>14.128506955535215</c:v>
                </c:pt>
                <c:pt idx="12">
                  <c:v>16.498189066961771</c:v>
                </c:pt>
                <c:pt idx="13">
                  <c:v>19.266638029059283</c:v>
                </c:pt>
                <c:pt idx="14">
                  <c:v>22.501164736560821</c:v>
                </c:pt>
                <c:pt idx="15">
                  <c:v>26.280474452838366</c:v>
                </c:pt>
                <c:pt idx="16">
                  <c:v>30.696600717661102</c:v>
                </c:pt>
                <c:pt idx="17">
                  <c:v>35.857168277819675</c:v>
                </c:pt>
                <c:pt idx="18">
                  <c:v>41.888041141400755</c:v>
                </c:pt>
                <c:pt idx="19">
                  <c:v>48.936421441147587</c:v>
                </c:pt>
                <c:pt idx="20">
                  <c:v>57.174476017453664</c:v>
                </c:pt>
                <c:pt idx="21">
                  <c:v>66.803580778333838</c:v>
                </c:pt>
                <c:pt idx="22">
                  <c:v>78.059288291711724</c:v>
                </c:pt>
                <c:pt idx="23">
                  <c:v>91.217142100644807</c:v>
                </c:pt>
                <c:pt idx="24">
                  <c:v>106.59948237708012</c:v>
                </c:pt>
                <c:pt idx="25">
                  <c:v>124.58341227451173</c:v>
                </c:pt>
                <c:pt idx="26">
                  <c:v>145.61012332568433</c:v>
                </c:pt>
                <c:pt idx="27">
                  <c:v>170.1958121862055</c:v>
                </c:pt>
                <c:pt idx="28">
                  <c:v>198.94446080163331</c:v>
                </c:pt>
                <c:pt idx="29">
                  <c:v>232.56279867400553</c:v>
                </c:pt>
                <c:pt idx="30">
                  <c:v>271.87782049542704</c:v>
                </c:pt>
                <c:pt idx="31">
                  <c:v>306.39644232406232</c:v>
                </c:pt>
                <c:pt idx="32">
                  <c:v>340.82860219768367</c:v>
                </c:pt>
                <c:pt idx="33">
                  <c:v>375.18425477477564</c:v>
                </c:pt>
                <c:pt idx="34">
                  <c:v>409.47138240333476</c:v>
                </c:pt>
                <c:pt idx="35">
                  <c:v>443.69652188121762</c:v>
                </c:pt>
                <c:pt idx="36">
                  <c:v>321.16259971327435</c:v>
                </c:pt>
                <c:pt idx="37">
                  <c:v>349.02672421811889</c:v>
                </c:pt>
                <c:pt idx="38">
                  <c:v>376.84205222440391</c:v>
                </c:pt>
                <c:pt idx="39">
                  <c:v>404.61268817658896</c:v>
                </c:pt>
                <c:pt idx="40">
                  <c:v>432.34212742340679</c:v>
                </c:pt>
                <c:pt idx="41">
                  <c:v>460.03338067866031</c:v>
                </c:pt>
                <c:pt idx="42">
                  <c:v>385.99092681345513</c:v>
                </c:pt>
                <c:pt idx="43">
                  <c:v>414.17533779557925</c:v>
                </c:pt>
                <c:pt idx="44">
                  <c:v>442.31839157842978</c:v>
                </c:pt>
                <c:pt idx="45">
                  <c:v>470.42308638804479</c:v>
                </c:pt>
                <c:pt idx="46">
                  <c:v>498.49203329527023</c:v>
                </c:pt>
                <c:pt idx="47">
                  <c:v>526.52752563274419</c:v>
                </c:pt>
                <c:pt idx="48">
                  <c:v>554.53159285875631</c:v>
                </c:pt>
                <c:pt idx="49">
                  <c:v>449.6202110727931</c:v>
                </c:pt>
                <c:pt idx="50">
                  <c:v>476.02000064610456</c:v>
                </c:pt>
                <c:pt idx="51">
                  <c:v>502.38865580151622</c:v>
                </c:pt>
                <c:pt idx="52">
                  <c:v>528.72803854644383</c:v>
                </c:pt>
                <c:pt idx="53">
                  <c:v>555.03981043514466</c:v>
                </c:pt>
                <c:pt idx="54">
                  <c:v>581.32546281777411</c:v>
                </c:pt>
                <c:pt idx="55">
                  <c:v>607.58634133657927</c:v>
                </c:pt>
                <c:pt idx="56">
                  <c:v>507.73703373631139</c:v>
                </c:pt>
                <c:pt idx="57">
                  <c:v>532.72708498714167</c:v>
                </c:pt>
                <c:pt idx="58">
                  <c:v>557.69248691233463</c:v>
                </c:pt>
                <c:pt idx="59">
                  <c:v>582.63449687448042</c:v>
                </c:pt>
                <c:pt idx="60">
                  <c:v>607.55425592523818</c:v>
                </c:pt>
                <c:pt idx="61">
                  <c:v>632.45280398899365</c:v>
                </c:pt>
                <c:pt idx="62">
                  <c:v>657.33109253297937</c:v>
                </c:pt>
                <c:pt idx="63">
                  <c:v>682.18999522116349</c:v>
                </c:pt>
                <c:pt idx="64">
                  <c:v>590.46639820384189</c:v>
                </c:pt>
                <c:pt idx="65">
                  <c:v>614.61754893029149</c:v>
                </c:pt>
                <c:pt idx="66">
                  <c:v>638.74902856958317</c:v>
                </c:pt>
                <c:pt idx="67">
                  <c:v>662.86168393782884</c:v>
                </c:pt>
                <c:pt idx="68">
                  <c:v>686.95629529470671</c:v>
                </c:pt>
                <c:pt idx="69">
                  <c:v>711.03358377190716</c:v>
                </c:pt>
                <c:pt idx="70">
                  <c:v>735.0942177440985</c:v>
                </c:pt>
                <c:pt idx="71">
                  <c:v>759.13881832330947</c:v>
                </c:pt>
                <c:pt idx="72">
                  <c:v>671.60406336749145</c:v>
                </c:pt>
                <c:pt idx="73">
                  <c:v>695.09771430876344</c:v>
                </c:pt>
                <c:pt idx="74">
                  <c:v>718.57510776912568</c:v>
                </c:pt>
                <c:pt idx="75">
                  <c:v>742.03684898831932</c:v>
                </c:pt>
                <c:pt idx="76">
                  <c:v>765.4835018628529</c:v>
                </c:pt>
                <c:pt idx="77">
                  <c:v>788.91559297509775</c:v>
                </c:pt>
                <c:pt idx="78">
                  <c:v>812.33361511938926</c:v>
                </c:pt>
                <c:pt idx="79">
                  <c:v>835.73803040089308</c:v>
                </c:pt>
                <c:pt idx="80">
                  <c:v>859.12927296974419</c:v>
                </c:pt>
                <c:pt idx="81">
                  <c:v>754.58190540238036</c:v>
                </c:pt>
                <c:pt idx="82">
                  <c:v>776.74375886328164</c:v>
                </c:pt>
                <c:pt idx="83">
                  <c:v>798.89280994562512</c:v>
                </c:pt>
                <c:pt idx="84">
                  <c:v>821.02946309423305</c:v>
                </c:pt>
                <c:pt idx="85">
                  <c:v>843.15409919591457</c:v>
                </c:pt>
                <c:pt idx="86">
                  <c:v>865.26707754613597</c:v>
                </c:pt>
                <c:pt idx="87">
                  <c:v>887.3687376044586</c:v>
                </c:pt>
                <c:pt idx="88">
                  <c:v>909.45940056623385</c:v>
                </c:pt>
                <c:pt idx="89">
                  <c:v>931.53937077386774</c:v>
                </c:pt>
                <c:pt idx="90">
                  <c:v>815.7079958749506</c:v>
                </c:pt>
                <c:pt idx="91">
                  <c:v>836.85158729914485</c:v>
                </c:pt>
                <c:pt idx="92">
                  <c:v>857.98444348174371</c:v>
                </c:pt>
                <c:pt idx="93">
                  <c:v>879.10686572017437</c:v>
                </c:pt>
                <c:pt idx="94">
                  <c:v>900.21913967265448</c:v>
                </c:pt>
                <c:pt idx="95">
                  <c:v>921.32153652501711</c:v>
                </c:pt>
                <c:pt idx="96">
                  <c:v>942.41431404522439</c:v>
                </c:pt>
                <c:pt idx="97">
                  <c:v>963.49771753870164</c:v>
                </c:pt>
                <c:pt idx="98">
                  <c:v>984.57198071582513</c:v>
                </c:pt>
                <c:pt idx="99">
                  <c:v>1005.6373264813883</c:v>
                </c:pt>
                <c:pt idx="100">
                  <c:v>892.80434571395438</c:v>
                </c:pt>
                <c:pt idx="101">
                  <c:v>913.40954370443831</c:v>
                </c:pt>
                <c:pt idx="102">
                  <c:v>934.0054827587029</c:v>
                </c:pt>
                <c:pt idx="103">
                  <c:v>954.59239551414669</c:v>
                </c:pt>
                <c:pt idx="104">
                  <c:v>975.1705037703191</c:v>
                </c:pt>
                <c:pt idx="105">
                  <c:v>995.74001921643048</c:v>
                </c:pt>
                <c:pt idx="106">
                  <c:v>1016.3011440957075</c:v>
                </c:pt>
                <c:pt idx="107">
                  <c:v>1036.8540718132765</c:v>
                </c:pt>
                <c:pt idx="108">
                  <c:v>1057.3989874934132</c:v>
                </c:pt>
                <c:pt idx="109">
                  <c:v>1077.9360684913026</c:v>
                </c:pt>
                <c:pt idx="110">
                  <c:v>956.09509828757302</c:v>
                </c:pt>
                <c:pt idx="111">
                  <c:v>976.02005722680917</c:v>
                </c:pt>
                <c:pt idx="112">
                  <c:v>995.93696782880636</c:v>
                </c:pt>
                <c:pt idx="113">
                  <c:v>1015.8460134822595</c:v>
                </c:pt>
                <c:pt idx="114">
                  <c:v>1035.7473698121528</c:v>
                </c:pt>
                <c:pt idx="115">
                  <c:v>1055.6412051542693</c:v>
                </c:pt>
                <c:pt idx="116">
                  <c:v>1075.5276809921299</c:v>
                </c:pt>
                <c:pt idx="117">
                  <c:v>1095.4069523599876</c:v>
                </c:pt>
                <c:pt idx="118">
                  <c:v>1115.2791682150898</c:v>
                </c:pt>
                <c:pt idx="119">
                  <c:v>1135.1444717820771</c:v>
                </c:pt>
                <c:pt idx="120">
                  <c:v>717.63183985620242</c:v>
                </c:pt>
                <c:pt idx="121">
                  <c:v>716.83776984268491</c:v>
                </c:pt>
                <c:pt idx="122">
                  <c:v>716.04368186697639</c:v>
                </c:pt>
                <c:pt idx="123">
                  <c:v>715.24957590633358</c:v>
                </c:pt>
                <c:pt idx="124">
                  <c:v>500.46266932712228</c:v>
                </c:pt>
                <c:pt idx="125">
                  <c:v>500.88684467357308</c:v>
                </c:pt>
                <c:pt idx="126">
                  <c:v>501.31101241603716</c:v>
                </c:pt>
                <c:pt idx="127">
                  <c:v>501.73517256186511</c:v>
                </c:pt>
                <c:pt idx="128">
                  <c:v>361.8444413330879</c:v>
                </c:pt>
                <c:pt idx="129">
                  <c:v>362.05531135307177</c:v>
                </c:pt>
                <c:pt idx="130">
                  <c:v>362.26617868751083</c:v>
                </c:pt>
                <c:pt idx="131">
                  <c:v>362.47704333819223</c:v>
                </c:pt>
                <c:pt idx="132">
                  <c:v>46.355945316697152</c:v>
                </c:pt>
                <c:pt idx="133">
                  <c:v>46.355945316697152</c:v>
                </c:pt>
                <c:pt idx="134">
                  <c:v>46.355945316697152</c:v>
                </c:pt>
                <c:pt idx="135">
                  <c:v>46.355945316697152</c:v>
                </c:pt>
                <c:pt idx="136">
                  <c:v>46.355945316697152</c:v>
                </c:pt>
                <c:pt idx="137">
                  <c:v>46.355945316697152</c:v>
                </c:pt>
                <c:pt idx="138">
                  <c:v>46.355945316697152</c:v>
                </c:pt>
                <c:pt idx="139">
                  <c:v>46.355945316697152</c:v>
                </c:pt>
                <c:pt idx="140">
                  <c:v>46.355945316697152</c:v>
                </c:pt>
                <c:pt idx="141">
                  <c:v>46.355945316697152</c:v>
                </c:pt>
                <c:pt idx="142">
                  <c:v>46.355945316697152</c:v>
                </c:pt>
                <c:pt idx="143">
                  <c:v>46.355945316697152</c:v>
                </c:pt>
                <c:pt idx="144">
                  <c:v>46.355945316697152</c:v>
                </c:pt>
                <c:pt idx="145">
                  <c:v>46.355945316697152</c:v>
                </c:pt>
                <c:pt idx="146">
                  <c:v>46.355945316697152</c:v>
                </c:pt>
                <c:pt idx="147">
                  <c:v>46.355945316697152</c:v>
                </c:pt>
                <c:pt idx="148">
                  <c:v>46.355945316697152</c:v>
                </c:pt>
                <c:pt idx="149">
                  <c:v>46.355945316697152</c:v>
                </c:pt>
                <c:pt idx="150">
                  <c:v>46.355945316697152</c:v>
                </c:pt>
                <c:pt idx="151">
                  <c:v>46.355945316697152</c:v>
                </c:pt>
                <c:pt idx="152">
                  <c:v>46.355945316697152</c:v>
                </c:pt>
                <c:pt idx="153">
                  <c:v>46.355945316697152</c:v>
                </c:pt>
                <c:pt idx="154">
                  <c:v>46.355945316697152</c:v>
                </c:pt>
                <c:pt idx="155">
                  <c:v>46.355945316697152</c:v>
                </c:pt>
                <c:pt idx="156">
                  <c:v>46.355945316697152</c:v>
                </c:pt>
                <c:pt idx="157">
                  <c:v>46.355945316697152</c:v>
                </c:pt>
                <c:pt idx="158">
                  <c:v>46.355945316697152</c:v>
                </c:pt>
                <c:pt idx="159">
                  <c:v>46.355945316697152</c:v>
                </c:pt>
                <c:pt idx="160">
                  <c:v>46.355945316697152</c:v>
                </c:pt>
                <c:pt idx="161">
                  <c:v>46.355945316697152</c:v>
                </c:pt>
                <c:pt idx="162">
                  <c:v>46.355945316697152</c:v>
                </c:pt>
                <c:pt idx="163">
                  <c:v>46.355945316697152</c:v>
                </c:pt>
                <c:pt idx="164">
                  <c:v>46.355945316697152</c:v>
                </c:pt>
                <c:pt idx="165">
                  <c:v>46.355945316697152</c:v>
                </c:pt>
                <c:pt idx="166">
                  <c:v>46.355945316697152</c:v>
                </c:pt>
                <c:pt idx="167">
                  <c:v>46.355945316697152</c:v>
                </c:pt>
                <c:pt idx="168">
                  <c:v>46.355945316697152</c:v>
                </c:pt>
                <c:pt idx="169">
                  <c:v>46.355945316697152</c:v>
                </c:pt>
                <c:pt idx="170">
                  <c:v>46.355945316697152</c:v>
                </c:pt>
                <c:pt idx="171">
                  <c:v>46.355945316697152</c:v>
                </c:pt>
                <c:pt idx="172">
                  <c:v>46.355945316697152</c:v>
                </c:pt>
                <c:pt idx="173">
                  <c:v>46.355945316697152</c:v>
                </c:pt>
                <c:pt idx="174">
                  <c:v>46.355945316697152</c:v>
                </c:pt>
                <c:pt idx="175">
                  <c:v>46.355945316697152</c:v>
                </c:pt>
                <c:pt idx="176">
                  <c:v>46.355945316697152</c:v>
                </c:pt>
                <c:pt idx="177">
                  <c:v>46.355945316697152</c:v>
                </c:pt>
                <c:pt idx="178">
                  <c:v>46.355945316697152</c:v>
                </c:pt>
                <c:pt idx="179">
                  <c:v>46.355945316697152</c:v>
                </c:pt>
                <c:pt idx="180">
                  <c:v>46.355945316697152</c:v>
                </c:pt>
                <c:pt idx="181">
                  <c:v>46.355945316697152</c:v>
                </c:pt>
                <c:pt idx="182">
                  <c:v>46.355945316697152</c:v>
                </c:pt>
                <c:pt idx="183">
                  <c:v>46.355945316697152</c:v>
                </c:pt>
                <c:pt idx="184">
                  <c:v>46.355945316697152</c:v>
                </c:pt>
                <c:pt idx="185">
                  <c:v>46.355945316697152</c:v>
                </c:pt>
                <c:pt idx="186">
                  <c:v>46.355945316697152</c:v>
                </c:pt>
                <c:pt idx="187">
                  <c:v>46.355945316697152</c:v>
                </c:pt>
                <c:pt idx="188">
                  <c:v>46.355945316697152</c:v>
                </c:pt>
                <c:pt idx="189">
                  <c:v>46.355945316697152</c:v>
                </c:pt>
                <c:pt idx="190">
                  <c:v>46.355945316697152</c:v>
                </c:pt>
                <c:pt idx="191">
                  <c:v>46.355945316697152</c:v>
                </c:pt>
                <c:pt idx="192">
                  <c:v>46.355945316697152</c:v>
                </c:pt>
                <c:pt idx="193">
                  <c:v>46.355945316697152</c:v>
                </c:pt>
                <c:pt idx="194">
                  <c:v>46.355945316697152</c:v>
                </c:pt>
                <c:pt idx="195">
                  <c:v>46.355945316697152</c:v>
                </c:pt>
                <c:pt idx="196">
                  <c:v>46.355945316697152</c:v>
                </c:pt>
                <c:pt idx="197">
                  <c:v>46.355945316697152</c:v>
                </c:pt>
                <c:pt idx="198">
                  <c:v>46.355945316697152</c:v>
                </c:pt>
                <c:pt idx="199">
                  <c:v>46.355945316697152</c:v>
                </c:pt>
                <c:pt idx="200">
                  <c:v>46.355945316697152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50" zoomScaleNormal="100" workbookViewId="0">
      <selection activeCell="F42" sqref="F42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3.4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35</v>
      </c>
      <c r="C9" s="264">
        <v>0.71823204419889497</v>
      </c>
      <c r="D9" s="33">
        <f t="shared" ref="D9:D18" si="0">C9*$C$5</f>
        <v>2.4419889502762429</v>
      </c>
      <c r="E9" s="265">
        <v>80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14</v>
      </c>
      <c r="C10" s="264">
        <v>0.19889502762430938</v>
      </c>
      <c r="D10" s="33">
        <f t="shared" si="0"/>
        <v>0.67624309392265192</v>
      </c>
      <c r="E10" s="265">
        <v>131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12</v>
      </c>
      <c r="C11" s="264">
        <v>8.2872928176795577E-2</v>
      </c>
      <c r="D11" s="33">
        <f t="shared" si="0"/>
        <v>0.28176795580110497</v>
      </c>
      <c r="E11" s="265">
        <v>131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325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0.99999999999999989</v>
      </c>
      <c r="D19" s="38">
        <f>SUM(D9:D18)</f>
        <v>3.3999999999999995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laricio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15</v>
      </c>
      <c r="B36" s="259">
        <v>129</v>
      </c>
      <c r="C36" s="259">
        <v>1</v>
      </c>
      <c r="D36" s="259">
        <v>21</v>
      </c>
      <c r="E36" s="260"/>
      <c r="F36" s="260"/>
      <c r="G36" s="260">
        <v>1</v>
      </c>
      <c r="H36" s="260"/>
      <c r="I36" s="49">
        <f>IFERROR(B36/A36,"")</f>
        <v>8.6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20</v>
      </c>
      <c r="B37" s="259">
        <v>226</v>
      </c>
      <c r="C37" s="259">
        <v>2</v>
      </c>
      <c r="D37" s="259">
        <v>70</v>
      </c>
      <c r="E37" s="260"/>
      <c r="F37" s="260">
        <v>1</v>
      </c>
      <c r="G37" s="260"/>
      <c r="H37" s="260"/>
      <c r="I37" s="53">
        <f t="shared" ref="I37:I55" si="1">IF(A37&lt;&gt;0,(B37-(B36-D36))/(A37-A36),"")</f>
        <v>23.6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25</v>
      </c>
      <c r="B38" s="259">
        <v>281</v>
      </c>
      <c r="C38" s="259">
        <v>3</v>
      </c>
      <c r="D38" s="259">
        <v>70</v>
      </c>
      <c r="E38" s="260"/>
      <c r="F38" s="260">
        <v>1</v>
      </c>
      <c r="G38" s="260"/>
      <c r="H38" s="260"/>
      <c r="I38" s="53">
        <f t="shared" si="1"/>
        <v>25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30</v>
      </c>
      <c r="B39" s="259">
        <v>344</v>
      </c>
      <c r="C39" s="259">
        <v>4</v>
      </c>
      <c r="D39" s="259">
        <v>70</v>
      </c>
      <c r="E39" s="260"/>
      <c r="F39" s="260">
        <v>1</v>
      </c>
      <c r="G39" s="260"/>
      <c r="H39" s="260"/>
      <c r="I39" s="49">
        <f t="shared" si="1"/>
        <v>26.6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35</v>
      </c>
      <c r="B40" s="259">
        <v>408</v>
      </c>
      <c r="C40" s="259">
        <v>5</v>
      </c>
      <c r="D40" s="259">
        <v>70</v>
      </c>
      <c r="E40" s="260">
        <v>1</v>
      </c>
      <c r="F40" s="260"/>
      <c r="G40" s="260"/>
      <c r="H40" s="260"/>
      <c r="I40" s="49">
        <f t="shared" si="1"/>
        <v>26.8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40</v>
      </c>
      <c r="B41" s="259">
        <v>467</v>
      </c>
      <c r="C41" s="259">
        <v>6</v>
      </c>
      <c r="D41" s="259">
        <v>70</v>
      </c>
      <c r="E41" s="260">
        <v>1</v>
      </c>
      <c r="F41" s="260"/>
      <c r="G41" s="260"/>
      <c r="H41" s="260"/>
      <c r="I41" s="53">
        <f t="shared" si="1"/>
        <v>25.8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45</v>
      </c>
      <c r="B42" s="259">
        <v>518</v>
      </c>
      <c r="C42" s="259">
        <v>7</v>
      </c>
      <c r="D42" s="259">
        <v>64</v>
      </c>
      <c r="E42" s="260">
        <v>1</v>
      </c>
      <c r="F42" s="260"/>
      <c r="G42" s="260"/>
      <c r="H42" s="260"/>
      <c r="I42" s="53">
        <f t="shared" si="1"/>
        <v>24.2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50</v>
      </c>
      <c r="B43" s="259">
        <v>563</v>
      </c>
      <c r="C43" s="259">
        <v>8</v>
      </c>
      <c r="D43" s="259">
        <v>56</v>
      </c>
      <c r="E43" s="260">
        <v>1</v>
      </c>
      <c r="F43" s="260"/>
      <c r="G43" s="260"/>
      <c r="H43" s="260"/>
      <c r="I43" s="49">
        <f t="shared" si="1"/>
        <v>21.8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55</v>
      </c>
      <c r="B44" s="259">
        <v>608</v>
      </c>
      <c r="C44" s="259">
        <v>9</v>
      </c>
      <c r="D44" s="259">
        <v>48</v>
      </c>
      <c r="E44" s="260">
        <v>1</v>
      </c>
      <c r="F44" s="260"/>
      <c r="G44" s="260"/>
      <c r="H44" s="260"/>
      <c r="I44" s="49">
        <f t="shared" si="1"/>
        <v>20.2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60</v>
      </c>
      <c r="B45" s="261">
        <v>653</v>
      </c>
      <c r="C45" s="259">
        <v>10</v>
      </c>
      <c r="D45" s="261">
        <v>42</v>
      </c>
      <c r="E45" s="260">
        <v>1</v>
      </c>
      <c r="F45" s="260"/>
      <c r="G45" s="260"/>
      <c r="H45" s="260"/>
      <c r="I45" s="49">
        <f t="shared" si="1"/>
        <v>18.600000000000001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65</v>
      </c>
      <c r="B46" s="262">
        <v>695</v>
      </c>
      <c r="C46" s="259">
        <v>11</v>
      </c>
      <c r="D46" s="262">
        <v>37</v>
      </c>
      <c r="E46" s="260">
        <v>1</v>
      </c>
      <c r="F46" s="260"/>
      <c r="G46" s="260"/>
      <c r="H46" s="260"/>
      <c r="I46" s="49">
        <f t="shared" si="1"/>
        <v>16.8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70</v>
      </c>
      <c r="B47" s="261">
        <v>733</v>
      </c>
      <c r="C47" s="259">
        <v>12</v>
      </c>
      <c r="D47" s="261">
        <v>34</v>
      </c>
      <c r="E47" s="260">
        <v>1</v>
      </c>
      <c r="F47" s="260"/>
      <c r="G47" s="260"/>
      <c r="H47" s="260"/>
      <c r="I47" s="49">
        <f t="shared" si="1"/>
        <v>15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75</v>
      </c>
      <c r="B48" s="261">
        <v>767</v>
      </c>
      <c r="C48" s="259">
        <v>13</v>
      </c>
      <c r="D48" s="261">
        <v>33</v>
      </c>
      <c r="E48" s="260">
        <v>1</v>
      </c>
      <c r="F48" s="260"/>
      <c r="G48" s="260"/>
      <c r="H48" s="260"/>
      <c r="I48" s="49">
        <f t="shared" si="1"/>
        <v>13.6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80</v>
      </c>
      <c r="B49" s="261">
        <v>795</v>
      </c>
      <c r="C49" s="259">
        <v>14</v>
      </c>
      <c r="D49" s="261">
        <v>32</v>
      </c>
      <c r="E49" s="260">
        <v>1</v>
      </c>
      <c r="F49" s="260"/>
      <c r="G49" s="260"/>
      <c r="H49" s="260"/>
      <c r="I49" s="49">
        <f t="shared" si="1"/>
        <v>12.2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/>
      <c r="B50" s="261"/>
      <c r="C50" s="261"/>
      <c r="D50" s="261"/>
      <c r="E50" s="260"/>
      <c r="F50" s="260"/>
      <c r="G50" s="260"/>
      <c r="H50" s="260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1"/>
      <c r="C51" s="261"/>
      <c r="D51" s="261"/>
      <c r="E51" s="260"/>
      <c r="F51" s="260"/>
      <c r="G51" s="260"/>
      <c r="H51" s="260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sessile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30</v>
      </c>
      <c r="B62" s="261">
        <v>121.884615</v>
      </c>
      <c r="C62" s="261"/>
      <c r="D62" s="261"/>
      <c r="E62" s="260"/>
      <c r="F62" s="260"/>
      <c r="G62" s="260"/>
      <c r="H62" s="260"/>
      <c r="I62" s="53">
        <f>IFERROR(B62/A62,"")</f>
        <v>4.0628204999999999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35</v>
      </c>
      <c r="B63" s="261">
        <v>201.29</v>
      </c>
      <c r="C63" s="261">
        <v>1</v>
      </c>
      <c r="D63" s="261">
        <v>69.58</v>
      </c>
      <c r="E63" s="260">
        <v>1</v>
      </c>
      <c r="F63" s="260"/>
      <c r="G63" s="260"/>
      <c r="H63" s="260"/>
      <c r="I63" s="49">
        <f>IF(A63&lt;&gt;0,(B63-(B62-D62))/(A63-A62),"")</f>
        <v>15.881076999999999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41</v>
      </c>
      <c r="B64" s="261">
        <v>208.88</v>
      </c>
      <c r="C64" s="261">
        <v>2</v>
      </c>
      <c r="D64" s="261">
        <v>47.41</v>
      </c>
      <c r="E64" s="260">
        <v>1</v>
      </c>
      <c r="F64" s="260"/>
      <c r="G64" s="260"/>
      <c r="H64" s="260"/>
      <c r="I64" s="49">
        <f>IF(A64&lt;&gt;0,(B64-(B63-D63))/(A64-A63),"")</f>
        <v>12.86166666666667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48</v>
      </c>
      <c r="B65" s="261">
        <v>252.89</v>
      </c>
      <c r="C65" s="261">
        <v>3</v>
      </c>
      <c r="D65" s="261">
        <v>61.12</v>
      </c>
      <c r="E65" s="260">
        <v>1</v>
      </c>
      <c r="F65" s="260"/>
      <c r="G65" s="260"/>
      <c r="H65" s="260"/>
      <c r="I65" s="49">
        <f>IF(A65&lt;&gt;0,(B65-(B64-D64))/(A65-A64),"")</f>
        <v>13.059999999999999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55</v>
      </c>
      <c r="B66" s="261">
        <v>277.67</v>
      </c>
      <c r="C66" s="261">
        <v>4</v>
      </c>
      <c r="D66" s="261">
        <v>58.24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12.271428571428576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63</v>
      </c>
      <c r="B67" s="261">
        <v>312.58999999999997</v>
      </c>
      <c r="C67" s="261">
        <v>5</v>
      </c>
      <c r="D67" s="261">
        <v>54.21</v>
      </c>
      <c r="E67" s="260">
        <v>1</v>
      </c>
      <c r="F67" s="260"/>
      <c r="G67" s="260"/>
      <c r="H67" s="260"/>
      <c r="I67" s="49">
        <f t="shared" si="2"/>
        <v>11.644999999999996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71</v>
      </c>
      <c r="B68" s="261">
        <v>348.69</v>
      </c>
      <c r="C68" s="261">
        <v>6</v>
      </c>
      <c r="D68" s="261">
        <v>52.07</v>
      </c>
      <c r="E68" s="260">
        <v>1</v>
      </c>
      <c r="F68" s="260"/>
      <c r="G68" s="260"/>
      <c r="H68" s="260"/>
      <c r="I68" s="49">
        <f t="shared" si="2"/>
        <v>11.28875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80</v>
      </c>
      <c r="B69" s="261">
        <v>395.71</v>
      </c>
      <c r="C69" s="261">
        <v>7</v>
      </c>
      <c r="D69" s="261">
        <v>59.57</v>
      </c>
      <c r="E69" s="260">
        <v>1</v>
      </c>
      <c r="F69" s="260"/>
      <c r="G69" s="260"/>
      <c r="H69" s="260"/>
      <c r="I69" s="49">
        <f t="shared" si="2"/>
        <v>11.009999999999998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89</v>
      </c>
      <c r="B70" s="261">
        <v>429.83</v>
      </c>
      <c r="C70" s="261">
        <v>8</v>
      </c>
      <c r="D70" s="261">
        <v>64.5</v>
      </c>
      <c r="E70" s="260">
        <v>1</v>
      </c>
      <c r="F70" s="260"/>
      <c r="G70" s="260"/>
      <c r="H70" s="260"/>
      <c r="I70" s="49">
        <f t="shared" si="2"/>
        <v>10.41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99</v>
      </c>
      <c r="B71" s="261">
        <v>464.8</v>
      </c>
      <c r="C71" s="261">
        <v>9</v>
      </c>
      <c r="D71" s="261">
        <v>62.94</v>
      </c>
      <c r="E71" s="260">
        <v>1</v>
      </c>
      <c r="F71" s="260"/>
      <c r="G71" s="260"/>
      <c r="H71" s="260"/>
      <c r="I71" s="49">
        <f t="shared" si="2"/>
        <v>9.9470000000000027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109</v>
      </c>
      <c r="B72" s="261">
        <v>498.97</v>
      </c>
      <c r="C72" s="261">
        <v>10</v>
      </c>
      <c r="D72" s="261">
        <v>66.959999999999994</v>
      </c>
      <c r="E72" s="260">
        <v>1</v>
      </c>
      <c r="F72" s="260"/>
      <c r="G72" s="260"/>
      <c r="H72" s="260"/>
      <c r="I72" s="49">
        <f t="shared" si="2"/>
        <v>9.7110000000000021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119</v>
      </c>
      <c r="B73" s="261">
        <v>526.04</v>
      </c>
      <c r="C73" s="261">
        <v>11</v>
      </c>
      <c r="D73" s="261">
        <v>196.46</v>
      </c>
      <c r="E73" s="260">
        <v>1</v>
      </c>
      <c r="F73" s="260"/>
      <c r="G73" s="260"/>
      <c r="H73" s="260"/>
      <c r="I73" s="49">
        <f t="shared" si="2"/>
        <v>9.4029999999999916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123</v>
      </c>
      <c r="B74" s="261">
        <v>328.09</v>
      </c>
      <c r="C74" s="261">
        <v>12</v>
      </c>
      <c r="D74" s="261">
        <v>100.6</v>
      </c>
      <c r="E74" s="260">
        <v>1</v>
      </c>
      <c r="F74" s="260"/>
      <c r="G74" s="260"/>
      <c r="H74" s="260"/>
      <c r="I74" s="49">
        <f t="shared" si="2"/>
        <v>-0.37249999999998806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127</v>
      </c>
      <c r="B75" s="261">
        <v>228.28</v>
      </c>
      <c r="C75" s="261">
        <v>13</v>
      </c>
      <c r="D75" s="261">
        <v>65.02</v>
      </c>
      <c r="E75" s="260">
        <v>1</v>
      </c>
      <c r="F75" s="260"/>
      <c r="G75" s="260"/>
      <c r="H75" s="260"/>
      <c r="I75" s="49">
        <f t="shared" si="2"/>
        <v>0.19750000000000512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>
        <v>131</v>
      </c>
      <c r="B76" s="261">
        <v>163.65</v>
      </c>
      <c r="C76" s="261">
        <v>14</v>
      </c>
      <c r="D76" s="261">
        <v>143.84</v>
      </c>
      <c r="E76" s="260">
        <v>1</v>
      </c>
      <c r="F76" s="260"/>
      <c r="G76" s="260"/>
      <c r="H76" s="260"/>
      <c r="I76" s="49">
        <f t="shared" si="2"/>
        <v>9.7500000000003695E-2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pubescent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30</v>
      </c>
      <c r="B88" s="261">
        <v>121.884615</v>
      </c>
      <c r="C88" s="261"/>
      <c r="D88" s="261"/>
      <c r="E88" s="260"/>
      <c r="F88" s="260"/>
      <c r="G88" s="260"/>
      <c r="H88" s="260"/>
      <c r="I88" s="53">
        <f>IFERROR(B88/A88,"")</f>
        <v>4.0628204999999999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35</v>
      </c>
      <c r="B89" s="261">
        <v>201.29</v>
      </c>
      <c r="C89" s="261">
        <v>1</v>
      </c>
      <c r="D89" s="261">
        <v>69.58</v>
      </c>
      <c r="E89" s="260">
        <v>1</v>
      </c>
      <c r="F89" s="260"/>
      <c r="G89" s="260"/>
      <c r="H89" s="260"/>
      <c r="I89" s="53">
        <f t="shared" ref="I89:I107" si="3">IF(A89&lt;&gt;0,(B89-(B88-D88))/(A89-A88),"")</f>
        <v>15.881076999999999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41</v>
      </c>
      <c r="B90" s="261">
        <v>208.88</v>
      </c>
      <c r="C90" s="261">
        <v>2</v>
      </c>
      <c r="D90" s="261">
        <v>47.41</v>
      </c>
      <c r="E90" s="260">
        <v>1</v>
      </c>
      <c r="F90" s="260"/>
      <c r="G90" s="260"/>
      <c r="H90" s="260"/>
      <c r="I90" s="53">
        <f t="shared" si="3"/>
        <v>12.86166666666667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48</v>
      </c>
      <c r="B91" s="261">
        <v>252.89</v>
      </c>
      <c r="C91" s="261">
        <v>3</v>
      </c>
      <c r="D91" s="261">
        <v>61.12</v>
      </c>
      <c r="E91" s="260">
        <v>1</v>
      </c>
      <c r="F91" s="260"/>
      <c r="G91" s="260"/>
      <c r="H91" s="260"/>
      <c r="I91" s="53">
        <f t="shared" si="3"/>
        <v>13.059999999999999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55</v>
      </c>
      <c r="B92" s="261">
        <v>277.67</v>
      </c>
      <c r="C92" s="261">
        <v>4</v>
      </c>
      <c r="D92" s="261">
        <v>58.24</v>
      </c>
      <c r="E92" s="260">
        <v>1</v>
      </c>
      <c r="F92" s="260"/>
      <c r="G92" s="260"/>
      <c r="H92" s="260"/>
      <c r="I92" s="53">
        <f t="shared" si="3"/>
        <v>12.271428571428576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63</v>
      </c>
      <c r="B93" s="261">
        <v>312.58999999999997</v>
      </c>
      <c r="C93" s="261">
        <v>5</v>
      </c>
      <c r="D93" s="261">
        <v>54.21</v>
      </c>
      <c r="E93" s="260">
        <v>1</v>
      </c>
      <c r="F93" s="260"/>
      <c r="G93" s="260"/>
      <c r="H93" s="260"/>
      <c r="I93" s="53">
        <f t="shared" si="3"/>
        <v>11.644999999999996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71</v>
      </c>
      <c r="B94" s="261">
        <v>348.69</v>
      </c>
      <c r="C94" s="261">
        <v>6</v>
      </c>
      <c r="D94" s="261">
        <v>52.07</v>
      </c>
      <c r="E94" s="260">
        <v>1</v>
      </c>
      <c r="F94" s="260"/>
      <c r="G94" s="260"/>
      <c r="H94" s="260"/>
      <c r="I94" s="53">
        <f t="shared" si="3"/>
        <v>11.28875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80</v>
      </c>
      <c r="B95" s="261">
        <v>395.71</v>
      </c>
      <c r="C95" s="261">
        <v>7</v>
      </c>
      <c r="D95" s="261">
        <v>59.57</v>
      </c>
      <c r="E95" s="260">
        <v>1</v>
      </c>
      <c r="F95" s="260"/>
      <c r="G95" s="260"/>
      <c r="H95" s="260"/>
      <c r="I95" s="53">
        <f t="shared" si="3"/>
        <v>11.009999999999998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89</v>
      </c>
      <c r="B96" s="261">
        <v>429.83</v>
      </c>
      <c r="C96" s="261">
        <v>8</v>
      </c>
      <c r="D96" s="261">
        <v>64.5</v>
      </c>
      <c r="E96" s="260">
        <v>1</v>
      </c>
      <c r="F96" s="260"/>
      <c r="G96" s="260"/>
      <c r="H96" s="260"/>
      <c r="I96" s="53">
        <f t="shared" si="3"/>
        <v>10.41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99</v>
      </c>
      <c r="B97" s="261">
        <v>464.8</v>
      </c>
      <c r="C97" s="261">
        <v>9</v>
      </c>
      <c r="D97" s="261">
        <v>62.94</v>
      </c>
      <c r="E97" s="260">
        <v>1</v>
      </c>
      <c r="F97" s="260"/>
      <c r="G97" s="260"/>
      <c r="H97" s="260"/>
      <c r="I97" s="53">
        <f t="shared" si="3"/>
        <v>9.9470000000000027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>
        <v>109</v>
      </c>
      <c r="B98" s="261">
        <v>498.97</v>
      </c>
      <c r="C98" s="261">
        <v>10</v>
      </c>
      <c r="D98" s="261">
        <v>66.959999999999994</v>
      </c>
      <c r="E98" s="260">
        <v>1</v>
      </c>
      <c r="F98" s="260"/>
      <c r="G98" s="260"/>
      <c r="H98" s="260"/>
      <c r="I98" s="53">
        <f t="shared" si="3"/>
        <v>9.7110000000000021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>
        <v>119</v>
      </c>
      <c r="B99" s="261">
        <v>526.04</v>
      </c>
      <c r="C99" s="261">
        <v>11</v>
      </c>
      <c r="D99" s="261">
        <v>196.46</v>
      </c>
      <c r="E99" s="260">
        <v>1</v>
      </c>
      <c r="F99" s="260"/>
      <c r="G99" s="260"/>
      <c r="H99" s="260"/>
      <c r="I99" s="53">
        <f t="shared" si="3"/>
        <v>9.4029999999999916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>
        <v>123</v>
      </c>
      <c r="B100" s="261">
        <v>328.09</v>
      </c>
      <c r="C100" s="261">
        <v>12</v>
      </c>
      <c r="D100" s="261">
        <v>100.6</v>
      </c>
      <c r="E100" s="260">
        <v>1</v>
      </c>
      <c r="F100" s="260"/>
      <c r="G100" s="260"/>
      <c r="H100" s="260"/>
      <c r="I100" s="53">
        <f t="shared" si="3"/>
        <v>-0.37249999999998806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>
        <v>127</v>
      </c>
      <c r="B101" s="261">
        <v>228.28</v>
      </c>
      <c r="C101" s="261">
        <v>13</v>
      </c>
      <c r="D101" s="261">
        <v>65.02</v>
      </c>
      <c r="E101" s="260">
        <v>1</v>
      </c>
      <c r="F101" s="260"/>
      <c r="G101" s="260"/>
      <c r="H101" s="260"/>
      <c r="I101" s="53">
        <f t="shared" si="3"/>
        <v>0.19750000000000512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>
        <v>131</v>
      </c>
      <c r="B102" s="261">
        <v>163.65</v>
      </c>
      <c r="C102" s="261">
        <v>14</v>
      </c>
      <c r="D102" s="261">
        <v>143.84</v>
      </c>
      <c r="E102" s="260">
        <v>1</v>
      </c>
      <c r="F102" s="260"/>
      <c r="G102" s="260"/>
      <c r="H102" s="260"/>
      <c r="I102" s="53">
        <f t="shared" si="3"/>
        <v>9.7500000000003695E-2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3" zoomScale="115" zoomScaleNormal="115" workbookViewId="0">
      <selection activeCell="E28" sqref="E28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laricio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 sessile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Chêne pubescent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481.17250315093412</v>
      </c>
      <c r="T3" s="59">
        <f>IF('Données projet'!E9&gt;30,$R$33-$H$33,LOOKUP('Données projet'!$E$9,$A$3:$A$203,R3:R203)-LOOKUP('Données projet'!$E$9,$A$3:$A$203,$H$3:$H$203))</f>
        <v>413.48123190206832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426.34811677569007</v>
      </c>
      <c r="AO3" s="59">
        <f>IF('Données projet'!E10&gt;30,$AM$33-$H$33,LOOKUP('Données projet'!$E$10,$A$3:$A$203,AM3:AM203)-LOOKUP('Données projet'!$E$10,$A$3:$A$203,$H$3:$H$203))</f>
        <v>209.65223938402107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485.01379841128346</v>
      </c>
      <c r="BJ3" s="59">
        <f>IF('Données projet'!E11&gt;30,$BH$33-$H$33,LOOKUP('Données projet'!$E$11,$A$3:$A$203,BH3:BH203)-LOOKUP('Données projet'!$E$11,$A$3:$A$203,$H$3:$H$203))</f>
        <v>238.25679915866897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">
        <f>IFERROR(EXP(-1.0587+0.8836*LN(C4)+0.284),0)</f>
        <v>0.24137676049677712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6">
        <f t="shared" ref="H4:H67" si="1">(B4+E4+F4)*44/12+(C4+D4)*0.475*44/12</f>
        <v>294.5914728578652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8.6</v>
      </c>
      <c r="N4" s="13">
        <f>IF('Données projet'!$A$36&gt;35,N3+M4-V3,IF(A4&lt;'Données projet'!$A$36,$K$205^A4,IF(A4='Données projet'!$A$36,'Données projet'!$B$36,N3+M4-V3)))</f>
        <v>1.3826300153206645</v>
      </c>
      <c r="O4" s="13">
        <f>N4*VLOOKUP('Données projet'!$B$9,Paramètres!$A$1:$I$89,3,0)*VLOOKUP('Données projet'!$B$9,Paramètres!$A$1:$I$89,5,0)</f>
        <v>0.82681274916175751</v>
      </c>
      <c r="P4" s="13">
        <f>EXP(-1.0587+0.8836*LN(O4)+0.284)</f>
        <v>0.38955881454640179</v>
      </c>
      <c r="Q4" s="20">
        <f t="shared" ref="Q4:Q34" si="2">(O4+P4)*0.475*44/12</f>
        <v>2.1185138067917109</v>
      </c>
      <c r="R4" s="59">
        <f t="shared" si="0"/>
        <v>295.45184714012504</v>
      </c>
      <c r="S4" s="59">
        <f ca="1">AVERAGE(OFFSET($R$3,0,0,'Données projet'!$E$9+1,1))-AVERAGE(OFFSET($H$3,0,0,'Données projet'!$E$9+1,1))</f>
        <v>481.17250315093412</v>
      </c>
      <c r="T4" s="59">
        <f>$T$3</f>
        <v>413.48123190206832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4.0628204999999999</v>
      </c>
      <c r="AI4" s="13">
        <f>IF('Données projet'!$A$62&gt;35,AI3+AH4-AQ3,IF(A4&lt;'Données projet'!$A$62,$AF$205^A4,IF(A4='Données projet'!$A$62,'Données projet'!$B$62,AI3+AH4-AQ3)))</f>
        <v>1.1736311549209708</v>
      </c>
      <c r="AJ4" s="13">
        <f>AI4*VLOOKUP('Données projet'!$B$10,Paramètres!$A$1:$I$89,3,0)*VLOOKUP('Données projet'!$B$10,Paramètres!$A$1:$I$89,5,0)</f>
        <v>1.0619014689724944</v>
      </c>
      <c r="AK4" s="13">
        <f>EXP(-1.0587+0.8836*LN(AJ4)+0.284)</f>
        <v>0.48595950728374193</v>
      </c>
      <c r="AL4" s="20">
        <f t="shared" ref="AL4:AL67" si="4">(AJ4+AK4)*0.475*44/12</f>
        <v>2.6958578669796118</v>
      </c>
      <c r="AM4" s="59">
        <f t="shared" ref="AM4:AM67" si="5">AL4+(AD4+AE4)*44/12</f>
        <v>296.02919120031294</v>
      </c>
      <c r="AN4" s="59">
        <f ca="1">AVERAGE(OFFSET($AM$3,0,0,'Données projet'!$E$10+1,1))-AVERAGE(OFFSET($H$3,0,0,'Données projet'!$E$10+1,1))</f>
        <v>426.34811677569007</v>
      </c>
      <c r="AO4" s="59">
        <f>$AO$3</f>
        <v>209.65223938402107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4.0628204999999999</v>
      </c>
      <c r="BD4" s="12">
        <f>IF('Données projet'!$A$88&gt;35,BD3+BC4-BL3,IF(A4&lt;'Données projet'!$A$88,$BA$205^A4,IF(A4='Données projet'!$A$88,'Données projet'!$B$88,BD3+BC4-BL3)))</f>
        <v>1.1736311549209708</v>
      </c>
      <c r="BE4" s="13">
        <f>BD4*VLOOKUP('Données projet'!$B$11,Paramètres!$A$1:$I$89,3,0)*VLOOKUP('Données projet'!$B$11,Paramètres!$A$1:$I$89,5,0)</f>
        <v>1.1900619910898644</v>
      </c>
      <c r="BF4" s="13">
        <f>EXP(-1.0587+0.8836*LN(BE4)+0.284)</f>
        <v>0.53743426220300794</v>
      </c>
      <c r="BG4" s="20">
        <f t="shared" ref="BG4:BG67" si="7">(BE4+BF4)*0.475*44/12</f>
        <v>3.0087226411517527</v>
      </c>
      <c r="BH4" s="59">
        <f t="shared" ref="BH4:BH67" si="8">BG4+(AY4+AZ4)*44/12</f>
        <v>296.34205597448505</v>
      </c>
      <c r="BI4" s="59">
        <f ca="1">AVERAGE(OFFSET($BH$3,0,0,'Données projet'!$E$11+1,1))-AVERAGE(OFFSET($H$3,0,0,'Données projet'!$E$11+1,1))</f>
        <v>485.01379841128346</v>
      </c>
      <c r="BJ4" s="59">
        <f>$BJ$3</f>
        <v>238.25679915866897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">
        <f t="shared" ref="D5:D68" si="32">IFERROR(EXP(-1.0587+0.8836*LN(C5)+0.284),0)</f>
        <v>0.4453336974617329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6">
        <f t="shared" si="1"/>
        <v>295.78443952307919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8.6</v>
      </c>
      <c r="N5" s="13">
        <f>IF('Données projet'!$A$36&gt;35,N4+M5-V4,IF(A5&lt;'Données projet'!$A$36,$K$205^A5,IF(A5='Données projet'!$A$36,'Données projet'!$B$36,N4+M5-V4)))</f>
        <v>1.911665759265621</v>
      </c>
      <c r="O5" s="13">
        <f>N5*VLOOKUP('Données projet'!$B$9,Paramètres!$A$1:$I$89,3,0)*VLOOKUP('Données projet'!$B$9,Paramètres!$A$1:$I$89,5,0)</f>
        <v>1.1431761240408413</v>
      </c>
      <c r="P5" s="13">
        <f t="shared" ref="P5:P68" si="33">EXP(-1.0587+0.8836*LN(O5)+0.284)</f>
        <v>0.51868159790831159</v>
      </c>
      <c r="Q5" s="20">
        <f t="shared" si="2"/>
        <v>2.894402199061441</v>
      </c>
      <c r="R5" s="59">
        <f t="shared" si="0"/>
        <v>296.22773553239477</v>
      </c>
      <c r="S5" s="59">
        <f ca="1">AVERAGE(OFFSET($R$3,0,0,'Données projet'!$E$9+1,1))-AVERAGE(OFFSET($H$3,0,0,'Données projet'!$E$9+1,1))</f>
        <v>481.17250315093412</v>
      </c>
      <c r="T5" s="59">
        <f t="shared" ref="T5:T68" si="34">$T$3</f>
        <v>413.48123190206832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4.0628204999999999</v>
      </c>
      <c r="AI5" s="13">
        <f>IF('Données projet'!$A$62&gt;35,AI4+AH5-AQ4,IF(A5&lt;'Données projet'!$A$62,$AF$205^A5,IF(A5='Données projet'!$A$62,'Données projet'!$B$62,AI4+AH5-AQ4)))</f>
        <v>1.3774100878011317</v>
      </c>
      <c r="AJ5" s="13">
        <f>AI5*VLOOKUP('Données projet'!$B$10,Paramètres!$A$1:$I$89,3,0)*VLOOKUP('Données projet'!$B$10,Paramètres!$A$1:$I$89,5,0)</f>
        <v>1.2462806474424639</v>
      </c>
      <c r="AK5" s="13">
        <f t="shared" ref="AK5:AK68" si="35">EXP(-1.0587+0.8836*LN(AJ5)+0.284)</f>
        <v>0.55980687923211681</v>
      </c>
      <c r="AL5" s="20">
        <f t="shared" si="4"/>
        <v>3.1456024422915614</v>
      </c>
      <c r="AM5" s="59">
        <f t="shared" si="5"/>
        <v>296.47893577562485</v>
      </c>
      <c r="AN5" s="59">
        <f ca="1">AVERAGE(OFFSET($AM$3,0,0,'Données projet'!$E$10+1,1))-AVERAGE(OFFSET($H$3,0,0,'Données projet'!$E$10+1,1))</f>
        <v>426.34811677569007</v>
      </c>
      <c r="AO5" s="59">
        <f t="shared" ref="AO5:AO68" si="36">$AO$3</f>
        <v>209.65223938402107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4.0628204999999999</v>
      </c>
      <c r="BD5" s="12">
        <f>IF('Données projet'!$A$88&gt;35,BD4+BC5-BL4,IF(A5&lt;'Données projet'!$A$88,$BA$205^A5,IF(A5='Données projet'!$A$88,'Données projet'!$B$88,BD4+BC5-BL4)))</f>
        <v>1.3774100878011317</v>
      </c>
      <c r="BE5" s="13">
        <f>BD5*VLOOKUP('Données projet'!$B$11,Paramètres!$A$1:$I$89,3,0)*VLOOKUP('Données projet'!$B$11,Paramètres!$A$1:$I$89,5,0)</f>
        <v>1.3966938290303477</v>
      </c>
      <c r="BF5" s="13">
        <f t="shared" ref="BF5:BF68" si="37">EXP(-1.0587+0.8836*LN(BE5)+0.284)</f>
        <v>0.61910384014900122</v>
      </c>
      <c r="BG5" s="20">
        <f t="shared" si="7"/>
        <v>3.5108476071540324</v>
      </c>
      <c r="BH5" s="59">
        <f t="shared" si="8"/>
        <v>296.84418094048732</v>
      </c>
      <c r="BI5" s="59">
        <f ca="1">AVERAGE(OFFSET($BH$3,0,0,'Données projet'!$E$11+1,1))-AVERAGE(OFFSET($H$3,0,0,'Données projet'!$E$11+1,1))</f>
        <v>485.01379841128346</v>
      </c>
      <c r="BJ5" s="59">
        <f t="shared" ref="BJ5:BJ68" si="38">$BJ$3</f>
        <v>238.25679915866897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">
        <f t="shared" si="32"/>
        <v>0.63720590978354918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6">
        <f t="shared" si="1"/>
        <v>296.95635862620634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8.6</v>
      </c>
      <c r="N6" s="13">
        <f>IF('Données projet'!$A$36&gt;35,N5+M6-V5,IF(A6&lt;'Données projet'!$A$36,$K$205^A6,IF(A6='Données projet'!$A$36,'Données projet'!$B$36,N5+M6-V5)))</f>
        <v>2.6431264580214155</v>
      </c>
      <c r="O6" s="13">
        <f>N6*VLOOKUP('Données projet'!$B$9,Paramètres!$A$1:$I$89,3,0)*VLOOKUP('Données projet'!$B$9,Paramètres!$A$1:$I$89,5,0)</f>
        <v>1.5805896218968065</v>
      </c>
      <c r="P6" s="13">
        <f t="shared" si="33"/>
        <v>0.69060329265550291</v>
      </c>
      <c r="Q6" s="20">
        <f t="shared" si="2"/>
        <v>3.9556609928452722</v>
      </c>
      <c r="R6" s="59">
        <f t="shared" si="0"/>
        <v>297.28899432617857</v>
      </c>
      <c r="S6" s="59">
        <f ca="1">AVERAGE(OFFSET($R$3,0,0,'Données projet'!$E$9+1,1))-AVERAGE(OFFSET($H$3,0,0,'Données projet'!$E$9+1,1))</f>
        <v>481.17250315093412</v>
      </c>
      <c r="T6" s="59">
        <f t="shared" si="34"/>
        <v>413.48123190206832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4.0628204999999999</v>
      </c>
      <c r="AI6" s="13">
        <f>IF('Données projet'!$A$62&gt;35,AI5+AH6-AQ5,IF(A6&lt;'Données projet'!$A$62,$AF$205^A6,IF(A6='Données projet'!$A$62,'Données projet'!$B$62,AI5+AH6-AQ5)))</f>
        <v>1.616571392145838</v>
      </c>
      <c r="AJ6" s="13">
        <f>AI6*VLOOKUP('Données projet'!$B$10,Paramètres!$A$1:$I$89,3,0)*VLOOKUP('Données projet'!$B$10,Paramètres!$A$1:$I$89,5,0)</f>
        <v>1.462673795613554</v>
      </c>
      <c r="AK6" s="13">
        <f t="shared" si="35"/>
        <v>0.64487624449874881</v>
      </c>
      <c r="AL6" s="20">
        <f t="shared" si="4"/>
        <v>3.6706496531955941</v>
      </c>
      <c r="AM6" s="59">
        <f t="shared" si="5"/>
        <v>297.00398298652891</v>
      </c>
      <c r="AN6" s="59">
        <f ca="1">AVERAGE(OFFSET($AM$3,0,0,'Données projet'!$E$10+1,1))-AVERAGE(OFFSET($H$3,0,0,'Données projet'!$E$10+1,1))</f>
        <v>426.34811677569007</v>
      </c>
      <c r="AO6" s="59">
        <f t="shared" si="36"/>
        <v>209.65223938402107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4.0628204999999999</v>
      </c>
      <c r="BD6" s="12">
        <f>IF('Données projet'!$A$88&gt;35,BD5+BC6-BL5,IF(A6&lt;'Données projet'!$A$88,$BA$205^A6,IF(A6='Données projet'!$A$88,'Données projet'!$B$88,BD5+BC6-BL5)))</f>
        <v>1.616571392145838</v>
      </c>
      <c r="BE6" s="13">
        <f>BD6*VLOOKUP('Données projet'!$B$11,Paramètres!$A$1:$I$89,3,0)*VLOOKUP('Données projet'!$B$11,Paramètres!$A$1:$I$89,5,0)</f>
        <v>1.6392033916358797</v>
      </c>
      <c r="BF6" s="13">
        <f t="shared" si="37"/>
        <v>0.71318408937325595</v>
      </c>
      <c r="BG6" s="20">
        <f t="shared" si="7"/>
        <v>4.0970748627575784</v>
      </c>
      <c r="BH6" s="59">
        <f t="shared" si="8"/>
        <v>297.43040819609087</v>
      </c>
      <c r="BI6" s="59">
        <f ca="1">AVERAGE(OFFSET($BH$3,0,0,'Données projet'!$E$11+1,1))-AVERAGE(OFFSET($H$3,0,0,'Données projet'!$E$11+1,1))</f>
        <v>485.01379841128346</v>
      </c>
      <c r="BJ6" s="59">
        <f t="shared" si="38"/>
        <v>238.25679915866897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">
        <f t="shared" si="32"/>
        <v>0.82162881665480925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6">
        <f t="shared" si="1"/>
        <v>298.11530352234041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8.6</v>
      </c>
      <c r="N7" s="13">
        <f>IF('Données projet'!$A$36&gt;35,N6+M7-V6,IF(A7&lt;'Données projet'!$A$36,$K$205^A7,IF(A7='Données projet'!$A$36,'Données projet'!$B$36,N6+M7-V6)))</f>
        <v>3.6544659751486033</v>
      </c>
      <c r="O7" s="13">
        <f>N7*VLOOKUP('Données projet'!$B$9,Paramètres!$A$1:$I$89,3,0)*VLOOKUP('Données projet'!$B$9,Paramètres!$A$1:$I$89,5,0)</f>
        <v>2.185370653138865</v>
      </c>
      <c r="P7" s="13">
        <f t="shared" si="33"/>
        <v>0.9195099840633455</v>
      </c>
      <c r="Q7" s="20">
        <f t="shared" si="2"/>
        <v>5.4076671097938496</v>
      </c>
      <c r="R7" s="59">
        <f t="shared" si="0"/>
        <v>298.74100044312718</v>
      </c>
      <c r="S7" s="59">
        <f ca="1">AVERAGE(OFFSET($R$3,0,0,'Données projet'!$E$9+1,1))-AVERAGE(OFFSET($H$3,0,0,'Données projet'!$E$9+1,1))</f>
        <v>481.17250315093412</v>
      </c>
      <c r="T7" s="59">
        <f t="shared" si="34"/>
        <v>413.48123190206832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4.0628204999999999</v>
      </c>
      <c r="AI7" s="13">
        <f>IF('Données projet'!$A$62&gt;35,AI6+AH7-AQ6,IF(A7&lt;'Données projet'!$A$62,$AF$205^A7,IF(A7='Données projet'!$A$62,'Données projet'!$B$62,AI6+AH7-AQ6)))</f>
        <v>1.8972585499763215</v>
      </c>
      <c r="AJ7" s="13">
        <f>AI7*VLOOKUP('Données projet'!$B$10,Paramètres!$A$1:$I$89,3,0)*VLOOKUP('Données projet'!$B$10,Paramètres!$A$1:$I$89,5,0)</f>
        <v>1.7166395360185756</v>
      </c>
      <c r="AK7" s="13">
        <f t="shared" si="35"/>
        <v>0.74287291947760559</v>
      </c>
      <c r="AL7" s="20">
        <f t="shared" si="4"/>
        <v>4.2836508599891818</v>
      </c>
      <c r="AM7" s="59">
        <f t="shared" si="5"/>
        <v>297.61698419332248</v>
      </c>
      <c r="AN7" s="59">
        <f ca="1">AVERAGE(OFFSET($AM$3,0,0,'Données projet'!$E$10+1,1))-AVERAGE(OFFSET($H$3,0,0,'Données projet'!$E$10+1,1))</f>
        <v>426.34811677569007</v>
      </c>
      <c r="AO7" s="59">
        <f t="shared" si="36"/>
        <v>209.65223938402107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4.0628204999999999</v>
      </c>
      <c r="BD7" s="12">
        <f>IF('Données projet'!$A$88&gt;35,BD6+BC7-BL6,IF(A7&lt;'Données projet'!$A$88,$BA$205^A7,IF(A7='Données projet'!$A$88,'Données projet'!$B$88,BD6+BC7-BL6)))</f>
        <v>1.8972585499763215</v>
      </c>
      <c r="BE7" s="13">
        <f>BD7*VLOOKUP('Données projet'!$B$11,Paramètres!$A$1:$I$89,3,0)*VLOOKUP('Données projet'!$B$11,Paramètres!$A$1:$I$89,5,0)</f>
        <v>1.92382016967599</v>
      </c>
      <c r="BF7" s="13">
        <f t="shared" si="37"/>
        <v>0.82156096013351643</v>
      </c>
      <c r="BG7" s="20">
        <f t="shared" si="7"/>
        <v>4.7815388010848903</v>
      </c>
      <c r="BH7" s="59">
        <f t="shared" si="8"/>
        <v>298.11487213441819</v>
      </c>
      <c r="BI7" s="59">
        <f ca="1">AVERAGE(OFFSET($BH$3,0,0,'Données projet'!$E$11+1,1))-AVERAGE(OFFSET($H$3,0,0,'Données projet'!$E$11+1,1))</f>
        <v>485.01379841128346</v>
      </c>
      <c r="BJ7" s="59">
        <f t="shared" si="38"/>
        <v>238.25679915866897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">
        <f t="shared" si="32"/>
        <v>1.0007033420126812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6">
        <f t="shared" si="1"/>
        <v>299.26493332067207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8.6</v>
      </c>
      <c r="N8" s="13">
        <f>IF('Données projet'!$A$36&gt;35,N7+M8-V7,IF(A8&lt;'Données projet'!$A$36,$K$205^A8,IF(A8='Données projet'!$A$36,'Données projet'!$B$36,N7+M8-V7)))</f>
        <v>5.0527743472085609</v>
      </c>
      <c r="O8" s="13">
        <f>N8*VLOOKUP('Données projet'!$B$9,Paramètres!$A$1:$I$89,3,0)*VLOOKUP('Données projet'!$B$9,Paramètres!$A$1:$I$89,5,0)</f>
        <v>3.0215590596307198</v>
      </c>
      <c r="P8" s="13">
        <f t="shared" si="33"/>
        <v>1.2242898633469712</v>
      </c>
      <c r="Q8" s="20">
        <f t="shared" si="2"/>
        <v>7.3948535408528118</v>
      </c>
      <c r="R8" s="59">
        <f t="shared" si="0"/>
        <v>300.72818687418612</v>
      </c>
      <c r="S8" s="59">
        <f ca="1">AVERAGE(OFFSET($R$3,0,0,'Données projet'!$E$9+1,1))-AVERAGE(OFFSET($H$3,0,0,'Données projet'!$E$9+1,1))</f>
        <v>481.17250315093412</v>
      </c>
      <c r="T8" s="59">
        <f t="shared" si="34"/>
        <v>413.48123190206832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4.0628204999999999</v>
      </c>
      <c r="AI8" s="13">
        <f>IF('Données projet'!$A$62&gt;35,AI7+AH8-AQ7,IF(A8&lt;'Données projet'!$A$62,$AF$205^A8,IF(A8='Données projet'!$A$62,'Données projet'!$B$62,AI7+AH8-AQ7)))</f>
        <v>2.2266817431923966</v>
      </c>
      <c r="AJ8" s="13">
        <f>AI8*VLOOKUP('Données projet'!$B$10,Paramètres!$A$1:$I$89,3,0)*VLOOKUP('Données projet'!$B$10,Paramètres!$A$1:$I$89,5,0)</f>
        <v>2.0147016412404803</v>
      </c>
      <c r="AK8" s="13">
        <f t="shared" si="35"/>
        <v>0.8557613638290128</v>
      </c>
      <c r="AL8" s="20">
        <f t="shared" si="4"/>
        <v>4.9993897338293678</v>
      </c>
      <c r="AM8" s="59">
        <f t="shared" si="5"/>
        <v>298.3327230671627</v>
      </c>
      <c r="AN8" s="59">
        <f ca="1">AVERAGE(OFFSET($AM$3,0,0,'Données projet'!$E$10+1,1))-AVERAGE(OFFSET($H$3,0,0,'Données projet'!$E$10+1,1))</f>
        <v>426.34811677569007</v>
      </c>
      <c r="AO8" s="59">
        <f t="shared" si="36"/>
        <v>209.65223938402107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4.0628204999999999</v>
      </c>
      <c r="BD8" s="12">
        <f>IF('Données projet'!$A$88&gt;35,BD7+BC8-BL7,IF(A8&lt;'Données projet'!$A$88,$BA$205^A8,IF(A8='Données projet'!$A$88,'Données projet'!$B$88,BD7+BC8-BL7)))</f>
        <v>2.2266817431923966</v>
      </c>
      <c r="BE8" s="13">
        <f>BD8*VLOOKUP('Données projet'!$B$11,Paramètres!$A$1:$I$89,3,0)*VLOOKUP('Données projet'!$B$11,Paramètres!$A$1:$I$89,5,0)</f>
        <v>2.2578552875970903</v>
      </c>
      <c r="BF8" s="13">
        <f t="shared" si="37"/>
        <v>0.94640699543460138</v>
      </c>
      <c r="BG8" s="20">
        <f t="shared" si="7"/>
        <v>5.5807568096135292</v>
      </c>
      <c r="BH8" s="59">
        <f t="shared" si="8"/>
        <v>298.91409014294686</v>
      </c>
      <c r="BI8" s="59">
        <f ca="1">AVERAGE(OFFSET($BH$3,0,0,'Données projet'!$E$11+1,1))-AVERAGE(OFFSET($H$3,0,0,'Données projet'!$E$11+1,1))</f>
        <v>485.01379841128346</v>
      </c>
      <c r="BJ8" s="59">
        <f t="shared" si="38"/>
        <v>238.25679915866897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">
        <f t="shared" si="32"/>
        <v>1.1756279405869494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6">
        <f t="shared" si="1"/>
        <v>300.40733532985558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8.6</v>
      </c>
      <c r="N9" s="13">
        <f>IF('Données projet'!$A$36&gt;35,N8+M9-V8,IF(A9&lt;'Données projet'!$A$36,$K$205^A9,IF(A9='Données projet'!$A$36,'Données projet'!$B$36,N8+M9-V8)))</f>
        <v>6.9861174730928326</v>
      </c>
      <c r="O9" s="13">
        <f>N9*VLOOKUP('Données projet'!$B$9,Paramètres!$A$1:$I$89,3,0)*VLOOKUP('Données projet'!$B$9,Paramètres!$A$1:$I$89,5,0)</f>
        <v>4.1776982489095138</v>
      </c>
      <c r="P9" s="13">
        <f t="shared" si="33"/>
        <v>1.6300917830935544</v>
      </c>
      <c r="Q9" s="20">
        <f t="shared" si="2"/>
        <v>10.115234305738676</v>
      </c>
      <c r="R9" s="59">
        <f t="shared" si="0"/>
        <v>303.448567639072</v>
      </c>
      <c r="S9" s="59">
        <f ca="1">AVERAGE(OFFSET($R$3,0,0,'Données projet'!$E$9+1,1))-AVERAGE(OFFSET($H$3,0,0,'Données projet'!$E$9+1,1))</f>
        <v>481.17250315093412</v>
      </c>
      <c r="T9" s="59">
        <f t="shared" si="34"/>
        <v>413.48123190206832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4.0628204999999999</v>
      </c>
      <c r="AI9" s="13">
        <f>IF('Données projet'!$A$62&gt;35,AI8+AH9-AQ8,IF(A9&lt;'Données projet'!$A$62,$AF$205^A9,IF(A9='Données projet'!$A$62,'Données projet'!$B$62,AI8+AH9-AQ8)))</f>
        <v>2.6133030659043328</v>
      </c>
      <c r="AJ9" s="13">
        <f>AI9*VLOOKUP('Données projet'!$B$10,Paramètres!$A$1:$I$89,3,0)*VLOOKUP('Données projet'!$B$10,Paramètres!$A$1:$I$89,5,0)</f>
        <v>2.3645166140302405</v>
      </c>
      <c r="AK9" s="13">
        <f t="shared" si="35"/>
        <v>0.98580456040512388</v>
      </c>
      <c r="AL9" s="20">
        <f t="shared" si="4"/>
        <v>5.8351427121415931</v>
      </c>
      <c r="AM9" s="59">
        <f t="shared" si="5"/>
        <v>299.1684760454749</v>
      </c>
      <c r="AN9" s="59">
        <f ca="1">AVERAGE(OFFSET($AM$3,0,0,'Données projet'!$E$10+1,1))-AVERAGE(OFFSET($H$3,0,0,'Données projet'!$E$10+1,1))</f>
        <v>426.34811677569007</v>
      </c>
      <c r="AO9" s="59">
        <f t="shared" si="36"/>
        <v>209.65223938402107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4.0628204999999999</v>
      </c>
      <c r="BD9" s="12">
        <f>IF('Données projet'!$A$88&gt;35,BD8+BC9-BL8,IF(A9&lt;'Données projet'!$A$88,$BA$205^A9,IF(A9='Données projet'!$A$88,'Données projet'!$B$88,BD8+BC9-BL8)))</f>
        <v>2.6133030659043328</v>
      </c>
      <c r="BE9" s="13">
        <f>BD9*VLOOKUP('Données projet'!$B$11,Paramètres!$A$1:$I$89,3,0)*VLOOKUP('Données projet'!$B$11,Paramètres!$A$1:$I$89,5,0)</f>
        <v>2.6498893088269937</v>
      </c>
      <c r="BF9" s="13">
        <f t="shared" si="37"/>
        <v>1.0902248822314857</v>
      </c>
      <c r="BG9" s="20">
        <f t="shared" si="7"/>
        <v>6.5140322160935185</v>
      </c>
      <c r="BH9" s="59">
        <f t="shared" si="8"/>
        <v>299.84736554942685</v>
      </c>
      <c r="BI9" s="59">
        <f ca="1">AVERAGE(OFFSET($BH$3,0,0,'Données projet'!$E$11+1,1))-AVERAGE(OFFSET($H$3,0,0,'Données projet'!$E$11+1,1))</f>
        <v>485.01379841128346</v>
      </c>
      <c r="BJ9" s="59">
        <f t="shared" si="38"/>
        <v>238.25679915866897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">
        <f t="shared" si="32"/>
        <v>1.3471752098029792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6">
        <f t="shared" si="1"/>
        <v>301.54385515707349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8.6</v>
      </c>
      <c r="N10" s="13">
        <f>IF('Données projet'!$A$36&gt;35,N9+M10-V9,IF(A10&lt;'Données projet'!$A$36,$K$205^A10,IF(A10='Données projet'!$A$36,'Données projet'!$B$36,N9+M10-V9)))</f>
        <v>9.6592157088543065</v>
      </c>
      <c r="O10" s="13">
        <f>N10*VLOOKUP('Données projet'!$B$9,Paramètres!$A$1:$I$89,3,0)*VLOOKUP('Données projet'!$B$9,Paramètres!$A$1:$I$89,5,0)</f>
        <v>5.7762109938948756</v>
      </c>
      <c r="P10" s="13">
        <f t="shared" si="33"/>
        <v>2.1704004099526384</v>
      </c>
      <c r="Q10" s="20">
        <f t="shared" si="2"/>
        <v>13.840348195034421</v>
      </c>
      <c r="R10" s="59">
        <f t="shared" si="0"/>
        <v>307.17368152836775</v>
      </c>
      <c r="S10" s="59">
        <f ca="1">AVERAGE(OFFSET($R$3,0,0,'Données projet'!$E$9+1,1))-AVERAGE(OFFSET($H$3,0,0,'Données projet'!$E$9+1,1))</f>
        <v>481.17250315093412</v>
      </c>
      <c r="T10" s="59">
        <f t="shared" si="34"/>
        <v>413.48123190206832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4.0628204999999999</v>
      </c>
      <c r="AI10" s="13">
        <f>IF('Données projet'!$A$62&gt;35,AI9+AH10-AQ9,IF(A10&lt;'Données projet'!$A$62,$AF$205^A10,IF(A10='Données projet'!$A$62,'Données projet'!$B$62,AI9+AH10-AQ9)))</f>
        <v>3.0670538953958162</v>
      </c>
      <c r="AJ10" s="13">
        <f>AI10*VLOOKUP('Données projet'!$B$10,Paramètres!$A$1:$I$89,3,0)*VLOOKUP('Données projet'!$B$10,Paramètres!$A$1:$I$89,5,0)</f>
        <v>2.7750703645541344</v>
      </c>
      <c r="AK10" s="13">
        <f t="shared" si="35"/>
        <v>1.1356093794270832</v>
      </c>
      <c r="AL10" s="20">
        <f t="shared" si="4"/>
        <v>6.8111005541006202</v>
      </c>
      <c r="AM10" s="59">
        <f t="shared" si="5"/>
        <v>300.14443388743393</v>
      </c>
      <c r="AN10" s="59">
        <f ca="1">AVERAGE(OFFSET($AM$3,0,0,'Données projet'!$E$10+1,1))-AVERAGE(OFFSET($H$3,0,0,'Données projet'!$E$10+1,1))</f>
        <v>426.34811677569007</v>
      </c>
      <c r="AO10" s="59">
        <f t="shared" si="36"/>
        <v>209.65223938402107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4.0628204999999999</v>
      </c>
      <c r="BD10" s="12">
        <f>IF('Données projet'!$A$88&gt;35,BD9+BC10-BL9,IF(A10&lt;'Données projet'!$A$88,$BA$205^A10,IF(A10='Données projet'!$A$88,'Données projet'!$B$88,BD9+BC10-BL9)))</f>
        <v>3.0670538953958162</v>
      </c>
      <c r="BE10" s="13">
        <f>BD10*VLOOKUP('Données projet'!$B$11,Paramètres!$A$1:$I$89,3,0)*VLOOKUP('Données projet'!$B$11,Paramètres!$A$1:$I$89,5,0)</f>
        <v>3.1099926499313577</v>
      </c>
      <c r="BF10" s="13">
        <f t="shared" si="37"/>
        <v>1.2558976207597057</v>
      </c>
      <c r="BG10" s="20">
        <f t="shared" si="7"/>
        <v>7.603925554786934</v>
      </c>
      <c r="BH10" s="59">
        <f t="shared" si="8"/>
        <v>300.93725888812025</v>
      </c>
      <c r="BI10" s="59">
        <f ca="1">AVERAGE(OFFSET($BH$3,0,0,'Données projet'!$E$11+1,1))-AVERAGE(OFFSET($H$3,0,0,'Données projet'!$E$11+1,1))</f>
        <v>485.01379841128346</v>
      </c>
      <c r="BJ10" s="59">
        <f t="shared" si="38"/>
        <v>238.25679915866897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">
        <f t="shared" si="32"/>
        <v>1.5158832942696652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6">
        <f t="shared" si="1"/>
        <v>302.675430070853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8.6</v>
      </c>
      <c r="N11" s="13">
        <f>IF('Données projet'!$A$36&gt;35,N10+M11-V10,IF(A11&lt;'Données projet'!$A$36,$K$205^A11,IF(A11='Données projet'!$A$36,'Données projet'!$B$36,N10+M11-V10)))</f>
        <v>13.355121563518832</v>
      </c>
      <c r="O11" s="13">
        <f>N11*VLOOKUP('Données projet'!$B$9,Paramètres!$A$1:$I$89,3,0)*VLOOKUP('Données projet'!$B$9,Paramètres!$A$1:$I$89,5,0)</f>
        <v>7.9863626949842619</v>
      </c>
      <c r="P11" s="13">
        <f t="shared" si="33"/>
        <v>2.8897992054059851</v>
      </c>
      <c r="Q11" s="20">
        <f t="shared" si="2"/>
        <v>18.94264864317968</v>
      </c>
      <c r="R11" s="59">
        <f t="shared" si="0"/>
        <v>312.27598197651298</v>
      </c>
      <c r="S11" s="59">
        <f ca="1">AVERAGE(OFFSET($R$3,0,0,'Données projet'!$E$9+1,1))-AVERAGE(OFFSET($H$3,0,0,'Données projet'!$E$9+1,1))</f>
        <v>481.17250315093412</v>
      </c>
      <c r="T11" s="59">
        <f t="shared" si="34"/>
        <v>413.48123190206832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4.0628204999999999</v>
      </c>
      <c r="AI11" s="13">
        <f>IF('Données projet'!$A$62&gt;35,AI10+AH11-AQ10,IF(A11&lt;'Données projet'!$A$62,$AF$205^A11,IF(A11='Données projet'!$A$62,'Données projet'!$B$62,AI10+AH11-AQ10)))</f>
        <v>3.5995900054582539</v>
      </c>
      <c r="AJ11" s="13">
        <f>AI11*VLOOKUP('Données projet'!$B$10,Paramètres!$A$1:$I$89,3,0)*VLOOKUP('Données projet'!$B$10,Paramètres!$A$1:$I$89,5,0)</f>
        <v>3.256909036938628</v>
      </c>
      <c r="AK11" s="13">
        <f t="shared" si="35"/>
        <v>1.3081788362926525</v>
      </c>
      <c r="AL11" s="20">
        <f t="shared" si="4"/>
        <v>7.9508613792111449</v>
      </c>
      <c r="AM11" s="59">
        <f t="shared" si="5"/>
        <v>301.28419471254443</v>
      </c>
      <c r="AN11" s="59">
        <f ca="1">AVERAGE(OFFSET($AM$3,0,0,'Données projet'!$E$10+1,1))-AVERAGE(OFFSET($H$3,0,0,'Données projet'!$E$10+1,1))</f>
        <v>426.34811677569007</v>
      </c>
      <c r="AO11" s="59">
        <f t="shared" si="36"/>
        <v>209.65223938402107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4.0628204999999999</v>
      </c>
      <c r="BD11" s="12">
        <f>IF('Données projet'!$A$88&gt;35,BD10+BC11-BL10,IF(A11&lt;'Données projet'!$A$88,$BA$205^A11,IF(A11='Données projet'!$A$88,'Données projet'!$B$88,BD10+BC11-BL10)))</f>
        <v>3.5995900054582539</v>
      </c>
      <c r="BE11" s="13">
        <f>BD11*VLOOKUP('Données projet'!$B$11,Paramètres!$A$1:$I$89,3,0)*VLOOKUP('Données projet'!$B$11,Paramètres!$A$1:$I$89,5,0)</f>
        <v>3.6499842655346697</v>
      </c>
      <c r="BF11" s="13">
        <f t="shared" si="37"/>
        <v>1.4467463176968545</v>
      </c>
      <c r="BG11" s="20">
        <f t="shared" si="7"/>
        <v>8.876805765794904</v>
      </c>
      <c r="BH11" s="59">
        <f t="shared" si="8"/>
        <v>302.21013909912824</v>
      </c>
      <c r="BI11" s="59">
        <f ca="1">AVERAGE(OFFSET($BH$3,0,0,'Données projet'!$E$11+1,1))-AVERAGE(OFFSET($H$3,0,0,'Données projet'!$E$11+1,1))</f>
        <v>485.01379841128346</v>
      </c>
      <c r="BJ11" s="59">
        <f t="shared" si="38"/>
        <v>238.25679915866897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">
        <f t="shared" si="32"/>
        <v>1.6821477371202938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6">
        <f t="shared" si="1"/>
        <v>303.80274897548452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8.6</v>
      </c>
      <c r="N12" s="13">
        <f>IF('Données projet'!$A$36&gt;35,N11+M12-V11,IF(A12&lt;'Données projet'!$A$36,$K$205^A12,IF(A12='Données projet'!$A$36,'Données projet'!$B$36,N11+M12-V11)))</f>
        <v>18.46519193197738</v>
      </c>
      <c r="O12" s="13">
        <f>N12*VLOOKUP('Données projet'!$B$9,Paramètres!$A$1:$I$89,3,0)*VLOOKUP('Données projet'!$B$9,Paramètres!$A$1:$I$89,5,0)</f>
        <v>11.042184775322474</v>
      </c>
      <c r="P12" s="13">
        <f t="shared" si="33"/>
        <v>3.8476492214389557</v>
      </c>
      <c r="Q12" s="20">
        <f t="shared" si="2"/>
        <v>25.93312754435949</v>
      </c>
      <c r="R12" s="59">
        <f t="shared" si="0"/>
        <v>319.26646087769279</v>
      </c>
      <c r="S12" s="59">
        <f ca="1">AVERAGE(OFFSET($R$3,0,0,'Données projet'!$E$9+1,1))-AVERAGE(OFFSET($H$3,0,0,'Données projet'!$E$9+1,1))</f>
        <v>481.17250315093412</v>
      </c>
      <c r="T12" s="59">
        <f t="shared" si="34"/>
        <v>413.48123190206832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4.0628204999999999</v>
      </c>
      <c r="AI12" s="13">
        <f>IF('Données projet'!$A$62&gt;35,AI11+AH12-AQ11,IF(A12&lt;'Données projet'!$A$62,$AF$205^A12,IF(A12='Données projet'!$A$62,'Données projet'!$B$62,AI11+AH12-AQ11)))</f>
        <v>4.2245909753479545</v>
      </c>
      <c r="AJ12" s="13">
        <f>AI12*VLOOKUP('Données projet'!$B$10,Paramètres!$A$1:$I$89,3,0)*VLOOKUP('Données projet'!$B$10,Paramètres!$A$1:$I$89,5,0)</f>
        <v>3.8224099144948291</v>
      </c>
      <c r="AK12" s="13">
        <f t="shared" si="35"/>
        <v>1.5069722905840814</v>
      </c>
      <c r="AL12" s="20">
        <f t="shared" si="4"/>
        <v>9.2820073405124379</v>
      </c>
      <c r="AM12" s="59">
        <f t="shared" si="5"/>
        <v>302.61534067384576</v>
      </c>
      <c r="AN12" s="59">
        <f ca="1">AVERAGE(OFFSET($AM$3,0,0,'Données projet'!$E$10+1,1))-AVERAGE(OFFSET($H$3,0,0,'Données projet'!$E$10+1,1))</f>
        <v>426.34811677569007</v>
      </c>
      <c r="AO12" s="59">
        <f t="shared" si="36"/>
        <v>209.65223938402107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4.0628204999999999</v>
      </c>
      <c r="BD12" s="12">
        <f>IF('Données projet'!$A$88&gt;35,BD11+BC12-BL11,IF(A12&lt;'Données projet'!$A$88,$BA$205^A12,IF(A12='Données projet'!$A$88,'Données projet'!$B$88,BD11+BC12-BL11)))</f>
        <v>4.2245909753479545</v>
      </c>
      <c r="BE12" s="13">
        <f>BD12*VLOOKUP('Données projet'!$B$11,Paramètres!$A$1:$I$89,3,0)*VLOOKUP('Données projet'!$B$11,Paramètres!$A$1:$I$89,5,0)</f>
        <v>4.2837352490028264</v>
      </c>
      <c r="BF12" s="13">
        <f t="shared" si="37"/>
        <v>1.6665967616876964</v>
      </c>
      <c r="BG12" s="20">
        <f t="shared" si="7"/>
        <v>10.363494918619327</v>
      </c>
      <c r="BH12" s="59">
        <f t="shared" si="8"/>
        <v>303.69682825195264</v>
      </c>
      <c r="BI12" s="59">
        <f ca="1">AVERAGE(OFFSET($BH$3,0,0,'Données projet'!$E$11+1,1))-AVERAGE(OFFSET($H$3,0,0,'Données projet'!$E$11+1,1))</f>
        <v>485.01379841128346</v>
      </c>
      <c r="BJ12" s="59">
        <f t="shared" si="38"/>
        <v>238.25679915866897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">
        <f t="shared" si="32"/>
        <v>1.8462710264386484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6">
        <f t="shared" si="1"/>
        <v>304.92633870438061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8.6</v>
      </c>
      <c r="N13" s="13">
        <f>IF('Données projet'!$A$36&gt;35,N12+M13-V12,IF(A13&lt;'Données projet'!$A$36,$K$205^A13,IF(A13='Données projet'!$A$36,'Données projet'!$B$36,N12+M13-V12)))</f>
        <v>25.530528603808897</v>
      </c>
      <c r="O13" s="13">
        <f>N13*VLOOKUP('Données projet'!$B$9,Paramètres!$A$1:$I$89,3,0)*VLOOKUP('Données projet'!$B$9,Paramètres!$A$1:$I$89,5,0)</f>
        <v>15.267256105077722</v>
      </c>
      <c r="P13" s="13">
        <f t="shared" si="33"/>
        <v>5.1229872662242473</v>
      </c>
      <c r="Q13" s="20">
        <f t="shared" si="2"/>
        <v>35.513007205017594</v>
      </c>
      <c r="R13" s="59">
        <f t="shared" si="0"/>
        <v>328.84634053835089</v>
      </c>
      <c r="S13" s="59">
        <f ca="1">AVERAGE(OFFSET($R$3,0,0,'Données projet'!$E$9+1,1))-AVERAGE(OFFSET($H$3,0,0,'Données projet'!$E$9+1,1))</f>
        <v>481.17250315093412</v>
      </c>
      <c r="T13" s="59">
        <f t="shared" si="34"/>
        <v>413.48123190206832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4.0628204999999999</v>
      </c>
      <c r="AI13" s="13">
        <f>IF('Données projet'!$A$62&gt;35,AI12+AH13-AQ12,IF(A13&lt;'Données projet'!$A$62,$AF$205^A13,IF(A13='Données projet'!$A$62,'Données projet'!$B$62,AI12+AH13-AQ12)))</f>
        <v>4.9581115854663294</v>
      </c>
      <c r="AJ13" s="13">
        <f>AI13*VLOOKUP('Données projet'!$B$10,Paramètres!$A$1:$I$89,3,0)*VLOOKUP('Données projet'!$B$10,Paramètres!$A$1:$I$89,5,0)</f>
        <v>4.4860993625299352</v>
      </c>
      <c r="AK13" s="13">
        <f t="shared" si="35"/>
        <v>1.7359747930367799</v>
      </c>
      <c r="AL13" s="20">
        <f t="shared" si="4"/>
        <v>10.836779154278696</v>
      </c>
      <c r="AM13" s="59">
        <f t="shared" si="5"/>
        <v>304.17011248761202</v>
      </c>
      <c r="AN13" s="59">
        <f ca="1">AVERAGE(OFFSET($AM$3,0,0,'Données projet'!$E$10+1,1))-AVERAGE(OFFSET($H$3,0,0,'Données projet'!$E$10+1,1))</f>
        <v>426.34811677569007</v>
      </c>
      <c r="AO13" s="59">
        <f t="shared" si="36"/>
        <v>209.65223938402107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4.0628204999999999</v>
      </c>
      <c r="BD13" s="12">
        <f>IF('Données projet'!$A$88&gt;35,BD12+BC13-BL12,IF(A13&lt;'Données projet'!$A$88,$BA$205^A13,IF(A13='Données projet'!$A$88,'Données projet'!$B$88,BD12+BC13-BL12)))</f>
        <v>4.9581115854663294</v>
      </c>
      <c r="BE13" s="13">
        <f>BD13*VLOOKUP('Données projet'!$B$11,Paramètres!$A$1:$I$89,3,0)*VLOOKUP('Données projet'!$B$11,Paramètres!$A$1:$I$89,5,0)</f>
        <v>5.0275251476628586</v>
      </c>
      <c r="BF13" s="13">
        <f t="shared" si="37"/>
        <v>1.9198561158183034</v>
      </c>
      <c r="BG13" s="20">
        <f t="shared" si="7"/>
        <v>12.100022367229691</v>
      </c>
      <c r="BH13" s="59">
        <f t="shared" si="8"/>
        <v>305.43335570056303</v>
      </c>
      <c r="BI13" s="59">
        <f ca="1">AVERAGE(OFFSET($BH$3,0,0,'Données projet'!$E$11+1,1))-AVERAGE(OFFSET($H$3,0,0,'Données projet'!$E$11+1,1))</f>
        <v>485.01379841128346</v>
      </c>
      <c r="BJ13" s="59">
        <f t="shared" si="38"/>
        <v>238.25679915866897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">
        <f t="shared" si="32"/>
        <v>2.0084916518563651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6">
        <f t="shared" si="1"/>
        <v>306.04661462698317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8.6</v>
      </c>
      <c r="N14" s="13">
        <f>IF('Données projet'!$A$36&gt;35,N13+M14-V13,IF(A14&lt;'Données projet'!$A$36,$K$205^A14,IF(A14='Données projet'!$A$36,'Données projet'!$B$36,N13+M14-V13)))</f>
        <v>35.299275154628958</v>
      </c>
      <c r="O14" s="13">
        <f>N14*VLOOKUP('Données projet'!$B$9,Paramètres!$A$1:$I$89,3,0)*VLOOKUP('Données projet'!$B$9,Paramètres!$A$1:$I$89,5,0)</f>
        <v>21.108966542468117</v>
      </c>
      <c r="P14" s="13">
        <f t="shared" si="33"/>
        <v>6.8210476110087299</v>
      </c>
      <c r="Q14" s="20">
        <f t="shared" si="2"/>
        <v>48.644774650638844</v>
      </c>
      <c r="R14" s="59">
        <f t="shared" si="0"/>
        <v>341.97810798397217</v>
      </c>
      <c r="S14" s="59">
        <f ca="1">AVERAGE(OFFSET($R$3,0,0,'Données projet'!$E$9+1,1))-AVERAGE(OFFSET($H$3,0,0,'Données projet'!$E$9+1,1))</f>
        <v>481.17250315093412</v>
      </c>
      <c r="T14" s="59">
        <f t="shared" si="34"/>
        <v>413.48123190206832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4.0628204999999999</v>
      </c>
      <c r="AI14" s="13">
        <f>IF('Données projet'!$A$62&gt;35,AI13+AH14-AQ13,IF(A14&lt;'Données projet'!$A$62,$AF$205^A14,IF(A14='Données projet'!$A$62,'Données projet'!$B$62,AI13+AH14-AQ13)))</f>
        <v>5.8189942262778942</v>
      </c>
      <c r="AJ14" s="13">
        <f>AI14*VLOOKUP('Données projet'!$B$10,Paramètres!$A$1:$I$89,3,0)*VLOOKUP('Données projet'!$B$10,Paramètres!$A$1:$I$89,5,0)</f>
        <v>5.2650259759362381</v>
      </c>
      <c r="AK14" s="13">
        <f t="shared" si="35"/>
        <v>1.9997769706110904</v>
      </c>
      <c r="AL14" s="20">
        <f t="shared" si="4"/>
        <v>12.652865131903264</v>
      </c>
      <c r="AM14" s="59">
        <f t="shared" si="5"/>
        <v>305.98619846523655</v>
      </c>
      <c r="AN14" s="59">
        <f ca="1">AVERAGE(OFFSET($AM$3,0,0,'Données projet'!$E$10+1,1))-AVERAGE(OFFSET($H$3,0,0,'Données projet'!$E$10+1,1))</f>
        <v>426.34811677569007</v>
      </c>
      <c r="AO14" s="59">
        <f t="shared" si="36"/>
        <v>209.65223938402107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4.0628204999999999</v>
      </c>
      <c r="BD14" s="12">
        <f>IF('Données projet'!$A$88&gt;35,BD13+BC14-BL13,IF(A14&lt;'Données projet'!$A$88,$BA$205^A14,IF(A14='Données projet'!$A$88,'Données projet'!$B$88,BD13+BC14-BL13)))</f>
        <v>5.8189942262778942</v>
      </c>
      <c r="BE14" s="13">
        <f>BD14*VLOOKUP('Données projet'!$B$11,Paramètres!$A$1:$I$89,3,0)*VLOOKUP('Données projet'!$B$11,Paramètres!$A$1:$I$89,5,0)</f>
        <v>5.900460145445785</v>
      </c>
      <c r="BF14" s="13">
        <f t="shared" si="37"/>
        <v>2.211601264430894</v>
      </c>
      <c r="BG14" s="20">
        <f t="shared" si="7"/>
        <v>14.128506955535215</v>
      </c>
      <c r="BH14" s="59">
        <f t="shared" si="8"/>
        <v>307.46184028886853</v>
      </c>
      <c r="BI14" s="59">
        <f ca="1">AVERAGE(OFFSET($BH$3,0,0,'Données projet'!$E$11+1,1))-AVERAGE(OFFSET($H$3,0,0,'Données projet'!$E$11+1,1))</f>
        <v>485.01379841128346</v>
      </c>
      <c r="BJ14" s="59">
        <f t="shared" si="38"/>
        <v>238.25679915866897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">
        <f t="shared" si="32"/>
        <v>2.1690022541664664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6">
        <f t="shared" si="1"/>
        <v>307.1639122593399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8.6</v>
      </c>
      <c r="N15" s="13">
        <f>IF('Données projet'!$A$36&gt;35,N14+M15-V14,IF(A15&lt;'Données projet'!$A$36,$K$205^A15,IF(A15='Données projet'!$A$36,'Données projet'!$B$36,N14+M15-V14)))</f>
        <v>48.805837347852986</v>
      </c>
      <c r="O15" s="13">
        <f>N15*VLOOKUP('Données projet'!$B$9,Paramètres!$A$1:$I$89,3,0)*VLOOKUP('Données projet'!$B$9,Paramètres!$A$1:$I$89,5,0)</f>
        <v>29.185890734016088</v>
      </c>
      <c r="P15" s="13">
        <f t="shared" si="33"/>
        <v>9.0819453755814319</v>
      </c>
      <c r="Q15" s="20">
        <f t="shared" si="2"/>
        <v>66.649814557549007</v>
      </c>
      <c r="R15" s="59">
        <f t="shared" si="0"/>
        <v>359.98314789088232</v>
      </c>
      <c r="S15" s="59">
        <f ca="1">AVERAGE(OFFSET($R$3,0,0,'Données projet'!$E$9+1,1))-AVERAGE(OFFSET($H$3,0,0,'Données projet'!$E$9+1,1))</f>
        <v>481.17250315093412</v>
      </c>
      <c r="T15" s="59">
        <f t="shared" si="34"/>
        <v>413.48123190206832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4.0628204999999999</v>
      </c>
      <c r="AI15" s="13">
        <f>IF('Données projet'!$A$62&gt;35,AI14+AH15-AQ14,IF(A15&lt;'Données projet'!$A$62,$AF$205^A15,IF(A15='Données projet'!$A$62,'Données projet'!$B$62,AI14+AH15-AQ14)))</f>
        <v>6.8293529142649856</v>
      </c>
      <c r="AJ15" s="13">
        <f>AI15*VLOOKUP('Données projet'!$B$10,Paramètres!$A$1:$I$89,3,0)*VLOOKUP('Données projet'!$B$10,Paramètres!$A$1:$I$89,5,0)</f>
        <v>6.1791985168269585</v>
      </c>
      <c r="AK15" s="13">
        <f t="shared" si="35"/>
        <v>2.3036670510582367</v>
      </c>
      <c r="AL15" s="20">
        <f t="shared" si="4"/>
        <v>14.774324197400048</v>
      </c>
      <c r="AM15" s="59">
        <f t="shared" si="5"/>
        <v>308.10765753073338</v>
      </c>
      <c r="AN15" s="59">
        <f ca="1">AVERAGE(OFFSET($AM$3,0,0,'Données projet'!$E$10+1,1))-AVERAGE(OFFSET($H$3,0,0,'Données projet'!$E$10+1,1))</f>
        <v>426.34811677569007</v>
      </c>
      <c r="AO15" s="59">
        <f t="shared" si="36"/>
        <v>209.65223938402107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4.0628204999999999</v>
      </c>
      <c r="BD15" s="12">
        <f>IF('Données projet'!$A$88&gt;35,BD14+BC15-BL14,IF(A15&lt;'Données projet'!$A$88,$BA$205^A15,IF(A15='Données projet'!$A$88,'Données projet'!$B$88,BD14+BC15-BL14)))</f>
        <v>6.8293529142649856</v>
      </c>
      <c r="BE15" s="13">
        <f>BD15*VLOOKUP('Données projet'!$B$11,Paramètres!$A$1:$I$89,3,0)*VLOOKUP('Données projet'!$B$11,Paramètres!$A$1:$I$89,5,0)</f>
        <v>6.9249638550646964</v>
      </c>
      <c r="BF15" s="13">
        <f t="shared" si="37"/>
        <v>2.54768058529613</v>
      </c>
      <c r="BG15" s="20">
        <f t="shared" si="7"/>
        <v>16.498189066961771</v>
      </c>
      <c r="BH15" s="59">
        <f t="shared" si="8"/>
        <v>309.83152240029506</v>
      </c>
      <c r="BI15" s="59">
        <f ca="1">AVERAGE(OFFSET($BH$3,0,0,'Données projet'!$E$11+1,1))-AVERAGE(OFFSET($H$3,0,0,'Données projet'!$E$11+1,1))</f>
        <v>485.01379841128346</v>
      </c>
      <c r="BJ15" s="59">
        <f t="shared" si="38"/>
        <v>238.25679915866897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">
        <f t="shared" si="32"/>
        <v>2.3279615364980017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6">
        <f t="shared" si="1"/>
        <v>308.27850800940064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8.6</v>
      </c>
      <c r="N16" s="13">
        <f>IF('Données projet'!$A$36&gt;35,N15+M16-V15,IF(A16&lt;'Données projet'!$A$36,$K$205^A16,IF(A16='Données projet'!$A$36,'Données projet'!$B$36,N15+M16-V15)))</f>
        <v>67.480415639999848</v>
      </c>
      <c r="O16" s="13">
        <f>N16*VLOOKUP('Données projet'!$B$9,Paramètres!$A$1:$I$89,3,0)*VLOOKUP('Données projet'!$B$9,Paramètres!$A$1:$I$89,5,0)</f>
        <v>40.353288552719917</v>
      </c>
      <c r="P16" s="13">
        <f t="shared" si="33"/>
        <v>12.092238100189313</v>
      </c>
      <c r="Q16" s="20">
        <f t="shared" si="2"/>
        <v>91.342625587150238</v>
      </c>
      <c r="R16" s="59">
        <f t="shared" si="0"/>
        <v>384.67595892048354</v>
      </c>
      <c r="S16" s="59">
        <f ca="1">AVERAGE(OFFSET($R$3,0,0,'Données projet'!$E$9+1,1))-AVERAGE(OFFSET($H$3,0,0,'Données projet'!$E$9+1,1))</f>
        <v>481.17250315093412</v>
      </c>
      <c r="T16" s="59">
        <f t="shared" si="34"/>
        <v>413.48123190206832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4.0628204999999999</v>
      </c>
      <c r="AI16" s="13">
        <f>IF('Données projet'!$A$62&gt;35,AI15+AH16-AQ15,IF(A16&lt;'Données projet'!$A$62,$AF$205^A16,IF(A16='Données projet'!$A$62,'Données projet'!$B$62,AI15+AH16-AQ15)))</f>
        <v>8.0151413481317135</v>
      </c>
      <c r="AJ16" s="13">
        <f>AI16*VLOOKUP('Données projet'!$B$10,Paramètres!$A$1:$I$89,3,0)*VLOOKUP('Données projet'!$B$10,Paramètres!$A$1:$I$89,5,0)</f>
        <v>7.2520998917895731</v>
      </c>
      <c r="AK16" s="13">
        <f t="shared" si="35"/>
        <v>2.6537368717220882</v>
      </c>
      <c r="AL16" s="20">
        <f t="shared" si="4"/>
        <v>17.252665696449476</v>
      </c>
      <c r="AM16" s="59">
        <f t="shared" si="5"/>
        <v>310.58599902978278</v>
      </c>
      <c r="AN16" s="59">
        <f ca="1">AVERAGE(OFFSET($AM$3,0,0,'Données projet'!$E$10+1,1))-AVERAGE(OFFSET($H$3,0,0,'Données projet'!$E$10+1,1))</f>
        <v>426.34811677569007</v>
      </c>
      <c r="AO16" s="59">
        <f t="shared" si="36"/>
        <v>209.65223938402107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4.0628204999999999</v>
      </c>
      <c r="BD16" s="12">
        <f>IF('Données projet'!$A$88&gt;35,BD15+BC16-BL15,IF(A16&lt;'Données projet'!$A$88,$BA$205^A16,IF(A16='Données projet'!$A$88,'Données projet'!$B$88,BD15+BC16-BL15)))</f>
        <v>8.0151413481317135</v>
      </c>
      <c r="BE16" s="13">
        <f>BD16*VLOOKUP('Données projet'!$B$11,Paramètres!$A$1:$I$89,3,0)*VLOOKUP('Données projet'!$B$11,Paramètres!$A$1:$I$89,5,0)</f>
        <v>8.127353327005558</v>
      </c>
      <c r="BF16" s="13">
        <f t="shared" si="37"/>
        <v>2.9348311872868553</v>
      </c>
      <c r="BG16" s="20">
        <f t="shared" si="7"/>
        <v>19.266638029059283</v>
      </c>
      <c r="BH16" s="59">
        <f t="shared" si="8"/>
        <v>312.59997136239258</v>
      </c>
      <c r="BI16" s="59">
        <f ca="1">AVERAGE(OFFSET($BH$3,0,0,'Données projet'!$E$11+1,1))-AVERAGE(OFFSET($H$3,0,0,'Données projet'!$E$11+1,1))</f>
        <v>485.01379841128346</v>
      </c>
      <c r="BJ16" s="59">
        <f t="shared" si="38"/>
        <v>238.25679915866897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">
        <f t="shared" si="32"/>
        <v>2.4855023991357164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6">
        <f t="shared" si="1"/>
        <v>309.39063334516135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8.6</v>
      </c>
      <c r="N17" s="13">
        <f>IF('Données projet'!$A$36&gt;35,N16+M17-V16,IF(A17&lt;'Données projet'!$A$36,$K$205^A17,IF(A17='Données projet'!$A$36,'Données projet'!$B$36,N16+M17-V16)))</f>
        <v>93.300448110177783</v>
      </c>
      <c r="O17" s="13">
        <f>N17*VLOOKUP('Données projet'!$B$9,Paramètres!$A$1:$I$89,3,0)*VLOOKUP('Données projet'!$B$9,Paramètres!$A$1:$I$89,5,0)</f>
        <v>55.793667969886314</v>
      </c>
      <c r="P17" s="13">
        <f t="shared" si="33"/>
        <v>16.100319504763448</v>
      </c>
      <c r="Q17" s="20">
        <f t="shared" si="2"/>
        <v>125.21536151834833</v>
      </c>
      <c r="R17" s="59">
        <f t="shared" si="0"/>
        <v>418.54869485168166</v>
      </c>
      <c r="S17" s="59">
        <f ca="1">AVERAGE(OFFSET($R$3,0,0,'Données projet'!$E$9+1,1))-AVERAGE(OFFSET($H$3,0,0,'Données projet'!$E$9+1,1))</f>
        <v>481.17250315093412</v>
      </c>
      <c r="T17" s="59">
        <f t="shared" si="34"/>
        <v>413.48123190206832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4.0628204999999999</v>
      </c>
      <c r="AI17" s="13">
        <f>IF('Données projet'!$A$62&gt;35,AI16+AH17-AQ16,IF(A17&lt;'Données projet'!$A$62,$AF$205^A17,IF(A17='Données projet'!$A$62,'Données projet'!$B$62,AI16+AH17-AQ16)))</f>
        <v>9.4068195972626487</v>
      </c>
      <c r="AJ17" s="13">
        <f>AI17*VLOOKUP('Données projet'!$B$10,Paramètres!$A$1:$I$89,3,0)*VLOOKUP('Données projet'!$B$10,Paramètres!$A$1:$I$89,5,0)</f>
        <v>8.5112903716032431</v>
      </c>
      <c r="AK17" s="13">
        <f t="shared" si="35"/>
        <v>3.0570039976490109</v>
      </c>
      <c r="AL17" s="20">
        <f t="shared" si="4"/>
        <v>20.148112693114342</v>
      </c>
      <c r="AM17" s="59">
        <f t="shared" si="5"/>
        <v>313.48144602644766</v>
      </c>
      <c r="AN17" s="59">
        <f ca="1">AVERAGE(OFFSET($AM$3,0,0,'Données projet'!$E$10+1,1))-AVERAGE(OFFSET($H$3,0,0,'Données projet'!$E$10+1,1))</f>
        <v>426.34811677569007</v>
      </c>
      <c r="AO17" s="59">
        <f t="shared" si="36"/>
        <v>209.65223938402107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4.0628204999999999</v>
      </c>
      <c r="BD17" s="12">
        <f>IF('Données projet'!$A$88&gt;35,BD16+BC17-BL16,IF(A17&lt;'Données projet'!$A$88,$BA$205^A17,IF(A17='Données projet'!$A$88,'Données projet'!$B$88,BD16+BC17-BL16)))</f>
        <v>9.4068195972626487</v>
      </c>
      <c r="BE17" s="13">
        <f>BD17*VLOOKUP('Données projet'!$B$11,Paramètres!$A$1:$I$89,3,0)*VLOOKUP('Données projet'!$B$11,Paramètres!$A$1:$I$89,5,0)</f>
        <v>9.5385150716243263</v>
      </c>
      <c r="BF17" s="13">
        <f t="shared" si="37"/>
        <v>3.3808139637215984</v>
      </c>
      <c r="BG17" s="20">
        <f t="shared" si="7"/>
        <v>22.501164736560821</v>
      </c>
      <c r="BH17" s="59">
        <f t="shared" si="8"/>
        <v>315.83449806989415</v>
      </c>
      <c r="BI17" s="59">
        <f ca="1">AVERAGE(OFFSET($BH$3,0,0,'Données projet'!$E$11+1,1))-AVERAGE(OFFSET($H$3,0,0,'Données projet'!$E$11+1,1))</f>
        <v>485.01379841128346</v>
      </c>
      <c r="BJ17" s="59">
        <f t="shared" si="38"/>
        <v>238.25679915866897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">
        <f t="shared" si="32"/>
        <v>2.6417376807869739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6">
        <f t="shared" si="1"/>
        <v>310.50048479403728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129</v>
      </c>
      <c r="L18" s="12">
        <f>VLOOKUP(A18,'Données projet'!$A$35:$I$55,9,0)</f>
        <v>8.6</v>
      </c>
      <c r="M18" s="12">
        <f t="array" ref="M18">INDEX(L:L,MIN(IF(ISNUMBER(L18:L214),ROW(L18:L214),"")))</f>
        <v>8.6</v>
      </c>
      <c r="N18" s="13">
        <f>IF('Données projet'!$A$36&gt;35,N17+M18-V17,IF(A18&lt;'Données projet'!$A$36,$K$205^A18,IF(A18='Données projet'!$A$36,'Données projet'!$B$36,N17+M18-V17)))</f>
        <v>129</v>
      </c>
      <c r="O18" s="13">
        <f>N18*VLOOKUP('Données projet'!$B$9,Paramètres!$A$1:$I$89,3,0)*VLOOKUP('Données projet'!$B$9,Paramètres!$A$1:$I$89,5,0)</f>
        <v>77.14200000000001</v>
      </c>
      <c r="P18" s="13">
        <f t="shared" si="33"/>
        <v>21.436915648510755</v>
      </c>
      <c r="Q18" s="20">
        <f t="shared" si="2"/>
        <v>171.69161142115624</v>
      </c>
      <c r="R18" s="59">
        <f t="shared" si="0"/>
        <v>465.02494475448952</v>
      </c>
      <c r="S18" s="59">
        <f ca="1">AVERAGE(OFFSET($R$3,0,0,'Données projet'!$E$9+1,1))-AVERAGE(OFFSET($H$3,0,0,'Données projet'!$E$9+1,1))</f>
        <v>481.17250315093412</v>
      </c>
      <c r="T18" s="59">
        <f t="shared" si="34"/>
        <v>413.48123190206832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21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1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14.21857319233736</v>
      </c>
      <c r="AC18" s="22">
        <f t="shared" si="3"/>
        <v>14.21857319233736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4.0628204999999999</v>
      </c>
      <c r="AI18" s="13">
        <f>IF('Données projet'!$A$62&gt;35,AI17+AH18-AQ17,IF(A18&lt;'Données projet'!$A$62,$AF$205^A18,IF(A18='Données projet'!$A$62,'Données projet'!$B$62,AI17+AH18-AQ17)))</f>
        <v>11.040136548068585</v>
      </c>
      <c r="AJ18" s="13">
        <f>AI18*VLOOKUP('Données projet'!$B$10,Paramètres!$A$1:$I$89,3,0)*VLOOKUP('Données projet'!$B$10,Paramètres!$A$1:$I$89,5,0)</f>
        <v>9.989115548692455</v>
      </c>
      <c r="AK18" s="13">
        <f t="shared" si="35"/>
        <v>3.521552397008227</v>
      </c>
      <c r="AL18" s="20">
        <f t="shared" si="4"/>
        <v>23.531080005428688</v>
      </c>
      <c r="AM18" s="59">
        <f t="shared" si="5"/>
        <v>316.86441333876201</v>
      </c>
      <c r="AN18" s="59">
        <f ca="1">AVERAGE(OFFSET($AM$3,0,0,'Données projet'!$E$10+1,1))-AVERAGE(OFFSET($H$3,0,0,'Données projet'!$E$10+1,1))</f>
        <v>426.34811677569007</v>
      </c>
      <c r="AO18" s="59">
        <f t="shared" si="36"/>
        <v>209.65223938402107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4.0628204999999999</v>
      </c>
      <c r="BD18" s="12">
        <f>IF('Données projet'!$A$88&gt;35,BD17+BC18-BL17,IF(A18&lt;'Données projet'!$A$88,$BA$205^A18,IF(A18='Données projet'!$A$88,'Données projet'!$B$88,BD17+BC18-BL17)))</f>
        <v>11.040136548068585</v>
      </c>
      <c r="BE18" s="13">
        <f>BD18*VLOOKUP('Données projet'!$B$11,Paramètres!$A$1:$I$89,3,0)*VLOOKUP('Données projet'!$B$11,Paramètres!$A$1:$I$89,5,0)</f>
        <v>11.194698459741545</v>
      </c>
      <c r="BF18" s="13">
        <f t="shared" si="37"/>
        <v>3.8945691686823989</v>
      </c>
      <c r="BG18" s="20">
        <f t="shared" si="7"/>
        <v>26.280474452838366</v>
      </c>
      <c r="BH18" s="59">
        <f t="shared" si="8"/>
        <v>319.61380778617166</v>
      </c>
      <c r="BI18" s="59">
        <f ca="1">AVERAGE(OFFSET($BH$3,0,0,'Données projet'!$E$11+1,1))-AVERAGE(OFFSET($H$3,0,0,'Données projet'!$E$11+1,1))</f>
        <v>485.01379841128346</v>
      </c>
      <c r="BJ18" s="59">
        <f t="shared" si="38"/>
        <v>238.25679915866897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">
        <f t="shared" si="32"/>
        <v>2.7967643238239419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6">
        <f t="shared" si="1"/>
        <v>311.60823119732669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23.6</v>
      </c>
      <c r="N19" s="13">
        <f>IF('Données projet'!$A$36&gt;35,N18+M19-V18,IF(A19&lt;'Données projet'!$A$36,$K$205^A19,IF(A19='Données projet'!$A$36,'Données projet'!$B$36,N18+M19-V18)))</f>
        <v>131.6</v>
      </c>
      <c r="O19" s="13">
        <f>N19*VLOOKUP('Données projet'!$B$9,Paramètres!$A$1:$I$89,3,0)*VLOOKUP('Données projet'!$B$9,Paramètres!$A$1:$I$89,5,0)</f>
        <v>78.69680000000001</v>
      </c>
      <c r="P19" s="13">
        <f t="shared" si="33"/>
        <v>21.818241011661829</v>
      </c>
      <c r="Q19" s="20">
        <f t="shared" si="2"/>
        <v>175.06369642864436</v>
      </c>
      <c r="R19" s="59">
        <f t="shared" si="0"/>
        <v>468.39702976197771</v>
      </c>
      <c r="S19" s="59">
        <f ca="1">AVERAGE(OFFSET($R$3,0,0,'Données projet'!$E$9+1,1))-AVERAGE(OFFSET($H$3,0,0,'Données projet'!$E$9+1,1))</f>
        <v>481.17250315093412</v>
      </c>
      <c r="T19" s="59">
        <f t="shared" si="34"/>
        <v>413.48123190206832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10.054049523099005</v>
      </c>
      <c r="AC19" s="22">
        <f t="shared" si="3"/>
        <v>10.054049523099005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4.0628204999999999</v>
      </c>
      <c r="AI19" s="13">
        <f>IF('Données projet'!$A$62&gt;35,AI18+AH19-AQ18,IF(A19&lt;'Données projet'!$A$62,$AF$205^A19,IF(A19='Données projet'!$A$62,'Données projet'!$B$62,AI18+AH19-AQ18)))</f>
        <v>12.957048207394953</v>
      </c>
      <c r="AJ19" s="13">
        <f>AI19*VLOOKUP('Données projet'!$B$10,Paramètres!$A$1:$I$89,3,0)*VLOOKUP('Données projet'!$B$10,Paramètres!$A$1:$I$89,5,0)</f>
        <v>11.723537218050954</v>
      </c>
      <c r="AK19" s="13">
        <f t="shared" si="35"/>
        <v>4.0566944938284806</v>
      </c>
      <c r="AL19" s="20">
        <f t="shared" si="4"/>
        <v>27.483903564856679</v>
      </c>
      <c r="AM19" s="59">
        <f t="shared" si="5"/>
        <v>320.81723689819</v>
      </c>
      <c r="AN19" s="59">
        <f ca="1">AVERAGE(OFFSET($AM$3,0,0,'Données projet'!$E$10+1,1))-AVERAGE(OFFSET($H$3,0,0,'Données projet'!$E$10+1,1))</f>
        <v>426.34811677569007</v>
      </c>
      <c r="AO19" s="59">
        <f t="shared" si="36"/>
        <v>209.65223938402107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4.0628204999999999</v>
      </c>
      <c r="BD19" s="12">
        <f>IF('Données projet'!$A$88&gt;35,BD18+BC19-BL18,IF(A19&lt;'Données projet'!$A$88,$BA$205^A19,IF(A19='Données projet'!$A$88,'Données projet'!$B$88,BD18+BC19-BL18)))</f>
        <v>12.957048207394953</v>
      </c>
      <c r="BE19" s="13">
        <f>BD19*VLOOKUP('Données projet'!$B$11,Paramètres!$A$1:$I$89,3,0)*VLOOKUP('Données projet'!$B$11,Paramètres!$A$1:$I$89,5,0)</f>
        <v>13.138446882298483</v>
      </c>
      <c r="BF19" s="13">
        <f t="shared" si="37"/>
        <v>4.4863956350188978</v>
      </c>
      <c r="BG19" s="20">
        <f t="shared" si="7"/>
        <v>30.696600717661102</v>
      </c>
      <c r="BH19" s="59">
        <f t="shared" si="8"/>
        <v>324.02993405099443</v>
      </c>
      <c r="BI19" s="59">
        <f ca="1">AVERAGE(OFFSET($BH$3,0,0,'Données projet'!$E$11+1,1))-AVERAGE(OFFSET($H$3,0,0,'Données projet'!$E$11+1,1))</f>
        <v>485.01379841128346</v>
      </c>
      <c r="BJ19" s="59">
        <f t="shared" si="38"/>
        <v>238.25679915866897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">
        <f t="shared" si="32"/>
        <v>2.9506664679221988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6">
        <f t="shared" si="1"/>
        <v>312.7140190982978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23.6</v>
      </c>
      <c r="N20" s="13">
        <f>IF('Données projet'!$A$36&gt;35,N19+M20-V19,IF(A20&lt;'Données projet'!$A$36,$K$205^A20,IF(A20='Données projet'!$A$36,'Données projet'!$B$36,N19+M20-V19)))</f>
        <v>155.19999999999999</v>
      </c>
      <c r="O20" s="13">
        <f>N20*VLOOKUP('Données projet'!$B$9,Paramètres!$A$1:$I$89,3,0)*VLOOKUP('Données projet'!$B$9,Paramètres!$A$1:$I$89,5,0)</f>
        <v>92.809600000000003</v>
      </c>
      <c r="P20" s="13">
        <f t="shared" si="33"/>
        <v>25.241615800824192</v>
      </c>
      <c r="Q20" s="20">
        <f t="shared" si="2"/>
        <v>205.60586751976879</v>
      </c>
      <c r="R20" s="59">
        <f t="shared" si="0"/>
        <v>498.93920085310208</v>
      </c>
      <c r="S20" s="59">
        <f ca="1">AVERAGE(OFFSET($R$3,0,0,'Données projet'!$E$9+1,1))-AVERAGE(OFFSET($H$3,0,0,'Données projet'!$E$9+1,1))</f>
        <v>481.17250315093412</v>
      </c>
      <c r="T20" s="59">
        <f t="shared" si="34"/>
        <v>413.48123190206832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7.1092865961686815</v>
      </c>
      <c r="AC20" s="22">
        <f t="shared" si="3"/>
        <v>7.1092865961686815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4.0628204999999999</v>
      </c>
      <c r="AI20" s="13">
        <f>IF('Données projet'!$A$62&gt;35,AI19+AH20-AQ19,IF(A20&lt;'Données projet'!$A$62,$AF$205^A20,IF(A20='Données projet'!$A$62,'Données projet'!$B$62,AI19+AH20-AQ19)))</f>
        <v>15.206795452011633</v>
      </c>
      <c r="AJ20" s="13">
        <f>AI20*VLOOKUP('Données projet'!$B$10,Paramètres!$A$1:$I$89,3,0)*VLOOKUP('Données projet'!$B$10,Paramètres!$A$1:$I$89,5,0)</f>
        <v>13.759108524980125</v>
      </c>
      <c r="AK20" s="13">
        <f t="shared" si="35"/>
        <v>4.6731578465904207</v>
      </c>
      <c r="AL20" s="20">
        <f t="shared" si="4"/>
        <v>32.102863930485363</v>
      </c>
      <c r="AM20" s="59">
        <f t="shared" si="5"/>
        <v>325.43619726381866</v>
      </c>
      <c r="AN20" s="59">
        <f ca="1">AVERAGE(OFFSET($AM$3,0,0,'Données projet'!$E$10+1,1))-AVERAGE(OFFSET($H$3,0,0,'Données projet'!$E$10+1,1))</f>
        <v>426.34811677569007</v>
      </c>
      <c r="AO20" s="59">
        <f t="shared" si="36"/>
        <v>209.65223938402107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4.0628204999999999</v>
      </c>
      <c r="BD20" s="12">
        <f>IF('Données projet'!$A$88&gt;35,BD19+BC20-BL19,IF(A20&lt;'Données projet'!$A$88,$BA$205^A20,IF(A20='Données projet'!$A$88,'Données projet'!$B$88,BD19+BC20-BL19)))</f>
        <v>15.206795452011633</v>
      </c>
      <c r="BE20" s="13">
        <f>BD20*VLOOKUP('Données projet'!$B$11,Paramètres!$A$1:$I$89,3,0)*VLOOKUP('Données projet'!$B$11,Paramètres!$A$1:$I$89,5,0)</f>
        <v>15.419690588339796</v>
      </c>
      <c r="BF20" s="13">
        <f t="shared" si="37"/>
        <v>5.1681572266762892</v>
      </c>
      <c r="BG20" s="20">
        <f t="shared" si="7"/>
        <v>35.857168277819675</v>
      </c>
      <c r="BH20" s="59">
        <f t="shared" si="8"/>
        <v>329.19050161115297</v>
      </c>
      <c r="BI20" s="59">
        <f ca="1">AVERAGE(OFFSET($BH$3,0,0,'Données projet'!$E$11+1,1))-AVERAGE(OFFSET($H$3,0,0,'Données projet'!$E$11+1,1))</f>
        <v>485.01379841128346</v>
      </c>
      <c r="BJ20" s="59">
        <f t="shared" si="38"/>
        <v>238.25679915866897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">
        <f t="shared" si="32"/>
        <v>3.1035177947823605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6">
        <f t="shared" si="1"/>
        <v>313.81797682591258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23.6</v>
      </c>
      <c r="N21" s="13">
        <f>IF('Données projet'!$A$36&gt;35,N20+M21-V20,IF(A21&lt;'Données projet'!$A$36,$K$205^A21,IF(A21='Données projet'!$A$36,'Données projet'!$B$36,N20+M21-V20)))</f>
        <v>178.79999999999998</v>
      </c>
      <c r="O21" s="13">
        <f>N21*VLOOKUP('Données projet'!$B$9,Paramètres!$A$1:$I$89,3,0)*VLOOKUP('Données projet'!$B$9,Paramètres!$A$1:$I$89,5,0)</f>
        <v>106.9224</v>
      </c>
      <c r="P21" s="13">
        <f t="shared" si="33"/>
        <v>28.604684816920809</v>
      </c>
      <c r="Q21" s="20">
        <f t="shared" si="2"/>
        <v>236.04300605613707</v>
      </c>
      <c r="R21" s="59">
        <f t="shared" si="0"/>
        <v>529.37633938947033</v>
      </c>
      <c r="S21" s="59">
        <f ca="1">AVERAGE(OFFSET($R$3,0,0,'Données projet'!$E$9+1,1))-AVERAGE(OFFSET($H$3,0,0,'Données projet'!$E$9+1,1))</f>
        <v>481.17250315093412</v>
      </c>
      <c r="T21" s="59">
        <f t="shared" si="34"/>
        <v>413.48123190206832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5.0270247615495034</v>
      </c>
      <c r="AC21" s="22">
        <f t="shared" si="3"/>
        <v>5.0270247615495034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4.0628204999999999</v>
      </c>
      <c r="AI21" s="13">
        <f>IF('Données projet'!$A$62&gt;35,AI20+AH21-AQ20,IF(A21&lt;'Données projet'!$A$62,$AF$205^A21,IF(A21='Données projet'!$A$62,'Données projet'!$B$62,AI20+AH21-AQ20)))</f>
        <v>17.847168908991378</v>
      </c>
      <c r="AJ21" s="13">
        <f>AI21*VLOOKUP('Données projet'!$B$10,Paramètres!$A$1:$I$89,3,0)*VLOOKUP('Données projet'!$B$10,Paramètres!$A$1:$I$89,5,0)</f>
        <v>16.148118428855398</v>
      </c>
      <c r="AK21" s="13">
        <f t="shared" si="35"/>
        <v>5.3833001948686938</v>
      </c>
      <c r="AL21" s="20">
        <f t="shared" si="4"/>
        <v>37.500554102986129</v>
      </c>
      <c r="AM21" s="59">
        <f t="shared" si="5"/>
        <v>330.83388743631946</v>
      </c>
      <c r="AN21" s="59">
        <f ca="1">AVERAGE(OFFSET($AM$3,0,0,'Données projet'!$E$10+1,1))-AVERAGE(OFFSET($H$3,0,0,'Données projet'!$E$10+1,1))</f>
        <v>426.34811677569007</v>
      </c>
      <c r="AO21" s="59">
        <f t="shared" si="36"/>
        <v>209.65223938402107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4.0628204999999999</v>
      </c>
      <c r="BD21" s="12">
        <f>IF('Données projet'!$A$88&gt;35,BD20+BC21-BL20,IF(A21&lt;'Données projet'!$A$88,$BA$205^A21,IF(A21='Données projet'!$A$88,'Données projet'!$B$88,BD20+BC21-BL20)))</f>
        <v>17.847168908991378</v>
      </c>
      <c r="BE21" s="13">
        <f>BD21*VLOOKUP('Données projet'!$B$11,Paramètres!$A$1:$I$89,3,0)*VLOOKUP('Données projet'!$B$11,Paramètres!$A$1:$I$89,5,0)</f>
        <v>18.097029273717258</v>
      </c>
      <c r="BF21" s="13">
        <f t="shared" si="37"/>
        <v>5.9535206639291092</v>
      </c>
      <c r="BG21" s="20">
        <f t="shared" si="7"/>
        <v>41.888041141400755</v>
      </c>
      <c r="BH21" s="59">
        <f t="shared" si="8"/>
        <v>335.22137447473409</v>
      </c>
      <c r="BI21" s="59">
        <f ca="1">AVERAGE(OFFSET($BH$3,0,0,'Données projet'!$E$11+1,1))-AVERAGE(OFFSET($H$3,0,0,'Données projet'!$E$11+1,1))</f>
        <v>485.01379841128346</v>
      </c>
      <c r="BJ21" s="59">
        <f t="shared" si="38"/>
        <v>238.25679915866897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">
        <f t="shared" si="32"/>
        <v>3.2553833368644418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6">
        <f t="shared" si="1"/>
        <v>314.92021764503886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23.6</v>
      </c>
      <c r="N22" s="13">
        <f>IF('Données projet'!$A$36&gt;35,N21+M22-V21,IF(A22&lt;'Données projet'!$A$36,$K$205^A22,IF(A22='Données projet'!$A$36,'Données projet'!$B$36,N21+M22-V21)))</f>
        <v>202.39999999999998</v>
      </c>
      <c r="O22" s="13">
        <f>N22*VLOOKUP('Données projet'!$B$9,Paramètres!$A$1:$I$89,3,0)*VLOOKUP('Données projet'!$B$9,Paramètres!$A$1:$I$89,5,0)</f>
        <v>121.0352</v>
      </c>
      <c r="P22" s="13">
        <f t="shared" si="33"/>
        <v>31.916321859626926</v>
      </c>
      <c r="Q22" s="20">
        <f t="shared" si="2"/>
        <v>266.39056723885022</v>
      </c>
      <c r="R22" s="59">
        <f t="shared" si="0"/>
        <v>559.72390057218354</v>
      </c>
      <c r="S22" s="59">
        <f ca="1">AVERAGE(OFFSET($R$3,0,0,'Données projet'!$E$9+1,1))-AVERAGE(OFFSET($H$3,0,0,'Données projet'!$E$9+1,1))</f>
        <v>481.17250315093412</v>
      </c>
      <c r="T22" s="59">
        <f t="shared" si="34"/>
        <v>413.48123190206832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3.5546432980843412</v>
      </c>
      <c r="AC22" s="22">
        <f t="shared" si="3"/>
        <v>3.5546432980843412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4.0628204999999999</v>
      </c>
      <c r="AI22" s="13">
        <f>IF('Données projet'!$A$62&gt;35,AI21+AH22-AQ21,IF(A22&lt;'Données projet'!$A$62,$AF$205^A22,IF(A22='Données projet'!$A$62,'Données projet'!$B$62,AI21+AH22-AQ21)))</f>
        <v>20.945993458729195</v>
      </c>
      <c r="AJ22" s="13">
        <f>AI22*VLOOKUP('Données projet'!$B$10,Paramètres!$A$1:$I$89,3,0)*VLOOKUP('Données projet'!$B$10,Paramètres!$A$1:$I$89,5,0)</f>
        <v>18.951934881458175</v>
      </c>
      <c r="AK22" s="13">
        <f t="shared" si="35"/>
        <v>6.2013571848888747</v>
      </c>
      <c r="AL22" s="20">
        <f t="shared" si="4"/>
        <v>43.808650348887774</v>
      </c>
      <c r="AM22" s="59">
        <f t="shared" si="5"/>
        <v>337.14198368222111</v>
      </c>
      <c r="AN22" s="59">
        <f ca="1">AVERAGE(OFFSET($AM$3,0,0,'Données projet'!$E$10+1,1))-AVERAGE(OFFSET($H$3,0,0,'Données projet'!$E$10+1,1))</f>
        <v>426.34811677569007</v>
      </c>
      <c r="AO22" s="59">
        <f t="shared" si="36"/>
        <v>209.65223938402107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4.0628204999999999</v>
      </c>
      <c r="BD22" s="12">
        <f>IF('Données projet'!$A$88&gt;35,BD21+BC22-BL21,IF(A22&lt;'Données projet'!$A$88,$BA$205^A22,IF(A22='Données projet'!$A$88,'Données projet'!$B$88,BD21+BC22-BL21)))</f>
        <v>20.945993458729195</v>
      </c>
      <c r="BE22" s="13">
        <f>BD22*VLOOKUP('Données projet'!$B$11,Paramètres!$A$1:$I$89,3,0)*VLOOKUP('Données projet'!$B$11,Paramètres!$A$1:$I$89,5,0)</f>
        <v>21.239237367151404</v>
      </c>
      <c r="BF22" s="13">
        <f t="shared" si="37"/>
        <v>6.8582294890098909</v>
      </c>
      <c r="BG22" s="20">
        <f t="shared" si="7"/>
        <v>48.936421441147587</v>
      </c>
      <c r="BH22" s="59">
        <f t="shared" si="8"/>
        <v>342.26975477448093</v>
      </c>
      <c r="BI22" s="59">
        <f ca="1">AVERAGE(OFFSET($BH$3,0,0,'Données projet'!$E$11+1,1))-AVERAGE(OFFSET($H$3,0,0,'Données projet'!$E$11+1,1))</f>
        <v>485.01379841128346</v>
      </c>
      <c r="BJ22" s="59">
        <f t="shared" si="38"/>
        <v>238.25679915866897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">
        <f t="shared" si="32"/>
        <v>3.4063208944730636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6">
        <f t="shared" si="1"/>
        <v>316.02084222454056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226</v>
      </c>
      <c r="L23" s="12">
        <f>VLOOKUP(A23,'Données projet'!$A$35:$I$55,9,0)</f>
        <v>23.6</v>
      </c>
      <c r="M23" s="12">
        <f t="array" ref="M23">INDEX(L:L,MIN(IF(ISNUMBER(L23:L219),ROW(L23:L219),"")))</f>
        <v>23.6</v>
      </c>
      <c r="N23" s="13">
        <f>IF('Données projet'!$A$36&gt;35,N22+M23-V22,IF(A23&lt;'Données projet'!$A$36,$K$205^A23,IF(A23='Données projet'!$A$36,'Données projet'!$B$36,N22+M23-V22)))</f>
        <v>225.99999999999997</v>
      </c>
      <c r="O23" s="13">
        <f>N23*VLOOKUP('Données projet'!$B$9,Paramètres!$A$1:$I$89,3,0)*VLOOKUP('Données projet'!$B$9,Paramètres!$A$1:$I$89,5,0)</f>
        <v>135.148</v>
      </c>
      <c r="P23" s="13">
        <f t="shared" si="33"/>
        <v>35.183208974998173</v>
      </c>
      <c r="Q23" s="20">
        <f t="shared" si="2"/>
        <v>296.66018896478846</v>
      </c>
      <c r="R23" s="59">
        <f t="shared" si="0"/>
        <v>589.99352229812177</v>
      </c>
      <c r="S23" s="59">
        <f ca="1">AVERAGE(OFFSET($R$3,0,0,'Données projet'!$E$9+1,1))-AVERAGE(OFFSET($H$3,0,0,'Données projet'!$E$9+1,1))</f>
        <v>481.17250315093412</v>
      </c>
      <c r="T23" s="59">
        <f t="shared" si="34"/>
        <v>413.48123190206832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70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0.45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24.890105422326002</v>
      </c>
      <c r="AB23" s="21">
        <f>EXP(-LN(2)/2)*AB22+(1-EXP(-LN(2)/2))/(LN(2)/2)*V23*Y23*VLOOKUP('Données projet'!$B$9,Paramètres!$A$1:$I$89,3,0)*0.475*44/12</f>
        <v>2.5135123807747521</v>
      </c>
      <c r="AC23" s="22">
        <f t="shared" si="3"/>
        <v>27.403617803100754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4.0628204999999999</v>
      </c>
      <c r="AI23" s="13">
        <f>IF('Données projet'!$A$62&gt;35,AI22+AH23-AQ22,IF(A23&lt;'Données projet'!$A$62,$AF$205^A23,IF(A23='Données projet'!$A$62,'Données projet'!$B$62,AI22+AH23-AQ22)))</f>
        <v>24.582870493935445</v>
      </c>
      <c r="AJ23" s="13">
        <f>AI23*VLOOKUP('Données projet'!$B$10,Paramètres!$A$1:$I$89,3,0)*VLOOKUP('Données projet'!$B$10,Paramètres!$A$1:$I$89,5,0)</f>
        <v>22.24258122291279</v>
      </c>
      <c r="AK23" s="13">
        <f t="shared" si="35"/>
        <v>7.1437277399520669</v>
      </c>
      <c r="AL23" s="20">
        <f t="shared" si="4"/>
        <v>51.181154776989615</v>
      </c>
      <c r="AM23" s="59">
        <f t="shared" si="5"/>
        <v>344.51448811032293</v>
      </c>
      <c r="AN23" s="59">
        <f ca="1">AVERAGE(OFFSET($AM$3,0,0,'Données projet'!$E$10+1,1))-AVERAGE(OFFSET($H$3,0,0,'Données projet'!$E$10+1,1))</f>
        <v>426.34811677569007</v>
      </c>
      <c r="AO23" s="59">
        <f t="shared" si="36"/>
        <v>209.65223938402107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4.0628204999999999</v>
      </c>
      <c r="BD23" s="12">
        <f>IF('Données projet'!$A$88&gt;35,BD22+BC23-BL22,IF(A23&lt;'Données projet'!$A$88,$BA$205^A23,IF(A23='Données projet'!$A$88,'Données projet'!$B$88,BD22+BC23-BL22)))</f>
        <v>24.582870493935445</v>
      </c>
      <c r="BE23" s="13">
        <f>BD23*VLOOKUP('Données projet'!$B$11,Paramètres!$A$1:$I$89,3,0)*VLOOKUP('Données projet'!$B$11,Paramètres!$A$1:$I$89,5,0)</f>
        <v>24.927030680850542</v>
      </c>
      <c r="BF23" s="13">
        <f t="shared" si="37"/>
        <v>7.9004196640989308</v>
      </c>
      <c r="BG23" s="20">
        <f t="shared" si="7"/>
        <v>57.174476017453664</v>
      </c>
      <c r="BH23" s="59">
        <f t="shared" si="8"/>
        <v>350.507809350787</v>
      </c>
      <c r="BI23" s="59">
        <f ca="1">AVERAGE(OFFSET($BH$3,0,0,'Données projet'!$E$11+1,1))-AVERAGE(OFFSET($H$3,0,0,'Données projet'!$E$11+1,1))</f>
        <v>485.01379841128346</v>
      </c>
      <c r="BJ23" s="59">
        <f t="shared" si="38"/>
        <v>238.25679915866897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">
        <f t="shared" si="32"/>
        <v>3.556382161371384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6">
        <f t="shared" si="1"/>
        <v>317.11994059772178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25</v>
      </c>
      <c r="N24" s="13">
        <f>IF('Données projet'!$A$36&gt;35,N23+M24-V23,IF(A24&lt;'Données projet'!$A$36,$K$205^A24,IF(A24='Données projet'!$A$36,'Données projet'!$B$36,N23+M24-V23)))</f>
        <v>180.99999999999997</v>
      </c>
      <c r="O24" s="13">
        <f>N24*VLOOKUP('Données projet'!$B$9,Paramètres!$A$1:$I$89,3,0)*VLOOKUP('Données projet'!$B$9,Paramètres!$A$1:$I$89,5,0)</f>
        <v>108.23799999999999</v>
      </c>
      <c r="P24" s="13">
        <f t="shared" si="33"/>
        <v>28.915454284197679</v>
      </c>
      <c r="Q24" s="20">
        <f t="shared" si="2"/>
        <v>238.8755995449776</v>
      </c>
      <c r="R24" s="59">
        <f t="shared" si="0"/>
        <v>532.20893287831086</v>
      </c>
      <c r="S24" s="59">
        <f ca="1">AVERAGE(OFFSET($R$3,0,0,'Données projet'!$E$9+1,1))-AVERAGE(OFFSET($H$3,0,0,'Données projet'!$E$9+1,1))</f>
        <v>481.17250315093412</v>
      </c>
      <c r="T24" s="59">
        <f t="shared" si="34"/>
        <v>413.48123190206832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24.209484180638739</v>
      </c>
      <c r="AB24" s="21">
        <f>EXP(-LN(2)/2)*AB23+(1-EXP(-LN(2)/2))/(LN(2)/2)*V24*Y24*VLOOKUP('Données projet'!$B$9,Paramètres!$A$1:$I$89,3,0)*0.475*44/12</f>
        <v>1.7773216490421708</v>
      </c>
      <c r="AC24" s="22">
        <f t="shared" si="3"/>
        <v>25.986805829680911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4.0628204999999999</v>
      </c>
      <c r="AI24" s="13">
        <f>IF('Données projet'!$A$62&gt;35,AI23+AH24-AQ23,IF(A24&lt;'Données projet'!$A$62,$AF$205^A24,IF(A24='Données projet'!$A$62,'Données projet'!$B$62,AI23+AH24-AQ23)))</f>
        <v>28.851222689070113</v>
      </c>
      <c r="AJ24" s="13">
        <f>AI24*VLOOKUP('Données projet'!$B$10,Paramètres!$A$1:$I$89,3,0)*VLOOKUP('Données projet'!$B$10,Paramètres!$A$1:$I$89,5,0)</f>
        <v>26.104586289070635</v>
      </c>
      <c r="AK24" s="13">
        <f t="shared" si="35"/>
        <v>8.229302796316059</v>
      </c>
      <c r="AL24" s="20">
        <f t="shared" si="4"/>
        <v>59.798190157048488</v>
      </c>
      <c r="AM24" s="59">
        <f t="shared" si="5"/>
        <v>353.13152349038182</v>
      </c>
      <c r="AN24" s="59">
        <f ca="1">AVERAGE(OFFSET($AM$3,0,0,'Données projet'!$E$10+1,1))-AVERAGE(OFFSET($H$3,0,0,'Données projet'!$E$10+1,1))</f>
        <v>426.34811677569007</v>
      </c>
      <c r="AO24" s="59">
        <f t="shared" si="36"/>
        <v>209.65223938402107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4.0628204999999999</v>
      </c>
      <c r="BD24" s="12">
        <f>IF('Données projet'!$A$88&gt;35,BD23+BC24-BL23,IF(A24&lt;'Données projet'!$A$88,$BA$205^A24,IF(A24='Données projet'!$A$88,'Données projet'!$B$88,BD23+BC24-BL23)))</f>
        <v>28.851222689070113</v>
      </c>
      <c r="BE24" s="13">
        <f>BD24*VLOOKUP('Données projet'!$B$11,Paramètres!$A$1:$I$89,3,0)*VLOOKUP('Données projet'!$B$11,Paramètres!$A$1:$I$89,5,0)</f>
        <v>29.255139806717096</v>
      </c>
      <c r="BF24" s="13">
        <f t="shared" si="37"/>
        <v>9.1009831282114213</v>
      </c>
      <c r="BG24" s="20">
        <f t="shared" si="7"/>
        <v>66.803580778333838</v>
      </c>
      <c r="BH24" s="59">
        <f t="shared" si="8"/>
        <v>360.13691411166712</v>
      </c>
      <c r="BI24" s="59">
        <f ca="1">AVERAGE(OFFSET($BH$3,0,0,'Données projet'!$E$11+1,1))-AVERAGE(OFFSET($H$3,0,0,'Données projet'!$E$11+1,1))</f>
        <v>485.01379841128346</v>
      </c>
      <c r="BJ24" s="59">
        <f t="shared" si="38"/>
        <v>238.25679915866897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">
        <f t="shared" si="32"/>
        <v>3.7056136299176217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6">
        <f t="shared" si="1"/>
        <v>318.21759373877319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25</v>
      </c>
      <c r="N25" s="13">
        <f>IF('Données projet'!$A$36&gt;35,N24+M25-V24,IF(A25&lt;'Données projet'!$A$36,$K$205^A25,IF(A25='Données projet'!$A$36,'Données projet'!$B$36,N24+M25-V24)))</f>
        <v>205.99999999999997</v>
      </c>
      <c r="O25" s="13">
        <f>N25*VLOOKUP('Données projet'!$B$9,Paramètres!$A$1:$I$89,3,0)*VLOOKUP('Données projet'!$B$9,Paramètres!$A$1:$I$89,5,0)</f>
        <v>123.18799999999999</v>
      </c>
      <c r="P25" s="13">
        <f t="shared" si="33"/>
        <v>32.417409489939047</v>
      </c>
      <c r="Q25" s="20">
        <f t="shared" si="2"/>
        <v>271.01275486164383</v>
      </c>
      <c r="R25" s="59">
        <f t="shared" si="0"/>
        <v>564.34608819497714</v>
      </c>
      <c r="S25" s="59">
        <f ca="1">AVERAGE(OFFSET($R$3,0,0,'Données projet'!$E$9+1,1))-AVERAGE(OFFSET($H$3,0,0,'Données projet'!$E$9+1,1))</f>
        <v>481.17250315093412</v>
      </c>
      <c r="T25" s="59">
        <f t="shared" si="34"/>
        <v>413.48123190206832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23.547474562597731</v>
      </c>
      <c r="AB25" s="21">
        <f>EXP(-LN(2)/2)*AB24+(1-EXP(-LN(2)/2))/(LN(2)/2)*V25*Y25*VLOOKUP('Données projet'!$B$9,Paramètres!$A$1:$I$89,3,0)*0.475*44/12</f>
        <v>1.2567561903873763</v>
      </c>
      <c r="AC25" s="22">
        <f t="shared" si="3"/>
        <v>24.804230752985106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4.0628204999999999</v>
      </c>
      <c r="AI25" s="13">
        <f>IF('Données projet'!$A$62&gt;35,AI24+AH25-AQ24,IF(A25&lt;'Données projet'!$A$62,$AF$205^A25,IF(A25='Données projet'!$A$62,'Données projet'!$B$62,AI24+AH25-AQ24)))</f>
        <v>33.860693805455469</v>
      </c>
      <c r="AJ25" s="13">
        <f>AI25*VLOOKUP('Données projet'!$B$10,Paramètres!$A$1:$I$89,3,0)*VLOOKUP('Données projet'!$B$10,Paramètres!$A$1:$I$89,5,0)</f>
        <v>30.637155755176106</v>
      </c>
      <c r="AK25" s="13">
        <f t="shared" si="35"/>
        <v>9.479843994433871</v>
      </c>
      <c r="AL25" s="20">
        <f t="shared" si="4"/>
        <v>69.870441230570705</v>
      </c>
      <c r="AM25" s="59">
        <f t="shared" si="5"/>
        <v>363.20377456390401</v>
      </c>
      <c r="AN25" s="59">
        <f ca="1">AVERAGE(OFFSET($AM$3,0,0,'Données projet'!$E$10+1,1))-AVERAGE(OFFSET($H$3,0,0,'Données projet'!$E$10+1,1))</f>
        <v>426.34811677569007</v>
      </c>
      <c r="AO25" s="59">
        <f t="shared" si="36"/>
        <v>209.65223938402107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4.0628204999999999</v>
      </c>
      <c r="BD25" s="12">
        <f>IF('Données projet'!$A$88&gt;35,BD24+BC25-BL24,IF(A25&lt;'Données projet'!$A$88,$BA$205^A25,IF(A25='Données projet'!$A$88,'Données projet'!$B$88,BD24+BC25-BL24)))</f>
        <v>33.860693805455469</v>
      </c>
      <c r="BE25" s="13">
        <f>BD25*VLOOKUP('Données projet'!$B$11,Paramètres!$A$1:$I$89,3,0)*VLOOKUP('Données projet'!$B$11,Paramètres!$A$1:$I$89,5,0)</f>
        <v>34.334743518731848</v>
      </c>
      <c r="BF25" s="13">
        <f t="shared" si="37"/>
        <v>10.483986600911249</v>
      </c>
      <c r="BG25" s="20">
        <f t="shared" si="7"/>
        <v>78.059288291711724</v>
      </c>
      <c r="BH25" s="59">
        <f t="shared" si="8"/>
        <v>371.39262162504502</v>
      </c>
      <c r="BI25" s="59">
        <f ca="1">AVERAGE(OFFSET($BH$3,0,0,'Données projet'!$E$11+1,1))-AVERAGE(OFFSET($H$3,0,0,'Données projet'!$E$11+1,1))</f>
        <v>485.01379841128346</v>
      </c>
      <c r="BJ25" s="59">
        <f t="shared" si="38"/>
        <v>238.25679915866897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">
        <f t="shared" si="32"/>
        <v>3.8540573269792704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6">
        <f t="shared" si="1"/>
        <v>319.31387484448885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25</v>
      </c>
      <c r="N26" s="13">
        <f>IF('Données projet'!$A$36&gt;35,N25+M26-V25,IF(A26&lt;'Données projet'!$A$36,$K$205^A26,IF(A26='Données projet'!$A$36,'Données projet'!$B$36,N25+M26-V25)))</f>
        <v>230.99999999999997</v>
      </c>
      <c r="O26" s="13">
        <f>N26*VLOOKUP('Données projet'!$B$9,Paramètres!$A$1:$I$89,3,0)*VLOOKUP('Données projet'!$B$9,Paramètres!$A$1:$I$89,5,0)</f>
        <v>138.13800000000001</v>
      </c>
      <c r="P26" s="13">
        <f t="shared" si="33"/>
        <v>35.870115614757175</v>
      </c>
      <c r="Q26" s="20">
        <f t="shared" si="2"/>
        <v>303.06413469570208</v>
      </c>
      <c r="R26" s="59">
        <f t="shared" si="0"/>
        <v>596.39746802903539</v>
      </c>
      <c r="S26" s="59">
        <f ca="1">AVERAGE(OFFSET($R$3,0,0,'Données projet'!$E$9+1,1))-AVERAGE(OFFSET($H$3,0,0,'Données projet'!$E$9+1,1))</f>
        <v>481.17250315093412</v>
      </c>
      <c r="T26" s="59">
        <f t="shared" si="34"/>
        <v>413.48123190206832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22.903567632375626</v>
      </c>
      <c r="AB26" s="21">
        <f>EXP(-LN(2)/2)*AB25+(1-EXP(-LN(2)/2))/(LN(2)/2)*V26*Y26*VLOOKUP('Données projet'!$B$9,Paramètres!$A$1:$I$89,3,0)*0.475*44/12</f>
        <v>0.88866082452108563</v>
      </c>
      <c r="AC26" s="22">
        <f t="shared" si="3"/>
        <v>23.792228456896712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4.0628204999999999</v>
      </c>
      <c r="AI26" s="13">
        <f>IF('Données projet'!$A$62&gt;35,AI25+AH26-AQ25,IF(A26&lt;'Données projet'!$A$62,$AF$205^A26,IF(A26='Données projet'!$A$62,'Données projet'!$B$62,AI25+AH26-AQ25)))</f>
        <v>39.73996517732207</v>
      </c>
      <c r="AJ26" s="13">
        <f>AI26*VLOOKUP('Données projet'!$B$10,Paramètres!$A$1:$I$89,3,0)*VLOOKUP('Données projet'!$B$10,Paramètres!$A$1:$I$89,5,0)</f>
        <v>35.956720492441008</v>
      </c>
      <c r="AK26" s="13">
        <f t="shared" si="35"/>
        <v>10.920419916865153</v>
      </c>
      <c r="AL26" s="20">
        <f t="shared" si="4"/>
        <v>81.644352879541572</v>
      </c>
      <c r="AM26" s="59">
        <f t="shared" si="5"/>
        <v>374.97768621287491</v>
      </c>
      <c r="AN26" s="59">
        <f ca="1">AVERAGE(OFFSET($AM$3,0,0,'Données projet'!$E$10+1,1))-AVERAGE(OFFSET($H$3,0,0,'Données projet'!$E$10+1,1))</f>
        <v>426.34811677569007</v>
      </c>
      <c r="AO26" s="59">
        <f t="shared" si="36"/>
        <v>209.65223938402107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4.0628204999999999</v>
      </c>
      <c r="BD26" s="12">
        <f>IF('Données projet'!$A$88&gt;35,BD25+BC26-BL25,IF(A26&lt;'Données projet'!$A$88,$BA$205^A26,IF(A26='Données projet'!$A$88,'Données projet'!$B$88,BD25+BC26-BL25)))</f>
        <v>39.73996517732207</v>
      </c>
      <c r="BE26" s="13">
        <f>BD26*VLOOKUP('Données projet'!$B$11,Paramètres!$A$1:$I$89,3,0)*VLOOKUP('Données projet'!$B$11,Paramètres!$A$1:$I$89,5,0)</f>
        <v>40.296324689804585</v>
      </c>
      <c r="BF26" s="13">
        <f t="shared" si="37"/>
        <v>12.077154028268987</v>
      </c>
      <c r="BG26" s="20">
        <f t="shared" si="7"/>
        <v>91.217142100644807</v>
      </c>
      <c r="BH26" s="59">
        <f t="shared" si="8"/>
        <v>384.55047543397814</v>
      </c>
      <c r="BI26" s="59">
        <f ca="1">AVERAGE(OFFSET($BH$3,0,0,'Données projet'!$E$11+1,1))-AVERAGE(OFFSET($H$3,0,0,'Données projet'!$E$11+1,1))</f>
        <v>485.01379841128346</v>
      </c>
      <c r="BJ26" s="59">
        <f t="shared" si="38"/>
        <v>238.25679915866897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">
        <f t="shared" si="32"/>
        <v>4.0017514182509002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6">
        <f t="shared" si="1"/>
        <v>320.40885038678698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25</v>
      </c>
      <c r="N27" s="13">
        <f>IF('Données projet'!$A$36&gt;35,N26+M27-V26,IF(A27&lt;'Données projet'!$A$36,$K$205^A27,IF(A27='Données projet'!$A$36,'Données projet'!$B$36,N26+M27-V26)))</f>
        <v>255.99999999999997</v>
      </c>
      <c r="O27" s="13">
        <f>N27*VLOOKUP('Données projet'!$B$9,Paramètres!$A$1:$I$89,3,0)*VLOOKUP('Données projet'!$B$9,Paramètres!$A$1:$I$89,5,0)</f>
        <v>153.08799999999999</v>
      </c>
      <c r="P27" s="13">
        <f t="shared" si="33"/>
        <v>39.279510265435114</v>
      </c>
      <c r="Q27" s="20">
        <f t="shared" si="2"/>
        <v>335.04008037896614</v>
      </c>
      <c r="R27" s="59">
        <f t="shared" si="0"/>
        <v>628.37341371229945</v>
      </c>
      <c r="S27" s="59">
        <f ca="1">AVERAGE(OFFSET($R$3,0,0,'Données projet'!$E$9+1,1))-AVERAGE(OFFSET($H$3,0,0,'Données projet'!$E$9+1,1))</f>
        <v>481.17250315093412</v>
      </c>
      <c r="T27" s="59">
        <f t="shared" si="34"/>
        <v>413.48123190206832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22.277268371022039</v>
      </c>
      <c r="AB27" s="21">
        <f>EXP(-LN(2)/2)*AB26+(1-EXP(-LN(2)/2))/(LN(2)/2)*V27*Y27*VLOOKUP('Données projet'!$B$9,Paramètres!$A$1:$I$89,3,0)*0.475*44/12</f>
        <v>0.62837809519368826</v>
      </c>
      <c r="AC27" s="22">
        <f t="shared" si="3"/>
        <v>22.905646466215728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4.0628204999999999</v>
      </c>
      <c r="AI27" s="13">
        <f>IF('Données projet'!$A$62&gt;35,AI26+AH27-AQ26,IF(A27&lt;'Données projet'!$A$62,$AF$205^A27,IF(A27='Données projet'!$A$62,'Données projet'!$B$62,AI26+AH27-AQ26)))</f>
        <v>46.640061227579658</v>
      </c>
      <c r="AJ27" s="13">
        <f>AI27*VLOOKUP('Données projet'!$B$10,Paramètres!$A$1:$I$89,3,0)*VLOOKUP('Données projet'!$B$10,Paramètres!$A$1:$I$89,5,0)</f>
        <v>42.199927398714074</v>
      </c>
      <c r="AK27" s="13">
        <f t="shared" si="35"/>
        <v>12.579908617766964</v>
      </c>
      <c r="AL27" s="20">
        <f t="shared" si="4"/>
        <v>95.408214395371147</v>
      </c>
      <c r="AM27" s="59">
        <f t="shared" si="5"/>
        <v>388.74154772870446</v>
      </c>
      <c r="AN27" s="59">
        <f ca="1">AVERAGE(OFFSET($AM$3,0,0,'Données projet'!$E$10+1,1))-AVERAGE(OFFSET($H$3,0,0,'Données projet'!$E$10+1,1))</f>
        <v>426.34811677569007</v>
      </c>
      <c r="AO27" s="59">
        <f t="shared" si="36"/>
        <v>209.65223938402107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4.0628204999999999</v>
      </c>
      <c r="BD27" s="12">
        <f>IF('Données projet'!$A$88&gt;35,BD26+BC27-BL26,IF(A27&lt;'Données projet'!$A$88,$BA$205^A27,IF(A27='Données projet'!$A$88,'Données projet'!$B$88,BD26+BC27-BL26)))</f>
        <v>46.640061227579658</v>
      </c>
      <c r="BE27" s="13">
        <f>BD27*VLOOKUP('Données projet'!$B$11,Paramètres!$A$1:$I$89,3,0)*VLOOKUP('Données projet'!$B$11,Paramètres!$A$1:$I$89,5,0)</f>
        <v>47.293022084765774</v>
      </c>
      <c r="BF27" s="13">
        <f t="shared" si="37"/>
        <v>13.912422342265884</v>
      </c>
      <c r="BG27" s="20">
        <f t="shared" si="7"/>
        <v>106.59948237708012</v>
      </c>
      <c r="BH27" s="59">
        <f t="shared" si="8"/>
        <v>399.93281571041342</v>
      </c>
      <c r="BI27" s="59">
        <f ca="1">AVERAGE(OFFSET($BH$3,0,0,'Données projet'!$E$11+1,1))-AVERAGE(OFFSET($H$3,0,0,'Données projet'!$E$11+1,1))</f>
        <v>485.01379841128346</v>
      </c>
      <c r="BJ27" s="59">
        <f t="shared" si="38"/>
        <v>238.25679915866897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">
        <f t="shared" si="32"/>
        <v>4.1487307090142194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6">
        <f t="shared" si="1"/>
        <v>321.50258098486643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281</v>
      </c>
      <c r="L28" s="12">
        <f>VLOOKUP(A28,'Données projet'!$A$35:$I$55,9,0)</f>
        <v>25</v>
      </c>
      <c r="M28" s="12">
        <f t="array" ref="M28">INDEX(L:L,MIN(IF(ISNUMBER(L28:L224),ROW(L28:L224),"")))</f>
        <v>25</v>
      </c>
      <c r="N28" s="13">
        <f>IF('Données projet'!$A$36&gt;35,N27+M28-V27,IF(A28&lt;'Données projet'!$A$36,$K$205^A28,IF(A28='Données projet'!$A$36,'Données projet'!$B$36,N27+M28-V27)))</f>
        <v>281</v>
      </c>
      <c r="O28" s="13">
        <f>N28*VLOOKUP('Données projet'!$B$9,Paramètres!$A$1:$I$89,3,0)*VLOOKUP('Données projet'!$B$9,Paramètres!$A$1:$I$89,5,0)</f>
        <v>168.03800000000004</v>
      </c>
      <c r="P28" s="13">
        <f t="shared" si="33"/>
        <v>42.650304418351887</v>
      </c>
      <c r="Q28" s="20">
        <f t="shared" si="2"/>
        <v>366.94879686196288</v>
      </c>
      <c r="R28" s="59">
        <f t="shared" si="0"/>
        <v>660.28213019529619</v>
      </c>
      <c r="S28" s="59">
        <f ca="1">AVERAGE(OFFSET($R$3,0,0,'Données projet'!$E$9+1,1))-AVERAGE(OFFSET($H$3,0,0,'Données projet'!$E$9+1,1))</f>
        <v>481.17250315093412</v>
      </c>
      <c r="T28" s="59">
        <f t="shared" si="34"/>
        <v>413.48123190206832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70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0.45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46.558200718231816</v>
      </c>
      <c r="AB28" s="21">
        <f>EXP(-LN(2)/2)*AB27+(1-EXP(-LN(2)/2))/(LN(2)/2)*V28*Y28*VLOOKUP('Données projet'!$B$9,Paramètres!$A$1:$I$89,3,0)*0.475*44/12</f>
        <v>0.44433041226054287</v>
      </c>
      <c r="AC28" s="22">
        <f t="shared" si="3"/>
        <v>47.002531130492358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4.0628204999999999</v>
      </c>
      <c r="AI28" s="13">
        <f>IF('Données projet'!$A$62&gt;35,AI27+AH28-AQ27,IF(A28&lt;'Données projet'!$A$62,$AF$205^A28,IF(A28='Données projet'!$A$62,'Données projet'!$B$62,AI27+AH28-AQ27)))</f>
        <v>54.738228924109109</v>
      </c>
      <c r="AJ28" s="13">
        <f>AI28*VLOOKUP('Données projet'!$B$10,Paramètres!$A$1:$I$89,3,0)*VLOOKUP('Données projet'!$B$10,Paramètres!$A$1:$I$89,5,0)</f>
        <v>49.527149530533919</v>
      </c>
      <c r="AK28" s="13">
        <f t="shared" si="35"/>
        <v>14.491576517764202</v>
      </c>
      <c r="AL28" s="20">
        <f t="shared" si="4"/>
        <v>111.49928120078589</v>
      </c>
      <c r="AM28" s="59">
        <f t="shared" si="5"/>
        <v>404.83261453411922</v>
      </c>
      <c r="AN28" s="59">
        <f ca="1">AVERAGE(OFFSET($AM$3,0,0,'Données projet'!$E$10+1,1))-AVERAGE(OFFSET($H$3,0,0,'Données projet'!$E$10+1,1))</f>
        <v>426.34811677569007</v>
      </c>
      <c r="AO28" s="59">
        <f t="shared" si="36"/>
        <v>209.65223938402107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4.0628204999999999</v>
      </c>
      <c r="BD28" s="12">
        <f>IF('Données projet'!$A$88&gt;35,BD27+BC28-BL27,IF(A28&lt;'Données projet'!$A$88,$BA$205^A28,IF(A28='Données projet'!$A$88,'Données projet'!$B$88,BD27+BC28-BL27)))</f>
        <v>54.738228924109109</v>
      </c>
      <c r="BE28" s="13">
        <f>BD28*VLOOKUP('Données projet'!$B$11,Paramètres!$A$1:$I$89,3,0)*VLOOKUP('Données projet'!$B$11,Paramètres!$A$1:$I$89,5,0)</f>
        <v>55.504564129046642</v>
      </c>
      <c r="BF28" s="13">
        <f t="shared" si="37"/>
        <v>16.026581674500768</v>
      </c>
      <c r="BG28" s="20">
        <f t="shared" si="7"/>
        <v>124.58341227451173</v>
      </c>
      <c r="BH28" s="59">
        <f t="shared" si="8"/>
        <v>417.91674560784503</v>
      </c>
      <c r="BI28" s="59">
        <f ca="1">AVERAGE(OFFSET($BH$3,0,0,'Données projet'!$E$11+1,1))-AVERAGE(OFFSET($H$3,0,0,'Données projet'!$E$11+1,1))</f>
        <v>485.01379841128346</v>
      </c>
      <c r="BJ28" s="59">
        <f t="shared" si="38"/>
        <v>238.25679915866897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">
        <f t="shared" si="32"/>
        <v>4.2950270625211857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6">
        <f t="shared" si="1"/>
        <v>322.59512213389104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26.6</v>
      </c>
      <c r="N29" s="13">
        <f>IF('Données projet'!$A$36&gt;35,N28+M29-V28,IF(A29&lt;'Données projet'!$A$36,$K$205^A29,IF(A29='Données projet'!$A$36,'Données projet'!$B$36,N28+M29-V28)))</f>
        <v>237.60000000000002</v>
      </c>
      <c r="O29" s="13">
        <f>N29*VLOOKUP('Données projet'!$B$9,Paramètres!$A$1:$I$89,3,0)*VLOOKUP('Données projet'!$B$9,Paramètres!$A$1:$I$89,5,0)</f>
        <v>142.08480000000003</v>
      </c>
      <c r="P29" s="13">
        <f t="shared" si="33"/>
        <v>36.774192249654888</v>
      </c>
      <c r="Q29" s="20">
        <f t="shared" si="2"/>
        <v>311.51274483481569</v>
      </c>
      <c r="R29" s="59">
        <f t="shared" si="0"/>
        <v>604.84607816814901</v>
      </c>
      <c r="S29" s="59">
        <f ca="1">AVERAGE(OFFSET($R$3,0,0,'Données projet'!$E$9+1,1))-AVERAGE(OFFSET($H$3,0,0,'Données projet'!$E$9+1,1))</f>
        <v>481.17250315093412</v>
      </c>
      <c r="T29" s="59">
        <f t="shared" si="34"/>
        <v>413.48123190206832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45.285064271202401</v>
      </c>
      <c r="AB29" s="21">
        <f>EXP(-LN(2)/2)*AB28+(1-EXP(-LN(2)/2))/(LN(2)/2)*V29*Y29*VLOOKUP('Données projet'!$B$9,Paramètres!$A$1:$I$89,3,0)*0.475*44/12</f>
        <v>0.31418904759684418</v>
      </c>
      <c r="AC29" s="22">
        <f t="shared" si="3"/>
        <v>45.599253318799242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4.0628204999999999</v>
      </c>
      <c r="AI29" s="13">
        <f>IF('Données projet'!$A$62&gt;35,AI28+AH29-AQ28,IF(A29&lt;'Données projet'!$A$62,$AF$205^A29,IF(A29='Données projet'!$A$62,'Données projet'!$B$62,AI28+AH29-AQ28)))</f>
        <v>64.242490830530656</v>
      </c>
      <c r="AJ29" s="13">
        <f>AI29*VLOOKUP('Données projet'!$B$10,Paramètres!$A$1:$I$89,3,0)*VLOOKUP('Données projet'!$B$10,Paramètres!$A$1:$I$89,5,0)</f>
        <v>58.126605703464143</v>
      </c>
      <c r="AK29" s="13">
        <f t="shared" si="35"/>
        <v>16.693745268834284</v>
      </c>
      <c r="AL29" s="20">
        <f t="shared" si="4"/>
        <v>130.31211127675309</v>
      </c>
      <c r="AM29" s="59">
        <f t="shared" si="5"/>
        <v>423.64544461008643</v>
      </c>
      <c r="AN29" s="59">
        <f ca="1">AVERAGE(OFFSET($AM$3,0,0,'Données projet'!$E$10+1,1))-AVERAGE(OFFSET($H$3,0,0,'Données projet'!$E$10+1,1))</f>
        <v>426.34811677569007</v>
      </c>
      <c r="AO29" s="59">
        <f t="shared" si="36"/>
        <v>209.65223938402107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4.0628204999999999</v>
      </c>
      <c r="BD29" s="12">
        <f>IF('Données projet'!$A$88&gt;35,BD28+BC29-BL28,IF(A29&lt;'Données projet'!$A$88,$BA$205^A29,IF(A29='Données projet'!$A$88,'Données projet'!$B$88,BD28+BC29-BL28)))</f>
        <v>64.242490830530656</v>
      </c>
      <c r="BE29" s="13">
        <f>BD29*VLOOKUP('Données projet'!$B$11,Paramètres!$A$1:$I$89,3,0)*VLOOKUP('Données projet'!$B$11,Paramètres!$A$1:$I$89,5,0)</f>
        <v>65.141885702158092</v>
      </c>
      <c r="BF29" s="13">
        <f t="shared" si="37"/>
        <v>18.462012858043455</v>
      </c>
      <c r="BG29" s="20">
        <f t="shared" si="7"/>
        <v>145.61012332568433</v>
      </c>
      <c r="BH29" s="59">
        <f t="shared" si="8"/>
        <v>438.94345665901767</v>
      </c>
      <c r="BI29" s="59">
        <f ca="1">AVERAGE(OFFSET($BH$3,0,0,'Données projet'!$E$11+1,1))-AVERAGE(OFFSET($H$3,0,0,'Données projet'!$E$11+1,1))</f>
        <v>485.01379841128346</v>
      </c>
      <c r="BJ29" s="59">
        <f t="shared" si="38"/>
        <v>238.25679915866897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">
        <f t="shared" si="32"/>
        <v>4.4406697522000558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6">
        <f t="shared" si="1"/>
        <v>323.68652481841508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26.6</v>
      </c>
      <c r="N30" s="13">
        <f>IF('Données projet'!$A$36&gt;35,N29+M30-V29,IF(A30&lt;'Données projet'!$A$36,$K$205^A30,IF(A30='Données projet'!$A$36,'Données projet'!$B$36,N29+M30-V29)))</f>
        <v>264.20000000000005</v>
      </c>
      <c r="O30" s="13">
        <f>N30*VLOOKUP('Données projet'!$B$9,Paramètres!$A$1:$I$89,3,0)*VLOOKUP('Données projet'!$B$9,Paramètres!$A$1:$I$89,5,0)</f>
        <v>157.99160000000003</v>
      </c>
      <c r="P30" s="13">
        <f t="shared" si="33"/>
        <v>40.389182682530297</v>
      </c>
      <c r="Q30" s="20">
        <f t="shared" si="2"/>
        <v>345.513196505407</v>
      </c>
      <c r="R30" s="59">
        <f t="shared" si="0"/>
        <v>638.84652983874025</v>
      </c>
      <c r="S30" s="59">
        <f ca="1">AVERAGE(OFFSET($R$3,0,0,'Données projet'!$E$9+1,1))-AVERAGE(OFFSET($H$3,0,0,'Données projet'!$E$9+1,1))</f>
        <v>481.17250315093412</v>
      </c>
      <c r="T30" s="59">
        <f t="shared" si="34"/>
        <v>413.48123190206832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44.04674180726834</v>
      </c>
      <c r="AB30" s="21">
        <f>EXP(-LN(2)/2)*AB29+(1-EXP(-LN(2)/2))/(LN(2)/2)*V30*Y30*VLOOKUP('Données projet'!$B$9,Paramètres!$A$1:$I$89,3,0)*0.475*44/12</f>
        <v>0.22216520613027149</v>
      </c>
      <c r="AC30" s="22">
        <f t="shared" si="3"/>
        <v>44.268907013398611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4.0628204999999999</v>
      </c>
      <c r="AI30" s="13">
        <f>IF('Données projet'!$A$62&gt;35,AI29+AH30-AQ29,IF(A30&lt;'Données projet'!$A$62,$AF$205^A30,IF(A30='Données projet'!$A$62,'Données projet'!$B$62,AI29+AH30-AQ29)))</f>
        <v>75.396988708435572</v>
      </c>
      <c r="AJ30" s="13">
        <f>AI30*VLOOKUP('Données projet'!$B$10,Paramètres!$A$1:$I$89,3,0)*VLOOKUP('Données projet'!$B$10,Paramètres!$A$1:$I$89,5,0)</f>
        <v>68.219195383392503</v>
      </c>
      <c r="AK30" s="13">
        <f t="shared" si="35"/>
        <v>19.230559957304255</v>
      </c>
      <c r="AL30" s="20">
        <f t="shared" si="4"/>
        <v>152.30832388504686</v>
      </c>
      <c r="AM30" s="59">
        <f t="shared" si="5"/>
        <v>445.64165721838015</v>
      </c>
      <c r="AN30" s="59">
        <f ca="1">AVERAGE(OFFSET($AM$3,0,0,'Données projet'!$E$10+1,1))-AVERAGE(OFFSET($H$3,0,0,'Données projet'!$E$10+1,1))</f>
        <v>426.34811677569007</v>
      </c>
      <c r="AO30" s="59">
        <f t="shared" si="36"/>
        <v>209.65223938402107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4.0628204999999999</v>
      </c>
      <c r="BD30" s="12">
        <f>IF('Données projet'!$A$88&gt;35,BD29+BC30-BL29,IF(A30&lt;'Données projet'!$A$88,$BA$205^A30,IF(A30='Données projet'!$A$88,'Données projet'!$B$88,BD29+BC30-BL29)))</f>
        <v>75.396988708435572</v>
      </c>
      <c r="BE30" s="13">
        <f>BD30*VLOOKUP('Données projet'!$B$11,Paramètres!$A$1:$I$89,3,0)*VLOOKUP('Données projet'!$B$11,Paramètres!$A$1:$I$89,5,0)</f>
        <v>76.452546550353674</v>
      </c>
      <c r="BF30" s="13">
        <f t="shared" si="37"/>
        <v>21.267537001534649</v>
      </c>
      <c r="BG30" s="20">
        <f t="shared" si="7"/>
        <v>170.1958121862055</v>
      </c>
      <c r="BH30" s="59">
        <f t="shared" si="8"/>
        <v>463.52914551953882</v>
      </c>
      <c r="BI30" s="59">
        <f ca="1">AVERAGE(OFFSET($BH$3,0,0,'Données projet'!$E$11+1,1))-AVERAGE(OFFSET($H$3,0,0,'Données projet'!$E$11+1,1))</f>
        <v>485.01379841128346</v>
      </c>
      <c r="BJ30" s="59">
        <f t="shared" si="38"/>
        <v>238.25679915866897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">
        <f t="shared" si="32"/>
        <v>4.5856857602159096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6">
        <f t="shared" si="1"/>
        <v>324.77683603237602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26.6</v>
      </c>
      <c r="N31" s="13">
        <f>IF('Données projet'!$A$36&gt;35,N30+M31-V30,IF(A31&lt;'Données projet'!$A$36,$K$205^A31,IF(A31='Données projet'!$A$36,'Données projet'!$B$36,N30+M31-V30)))</f>
        <v>290.80000000000007</v>
      </c>
      <c r="O31" s="13">
        <f>N31*VLOOKUP('Données projet'!$B$9,Paramètres!$A$1:$I$89,3,0)*VLOOKUP('Données projet'!$B$9,Paramètres!$A$1:$I$89,5,0)</f>
        <v>173.89840000000004</v>
      </c>
      <c r="P31" s="13">
        <f t="shared" si="33"/>
        <v>43.961980047450574</v>
      </c>
      <c r="Q31" s="20">
        <f t="shared" si="2"/>
        <v>379.44016191597643</v>
      </c>
      <c r="R31" s="59">
        <f t="shared" si="0"/>
        <v>672.77349524930969</v>
      </c>
      <c r="S31" s="59">
        <f ca="1">AVERAGE(OFFSET($R$3,0,0,'Données projet'!$E$9+1,1))-AVERAGE(OFFSET($H$3,0,0,'Données projet'!$E$9+1,1))</f>
        <v>481.17250315093412</v>
      </c>
      <c r="T31" s="59">
        <f t="shared" si="34"/>
        <v>413.48123190206832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42.842281336231103</v>
      </c>
      <c r="AB31" s="21">
        <f>EXP(-LN(2)/2)*AB30+(1-EXP(-LN(2)/2))/(LN(2)/2)*V31*Y31*VLOOKUP('Données projet'!$B$9,Paramètres!$A$1:$I$89,3,0)*0.475*44/12</f>
        <v>0.15709452379842212</v>
      </c>
      <c r="AC31" s="22">
        <f t="shared" si="3"/>
        <v>42.999375860029524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4.0628204999999999</v>
      </c>
      <c r="AI31" s="13">
        <f>IF('Données projet'!$A$62&gt;35,AI30+AH31-AQ30,IF(A31&lt;'Données projet'!$A$62,$AF$205^A31,IF(A31='Données projet'!$A$62,'Données projet'!$B$62,AI30+AH31-AQ30)))</f>
        <v>88.48825493544463</v>
      </c>
      <c r="AJ31" s="13">
        <f>AI31*VLOOKUP('Données projet'!$B$10,Paramètres!$A$1:$I$89,3,0)*VLOOKUP('Données projet'!$B$10,Paramètres!$A$1:$I$89,5,0)</f>
        <v>80.064173065590296</v>
      </c>
      <c r="AK31" s="13">
        <f t="shared" si="35"/>
        <v>22.152874044501232</v>
      </c>
      <c r="AL31" s="20">
        <f t="shared" si="4"/>
        <v>178.02802371674275</v>
      </c>
      <c r="AM31" s="59">
        <f t="shared" si="5"/>
        <v>471.36135705007609</v>
      </c>
      <c r="AN31" s="59">
        <f ca="1">AVERAGE(OFFSET($AM$3,0,0,'Données projet'!$E$10+1,1))-AVERAGE(OFFSET($H$3,0,0,'Données projet'!$E$10+1,1))</f>
        <v>426.34811677569007</v>
      </c>
      <c r="AO31" s="59">
        <f t="shared" si="36"/>
        <v>209.65223938402107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4.0628204999999999</v>
      </c>
      <c r="BD31" s="12">
        <f>IF('Données projet'!$A$88&gt;35,BD30+BC31-BL30,IF(A31&lt;'Données projet'!$A$88,$BA$205^A31,IF(A31='Données projet'!$A$88,'Données projet'!$B$88,BD30+BC31-BL30)))</f>
        <v>88.48825493544463</v>
      </c>
      <c r="BE31" s="13">
        <f>BD31*VLOOKUP('Données projet'!$B$11,Paramètres!$A$1:$I$89,3,0)*VLOOKUP('Données projet'!$B$11,Paramètres!$A$1:$I$89,5,0)</f>
        <v>89.727090504540854</v>
      </c>
      <c r="BF31" s="13">
        <f t="shared" si="37"/>
        <v>24.499394166253396</v>
      </c>
      <c r="BG31" s="20">
        <f t="shared" si="7"/>
        <v>198.94446080163331</v>
      </c>
      <c r="BH31" s="59">
        <f t="shared" si="8"/>
        <v>492.2777941349666</v>
      </c>
      <c r="BI31" s="59">
        <f ca="1">AVERAGE(OFFSET($BH$3,0,0,'Données projet'!$E$11+1,1))-AVERAGE(OFFSET($H$3,0,0,'Données projet'!$E$11+1,1))</f>
        <v>485.01379841128346</v>
      </c>
      <c r="BJ31" s="59">
        <f t="shared" si="38"/>
        <v>238.25679915866897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">
        <f t="shared" si="32"/>
        <v>4.7301000321811131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6">
        <f t="shared" si="1"/>
        <v>325.86609922271543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26.6</v>
      </c>
      <c r="N32" s="13">
        <f>IF('Données projet'!$A$36&gt;35,N31+M32-V31,IF(A32&lt;'Données projet'!$A$36,$K$205^A32,IF(A32='Données projet'!$A$36,'Données projet'!$B$36,N31+M32-V31)))</f>
        <v>317.40000000000009</v>
      </c>
      <c r="O32" s="13">
        <f>N32*VLOOKUP('Données projet'!$B$9,Paramètres!$A$1:$I$89,3,0)*VLOOKUP('Données projet'!$B$9,Paramètres!$A$1:$I$89,5,0)</f>
        <v>189.80520000000007</v>
      </c>
      <c r="P32" s="13">
        <f t="shared" si="33"/>
        <v>47.496882766206909</v>
      </c>
      <c r="Q32" s="20">
        <f t="shared" si="2"/>
        <v>413.30112748447715</v>
      </c>
      <c r="R32" s="59">
        <f t="shared" si="0"/>
        <v>706.63446081781046</v>
      </c>
      <c r="S32" s="59">
        <f ca="1">AVERAGE(OFFSET($R$3,0,0,'Données projet'!$E$9+1,1))-AVERAGE(OFFSET($H$3,0,0,'Données projet'!$E$9+1,1))</f>
        <v>481.17250315093412</v>
      </c>
      <c r="T32" s="59">
        <f t="shared" si="34"/>
        <v>413.48123190206832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41.670756900114206</v>
      </c>
      <c r="AB32" s="21">
        <f>EXP(-LN(2)/2)*AB31+(1-EXP(-LN(2)/2))/(LN(2)/2)*V32*Y32*VLOOKUP('Données projet'!$B$9,Paramètres!$A$1:$I$89,3,0)*0.475*44/12</f>
        <v>0.11108260306513576</v>
      </c>
      <c r="AC32" s="22">
        <f t="shared" si="3"/>
        <v>41.781839503179341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4.0628204999999999</v>
      </c>
      <c r="AI32" s="13">
        <f>IF('Données projet'!$A$62&gt;35,AI31+AH32-AQ31,IF(A32&lt;'Données projet'!$A$62,$AF$205^A32,IF(A32='Données projet'!$A$62,'Données projet'!$B$62,AI31+AH32-AQ31)))</f>
        <v>103.85257283682719</v>
      </c>
      <c r="AJ32" s="13">
        <f>AI32*VLOOKUP('Données projet'!$B$10,Paramètres!$A$1:$I$89,3,0)*VLOOKUP('Données projet'!$B$10,Paramètres!$A$1:$I$89,5,0)</f>
        <v>93.965807902761242</v>
      </c>
      <c r="AK32" s="13">
        <f t="shared" si="35"/>
        <v>25.51926878474158</v>
      </c>
      <c r="AL32" s="20">
        <f t="shared" si="4"/>
        <v>208.10317523073408</v>
      </c>
      <c r="AM32" s="59">
        <f t="shared" si="5"/>
        <v>501.43650856406737</v>
      </c>
      <c r="AN32" s="59">
        <f ca="1">AVERAGE(OFFSET($AM$3,0,0,'Données projet'!$E$10+1,1))-AVERAGE(OFFSET($H$3,0,0,'Données projet'!$E$10+1,1))</f>
        <v>426.34811677569007</v>
      </c>
      <c r="AO32" s="59">
        <f t="shared" si="36"/>
        <v>209.65223938402107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4.0628204999999999</v>
      </c>
      <c r="BD32" s="12">
        <f>IF('Données projet'!$A$88&gt;35,BD31+BC32-BL31,IF(A32&lt;'Données projet'!$A$88,$BA$205^A32,IF(A32='Données projet'!$A$88,'Données projet'!$B$88,BD31+BC32-BL31)))</f>
        <v>103.85257283682719</v>
      </c>
      <c r="BE32" s="13">
        <f>BD32*VLOOKUP('Données projet'!$B$11,Paramètres!$A$1:$I$89,3,0)*VLOOKUP('Données projet'!$B$11,Paramètres!$A$1:$I$89,5,0)</f>
        <v>105.30650885654279</v>
      </c>
      <c r="BF32" s="13">
        <f t="shared" si="37"/>
        <v>28.222370764895786</v>
      </c>
      <c r="BG32" s="20">
        <f t="shared" si="7"/>
        <v>232.56279867400553</v>
      </c>
      <c r="BH32" s="59">
        <f t="shared" si="8"/>
        <v>525.89613200733879</v>
      </c>
      <c r="BI32" s="59">
        <f ca="1">AVERAGE(OFFSET($BH$3,0,0,'Données projet'!$E$11+1,1))-AVERAGE(OFFSET($H$3,0,0,'Données projet'!$E$11+1,1))</f>
        <v>485.01379841128346</v>
      </c>
      <c r="BJ32" s="59">
        <f t="shared" si="38"/>
        <v>238.25679915866897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">
        <f t="shared" si="32"/>
        <v>4.8739356957462956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6">
        <f t="shared" si="1"/>
        <v>326.95435467009145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344</v>
      </c>
      <c r="L33" s="12">
        <f>VLOOKUP(A33,'Données projet'!$A$35:$I$55,9,0)</f>
        <v>26.6</v>
      </c>
      <c r="M33" s="12">
        <f t="array" ref="M33">INDEX(L:L,MIN(IF(ISNUMBER(L33:L229),ROW(L33:L229),"")))</f>
        <v>26.6</v>
      </c>
      <c r="N33" s="13">
        <f>IF('Données projet'!$A$36&gt;35,N32+M33-V32,IF(A33&lt;'Données projet'!$A$36,$K$205^A33,IF(A33='Données projet'!$A$36,'Données projet'!$B$36,N32+M33-V32)))</f>
        <v>344.00000000000011</v>
      </c>
      <c r="O33" s="13">
        <f>N33*VLOOKUP('Données projet'!$B$9,Paramètres!$A$1:$I$89,3,0)*VLOOKUP('Données projet'!$B$9,Paramètres!$A$1:$I$89,5,0)</f>
        <v>205.7120000000001</v>
      </c>
      <c r="P33" s="13">
        <f t="shared" si="33"/>
        <v>50.997427696933762</v>
      </c>
      <c r="Q33" s="20">
        <f t="shared" si="2"/>
        <v>447.10225323882645</v>
      </c>
      <c r="R33" s="59">
        <f t="shared" si="0"/>
        <v>740.43558657215976</v>
      </c>
      <c r="S33" s="59">
        <f ca="1">AVERAGE(OFFSET($R$3,0,0,'Données projet'!$E$9+1,1))-AVERAGE(OFFSET($H$3,0,0,'Données projet'!$E$9+1,1))</f>
        <v>481.17250315093412</v>
      </c>
      <c r="T33" s="59">
        <f t="shared" si="34"/>
        <v>413.48123190206832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70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0.45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65.421373283636711</v>
      </c>
      <c r="AB33" s="21">
        <f>EXP(-LN(2)/2)*AB32+(1-EXP(-LN(2)/2))/(LN(2)/2)*V33*Y33*VLOOKUP('Données projet'!$B$9,Paramètres!$A$1:$I$89,3,0)*0.475*44/12</f>
        <v>7.8547261899211074E-2</v>
      </c>
      <c r="AC33" s="22">
        <f t="shared" si="3"/>
        <v>65.499920545535929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121.884615</v>
      </c>
      <c r="AG33" s="12">
        <f>VLOOKUP(A33,'Données projet'!$A$61:$I$81,9,0)</f>
        <v>4.0628204999999999</v>
      </c>
      <c r="AH33" s="12">
        <f t="array" ref="AH33">INDEX(AG:AG,MIN(IF(ISNUMBER(AG33:AG229),ROW(AG33:AG229),"")))</f>
        <v>4.0628204999999999</v>
      </c>
      <c r="AI33" s="13">
        <f>IF('Données projet'!$A$62&gt;35,AI32+AH33-AQ32,IF(A33&lt;'Données projet'!$A$62,$AF$205^A33,IF(A33='Données projet'!$A$62,'Données projet'!$B$62,AI32+AH33-AQ32)))</f>
        <v>121.884615</v>
      </c>
      <c r="AJ33" s="13">
        <f>AI33*VLOOKUP('Données projet'!$B$10,Paramètres!$A$1:$I$89,3,0)*VLOOKUP('Données projet'!$B$10,Paramètres!$A$1:$I$89,5,0)</f>
        <v>110.281199652</v>
      </c>
      <c r="AK33" s="13">
        <f t="shared" si="35"/>
        <v>29.397227556102873</v>
      </c>
      <c r="AL33" s="20">
        <f t="shared" si="4"/>
        <v>243.27326072077915</v>
      </c>
      <c r="AM33" s="59">
        <f t="shared" si="5"/>
        <v>536.60659405411252</v>
      </c>
      <c r="AN33" s="59">
        <f ca="1">AVERAGE(OFFSET($AM$3,0,0,'Données projet'!$E$10+1,1))-AVERAGE(OFFSET($H$3,0,0,'Données projet'!$E$10+1,1))</f>
        <v>426.34811677569007</v>
      </c>
      <c r="AO33" s="59">
        <f t="shared" si="36"/>
        <v>209.65223938402107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121.884615</v>
      </c>
      <c r="BB33" s="12">
        <f>VLOOKUP(A33,'Données projet'!$A$87:$I$107,9,0)</f>
        <v>4.0628204999999999</v>
      </c>
      <c r="BC33" s="12">
        <f t="array" ref="BC33">INDEX(BB:BB,MIN(IF(ISNUMBER(BB33:BB229),ROW(BB33:BB229),"")))</f>
        <v>4.0628204999999999</v>
      </c>
      <c r="BD33" s="12">
        <f>IF('Données projet'!$A$88&gt;35,BD32+BC33-BL32,IF(A33&lt;'Données projet'!$A$88,$BA$205^A33,IF(A33='Données projet'!$A$88,'Données projet'!$B$88,BD32+BC33-BL32)))</f>
        <v>121.884615</v>
      </c>
      <c r="BE33" s="13">
        <f>BD33*VLOOKUP('Données projet'!$B$11,Paramètres!$A$1:$I$89,3,0)*VLOOKUP('Données projet'!$B$11,Paramètres!$A$1:$I$89,5,0)</f>
        <v>123.59099961</v>
      </c>
      <c r="BF33" s="13">
        <f t="shared" si="37"/>
        <v>32.511098282111227</v>
      </c>
      <c r="BG33" s="20">
        <f t="shared" si="7"/>
        <v>271.87782049542704</v>
      </c>
      <c r="BH33" s="59">
        <f t="shared" si="8"/>
        <v>565.21115382876042</v>
      </c>
      <c r="BI33" s="59">
        <f ca="1">AVERAGE(OFFSET($BH$3,0,0,'Données projet'!$E$11+1,1))-AVERAGE(OFFSET($H$3,0,0,'Données projet'!$E$11+1,1))</f>
        <v>485.01379841128346</v>
      </c>
      <c r="BJ33" s="59">
        <f t="shared" si="38"/>
        <v>238.25679915866897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">
        <f t="shared" si="32"/>
        <v>5.0172142492270986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6">
        <f t="shared" si="1"/>
        <v>328.04163981740385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26.8</v>
      </c>
      <c r="N34" s="13">
        <f>IF('Données projet'!$A$36&gt;35,N33+M34-V33,IF(A34&lt;'Données projet'!$A$36,$K$205^A34,IF(A34='Données projet'!$A$36,'Données projet'!$B$36,N33+M34-V33)))</f>
        <v>300.80000000000013</v>
      </c>
      <c r="O34" s="13">
        <f>N34*VLOOKUP('Données projet'!$B$9,Paramètres!$A$1:$I$89,3,0)*VLOOKUP('Données projet'!$B$9,Paramètres!$A$1:$I$89,5,0)</f>
        <v>179.87840000000008</v>
      </c>
      <c r="P34" s="13">
        <f t="shared" si="33"/>
        <v>45.295131342961916</v>
      </c>
      <c r="Q34" s="20">
        <f t="shared" si="2"/>
        <v>392.17723375565879</v>
      </c>
      <c r="R34" s="59">
        <f t="shared" si="0"/>
        <v>685.51056708899205</v>
      </c>
      <c r="S34" s="59">
        <f ca="1">AVERAGE(OFFSET($R$3,0,0,'Données projet'!$E$9+1,1))-AVERAGE(OFFSET($H$3,0,0,'Données projet'!$E$9+1,1))</f>
        <v>481.17250315093412</v>
      </c>
      <c r="T34" s="59">
        <f t="shared" si="34"/>
        <v>413.48123190206832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63.632422390835167</v>
      </c>
      <c r="AB34" s="21">
        <f>EXP(-LN(2)/2)*AB33+(1-EXP(-LN(2)/2))/(LN(2)/2)*V34*Y34*VLOOKUP('Données projet'!$B$9,Paramètres!$A$1:$I$89,3,0)*0.475*44/12</f>
        <v>5.5541301532567887E-2</v>
      </c>
      <c r="AC34" s="22">
        <f t="shared" si="3"/>
        <v>63.687963692367738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15.881076999999999</v>
      </c>
      <c r="AI34" s="13">
        <f>IF('Données projet'!$A$62&gt;35,AI33+AH34-AQ33,IF(A34&lt;'Données projet'!$A$62,$AF$205^A34,IF(A34='Données projet'!$A$62,'Données projet'!$B$62,AI33+AH34-AQ33)))</f>
        <v>137.765692</v>
      </c>
      <c r="AJ34" s="13">
        <f>AI34*VLOOKUP('Données projet'!$B$10,Paramètres!$A$1:$I$89,3,0)*VLOOKUP('Données projet'!$B$10,Paramètres!$A$1:$I$89,5,0)</f>
        <v>124.65039812160001</v>
      </c>
      <c r="AK34" s="13">
        <f t="shared" si="35"/>
        <v>32.757216541798861</v>
      </c>
      <c r="AL34" s="20">
        <f t="shared" si="4"/>
        <v>274.15159553875304</v>
      </c>
      <c r="AM34" s="59">
        <f t="shared" si="5"/>
        <v>567.48492887208636</v>
      </c>
      <c r="AN34" s="59">
        <f ca="1">AVERAGE(OFFSET($AM$3,0,0,'Données projet'!$E$10+1,1))-AVERAGE(OFFSET($H$3,0,0,'Données projet'!$E$10+1,1))</f>
        <v>426.34811677569007</v>
      </c>
      <c r="AO34" s="59">
        <f t="shared" si="36"/>
        <v>209.65223938402107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15.881076999999999</v>
      </c>
      <c r="BD34" s="12">
        <f>IF('Données projet'!$A$88&gt;35,BD33+BC34-BL33,IF(A34&lt;'Données projet'!$A$88,$BA$205^A34,IF(A34='Données projet'!$A$88,'Données projet'!$B$88,BD33+BC34-BL33)))</f>
        <v>137.765692</v>
      </c>
      <c r="BE34" s="13">
        <f>BD34*VLOOKUP('Données projet'!$B$11,Paramètres!$A$1:$I$89,3,0)*VLOOKUP('Données projet'!$B$11,Paramètres!$A$1:$I$89,5,0)</f>
        <v>139.694411688</v>
      </c>
      <c r="BF34" s="13">
        <f t="shared" si="37"/>
        <v>36.226990603327643</v>
      </c>
      <c r="BG34" s="20">
        <f t="shared" si="7"/>
        <v>306.39644232406232</v>
      </c>
      <c r="BH34" s="59">
        <f t="shared" si="8"/>
        <v>599.72977565739563</v>
      </c>
      <c r="BI34" s="59">
        <f ca="1">AVERAGE(OFFSET($BH$3,0,0,'Données projet'!$E$11+1,1))-AVERAGE(OFFSET($H$3,0,0,'Données projet'!$E$11+1,1))</f>
        <v>485.01379841128346</v>
      </c>
      <c r="BJ34" s="59">
        <f t="shared" si="38"/>
        <v>238.25679915866897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">
        <f t="shared" si="32"/>
        <v>5.1599557252083068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6">
        <f t="shared" si="1"/>
        <v>329.12798955473778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26.8</v>
      </c>
      <c r="N35" s="13">
        <f>IF('Données projet'!$A$36&gt;35,N34+M35-V34,IF(A35&lt;'Données projet'!$A$36,$K$205^A35,IF(A35='Données projet'!$A$36,'Données projet'!$B$36,N34+M35-V34)))</f>
        <v>327.60000000000014</v>
      </c>
      <c r="O35" s="13">
        <f>N35*VLOOKUP('Données projet'!$B$9,Paramètres!$A$1:$I$89,3,0)*VLOOKUP('Données projet'!$B$9,Paramètres!$A$1:$I$89,5,0)</f>
        <v>195.90480000000011</v>
      </c>
      <c r="P35" s="13">
        <f t="shared" si="33"/>
        <v>48.843085918490004</v>
      </c>
      <c r="Q35" s="20">
        <f t="shared" ref="Q35:Q66" si="53">(O35+P35)*0.475*44/12</f>
        <v>426.2692346413703</v>
      </c>
      <c r="R35" s="59">
        <f t="shared" si="0"/>
        <v>719.60256797470356</v>
      </c>
      <c r="S35" s="59">
        <f ca="1">AVERAGE(OFFSET($R$3,0,0,'Données projet'!$E$9+1,1))-AVERAGE(OFFSET($H$3,0,0,'Données projet'!$E$9+1,1))</f>
        <v>481.17250315093412</v>
      </c>
      <c r="T35" s="59">
        <f t="shared" si="34"/>
        <v>413.48123190206832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61.892390454274121</v>
      </c>
      <c r="AB35" s="21">
        <f>EXP(-LN(2)/2)*AB34+(1-EXP(-LN(2)/2))/(LN(2)/2)*V35*Y35*VLOOKUP('Données projet'!$B$9,Paramètres!$A$1:$I$89,3,0)*0.475*44/12</f>
        <v>3.9273630949605537E-2</v>
      </c>
      <c r="AC35" s="22">
        <f t="shared" si="3"/>
        <v>61.93166408522373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15.881076999999999</v>
      </c>
      <c r="AI35" s="13">
        <f>IF('Données projet'!$A$62&gt;35,AI34+AH35-AQ34,IF(A35&lt;'Données projet'!$A$62,$AF$205^A35,IF(A35='Données projet'!$A$62,'Données projet'!$B$62,AI34+AH35-AQ34)))</f>
        <v>153.64676900000001</v>
      </c>
      <c r="AJ35" s="13">
        <f>AI35*VLOOKUP('Données projet'!$B$10,Paramètres!$A$1:$I$89,3,0)*VLOOKUP('Données projet'!$B$10,Paramètres!$A$1:$I$89,5,0)</f>
        <v>139.01959659119998</v>
      </c>
      <c r="AK35" s="13">
        <f t="shared" si="35"/>
        <v>36.072317063549654</v>
      </c>
      <c r="AL35" s="20">
        <f t="shared" si="4"/>
        <v>304.9517496153556</v>
      </c>
      <c r="AM35" s="59">
        <f t="shared" si="5"/>
        <v>598.28508294868891</v>
      </c>
      <c r="AN35" s="59">
        <f ca="1">AVERAGE(OFFSET($AM$3,0,0,'Données projet'!$E$10+1,1))-AVERAGE(OFFSET($H$3,0,0,'Données projet'!$E$10+1,1))</f>
        <v>426.34811677569007</v>
      </c>
      <c r="AO35" s="59">
        <f t="shared" si="36"/>
        <v>209.65223938402107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15.881076999999999</v>
      </c>
      <c r="BD35" s="12">
        <f>IF('Données projet'!$A$88&gt;35,BD34+BC35-BL34,IF(A35&lt;'Données projet'!$A$88,$BA$205^A35,IF(A35='Données projet'!$A$88,'Données projet'!$B$88,BD34+BC35-BL34)))</f>
        <v>153.64676900000001</v>
      </c>
      <c r="BE35" s="13">
        <f>BD35*VLOOKUP('Données projet'!$B$11,Paramètres!$A$1:$I$89,3,0)*VLOOKUP('Données projet'!$B$11,Paramètres!$A$1:$I$89,5,0)</f>
        <v>155.79782376600002</v>
      </c>
      <c r="BF35" s="13">
        <f t="shared" si="37"/>
        <v>39.893239696784846</v>
      </c>
      <c r="BG35" s="20">
        <f t="shared" si="7"/>
        <v>340.82860219768367</v>
      </c>
      <c r="BH35" s="59">
        <f t="shared" si="8"/>
        <v>634.16193553101698</v>
      </c>
      <c r="BI35" s="59">
        <f ca="1">AVERAGE(OFFSET($BH$3,0,0,'Données projet'!$E$11+1,1))-AVERAGE(OFFSET($H$3,0,0,'Données projet'!$E$11+1,1))</f>
        <v>485.01379841128346</v>
      </c>
      <c r="BJ35" s="59">
        <f t="shared" si="38"/>
        <v>238.25679915866897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">
        <f t="shared" si="32"/>
        <v>5.3021788331229462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6">
        <f t="shared" si="1"/>
        <v>330.21343646768912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26.8</v>
      </c>
      <c r="N36" s="13">
        <f>IF('Données projet'!$A$36&gt;35,N35+M36-V35,IF(A36&lt;'Données projet'!$A$36,$K$205^A36,IF(A36='Données projet'!$A$36,'Données projet'!$B$36,N35+M36-V35)))</f>
        <v>354.40000000000015</v>
      </c>
      <c r="O36" s="13">
        <f>N36*VLOOKUP('Données projet'!$B$9,Paramètres!$A$1:$I$89,3,0)*VLOOKUP('Données projet'!$B$9,Paramètres!$A$1:$I$89,5,0)</f>
        <v>211.93120000000013</v>
      </c>
      <c r="P36" s="13">
        <f t="shared" si="33"/>
        <v>52.357376385254923</v>
      </c>
      <c r="Q36" s="20">
        <f t="shared" si="53"/>
        <v>460.30260387098588</v>
      </c>
      <c r="R36" s="59">
        <f t="shared" si="0"/>
        <v>753.63593720431913</v>
      </c>
      <c r="S36" s="59">
        <f ca="1">AVERAGE(OFFSET($R$3,0,0,'Données projet'!$E$9+1,1))-AVERAGE(OFFSET($H$3,0,0,'Données projet'!$E$9+1,1))</f>
        <v>481.17250315093412</v>
      </c>
      <c r="T36" s="59">
        <f t="shared" si="34"/>
        <v>413.48123190206832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60.199939782522641</v>
      </c>
      <c r="AB36" s="21">
        <f>EXP(-LN(2)/2)*AB35+(1-EXP(-LN(2)/2))/(LN(2)/2)*V36*Y36*VLOOKUP('Données projet'!$B$9,Paramètres!$A$1:$I$89,3,0)*0.475*44/12</f>
        <v>2.7770650766283943E-2</v>
      </c>
      <c r="AC36" s="22">
        <f t="shared" si="3"/>
        <v>60.227710433288927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15.881076999999999</v>
      </c>
      <c r="AI36" s="13">
        <f>IF('Données projet'!$A$62&gt;35,AI35+AH36-AQ35,IF(A36&lt;'Données projet'!$A$62,$AF$205^A36,IF(A36='Données projet'!$A$62,'Données projet'!$B$62,AI35+AH36-AQ35)))</f>
        <v>169.52784600000001</v>
      </c>
      <c r="AJ36" s="13">
        <f>AI36*VLOOKUP('Données projet'!$B$10,Paramètres!$A$1:$I$89,3,0)*VLOOKUP('Données projet'!$B$10,Paramètres!$A$1:$I$89,5,0)</f>
        <v>153.38879506079999</v>
      </c>
      <c r="AK36" s="13">
        <f t="shared" si="35"/>
        <v>39.347697282639572</v>
      </c>
      <c r="AL36" s="20">
        <f t="shared" si="4"/>
        <v>335.68272416482392</v>
      </c>
      <c r="AM36" s="59">
        <f t="shared" si="5"/>
        <v>629.01605749815724</v>
      </c>
      <c r="AN36" s="59">
        <f ca="1">AVERAGE(OFFSET($AM$3,0,0,'Données projet'!$E$10+1,1))-AVERAGE(OFFSET($H$3,0,0,'Données projet'!$E$10+1,1))</f>
        <v>426.34811677569007</v>
      </c>
      <c r="AO36" s="59">
        <f t="shared" si="36"/>
        <v>209.65223938402107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15.881076999999999</v>
      </c>
      <c r="BD36" s="12">
        <f>IF('Données projet'!$A$88&gt;35,BD35+BC36-BL35,IF(A36&lt;'Données projet'!$A$88,$BA$205^A36,IF(A36='Données projet'!$A$88,'Données projet'!$B$88,BD35+BC36-BL35)))</f>
        <v>169.52784600000001</v>
      </c>
      <c r="BE36" s="13">
        <f>BD36*VLOOKUP('Données projet'!$B$11,Paramètres!$A$1:$I$89,3,0)*VLOOKUP('Données projet'!$B$11,Paramètres!$A$1:$I$89,5,0)</f>
        <v>171.90123584400001</v>
      </c>
      <c r="BF36" s="13">
        <f t="shared" si="37"/>
        <v>43.515561155871175</v>
      </c>
      <c r="BG36" s="20">
        <f t="shared" si="7"/>
        <v>375.18425477477564</v>
      </c>
      <c r="BH36" s="59">
        <f t="shared" si="8"/>
        <v>668.51758810810895</v>
      </c>
      <c r="BI36" s="59">
        <f ca="1">AVERAGE(OFFSET($BH$3,0,0,'Données projet'!$E$11+1,1))-AVERAGE(OFFSET($H$3,0,0,'Données projet'!$E$11+1,1))</f>
        <v>485.01379841128346</v>
      </c>
      <c r="BJ36" s="59">
        <f t="shared" si="38"/>
        <v>238.25679915866897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">
        <f t="shared" si="32"/>
        <v>5.4439010840635174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6">
        <f t="shared" si="1"/>
        <v>331.29801105474394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26.8</v>
      </c>
      <c r="N37" s="13">
        <f>IF('Données projet'!$A$36&gt;35,N36+M37-V36,IF(A37&lt;'Données projet'!$A$36,$K$205^A37,IF(A37='Données projet'!$A$36,'Données projet'!$B$36,N36+M37-V36)))</f>
        <v>381.20000000000016</v>
      </c>
      <c r="O37" s="13">
        <f>N37*VLOOKUP('Données projet'!$B$9,Paramètres!$A$1:$I$89,3,0)*VLOOKUP('Données projet'!$B$9,Paramètres!$A$1:$I$89,5,0)</f>
        <v>227.95760000000013</v>
      </c>
      <c r="P37" s="13">
        <f t="shared" si="33"/>
        <v>55.840837908542632</v>
      </c>
      <c r="Q37" s="20">
        <f t="shared" si="53"/>
        <v>494.28227935737863</v>
      </c>
      <c r="R37" s="59">
        <f t="shared" si="0"/>
        <v>787.61561269071194</v>
      </c>
      <c r="S37" s="59">
        <f ca="1">AVERAGE(OFFSET($R$3,0,0,'Données projet'!$E$9+1,1))-AVERAGE(OFFSET($H$3,0,0,'Données projet'!$E$9+1,1))</f>
        <v>481.17250315093412</v>
      </c>
      <c r="T37" s="59">
        <f t="shared" si="34"/>
        <v>413.48123190206832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58.553769263392319</v>
      </c>
      <c r="AB37" s="21">
        <f>EXP(-LN(2)/2)*AB36+(1-EXP(-LN(2)/2))/(LN(2)/2)*V37*Y37*VLOOKUP('Données projet'!$B$9,Paramètres!$A$1:$I$89,3,0)*0.475*44/12</f>
        <v>1.9636815474802768E-2</v>
      </c>
      <c r="AC37" s="22">
        <f t="shared" si="3"/>
        <v>58.573406078867123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15.881076999999999</v>
      </c>
      <c r="AI37" s="13">
        <f>IF('Données projet'!$A$62&gt;35,AI36+AH37-AQ36,IF(A37&lt;'Données projet'!$A$62,$AF$205^A37,IF(A37='Données projet'!$A$62,'Données projet'!$B$62,AI36+AH37-AQ36)))</f>
        <v>185.40892300000002</v>
      </c>
      <c r="AJ37" s="13">
        <f>AI37*VLOOKUP('Données projet'!$B$10,Paramètres!$A$1:$I$89,3,0)*VLOOKUP('Données projet'!$B$10,Paramètres!$A$1:$I$89,5,0)</f>
        <v>167.7579935304</v>
      </c>
      <c r="AK37" s="13">
        <f t="shared" si="35"/>
        <v>42.58750139567136</v>
      </c>
      <c r="AL37" s="20">
        <f t="shared" si="4"/>
        <v>366.35173699624096</v>
      </c>
      <c r="AM37" s="59">
        <f t="shared" si="5"/>
        <v>659.68507032957427</v>
      </c>
      <c r="AN37" s="59">
        <f ca="1">AVERAGE(OFFSET($AM$3,0,0,'Données projet'!$E$10+1,1))-AVERAGE(OFFSET($H$3,0,0,'Données projet'!$E$10+1,1))</f>
        <v>426.34811677569007</v>
      </c>
      <c r="AO37" s="59">
        <f t="shared" si="36"/>
        <v>209.65223938402107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15.881076999999999</v>
      </c>
      <c r="BD37" s="12">
        <f>IF('Données projet'!$A$88&gt;35,BD36+BC37-BL36,IF(A37&lt;'Données projet'!$A$88,$BA$205^A37,IF(A37='Données projet'!$A$88,'Données projet'!$B$88,BD36+BC37-BL36)))</f>
        <v>185.40892300000002</v>
      </c>
      <c r="BE37" s="13">
        <f>BD37*VLOOKUP('Données projet'!$B$11,Paramètres!$A$1:$I$89,3,0)*VLOOKUP('Données projet'!$B$11,Paramètres!$A$1:$I$89,5,0)</f>
        <v>188.00464792200003</v>
      </c>
      <c r="BF37" s="13">
        <f t="shared" si="37"/>
        <v>47.098538146900324</v>
      </c>
      <c r="BG37" s="20">
        <f t="shared" si="7"/>
        <v>409.47138240333476</v>
      </c>
      <c r="BH37" s="59">
        <f t="shared" si="8"/>
        <v>702.80471573666807</v>
      </c>
      <c r="BI37" s="59">
        <f ca="1">AVERAGE(OFFSET($BH$3,0,0,'Données projet'!$E$11+1,1))-AVERAGE(OFFSET($H$3,0,0,'Données projet'!$E$11+1,1))</f>
        <v>485.01379841128346</v>
      </c>
      <c r="BJ37" s="59">
        <f t="shared" si="38"/>
        <v>238.25679915866897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">
        <f t="shared" si="32"/>
        <v>5.5851389004969132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6">
        <f t="shared" si="1"/>
        <v>332.38174191836544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408</v>
      </c>
      <c r="L38" s="12">
        <f>VLOOKUP(A38,'Données projet'!$A$35:$I$55,9,0)</f>
        <v>26.8</v>
      </c>
      <c r="M38" s="12">
        <f t="array" ref="M38">INDEX(L:L,MIN(IF(ISNUMBER(L38:L234),ROW(L38:L234),"")))</f>
        <v>26.8</v>
      </c>
      <c r="N38" s="13">
        <f>IF('Données projet'!$A$36&gt;35,N37+M38-V37,IF(A38&lt;'Données projet'!$A$36,$K$205^A38,IF(A38='Données projet'!$A$36,'Données projet'!$B$36,N37+M38-V37)))</f>
        <v>408.00000000000017</v>
      </c>
      <c r="O38" s="13">
        <f>N38*VLOOKUP('Données projet'!$B$9,Paramètres!$A$1:$I$89,3,0)*VLOOKUP('Données projet'!$B$9,Paramètres!$A$1:$I$89,5,0)</f>
        <v>243.98400000000012</v>
      </c>
      <c r="P38" s="13">
        <f t="shared" si="33"/>
        <v>59.295884425255011</v>
      </c>
      <c r="Q38" s="20">
        <f t="shared" si="53"/>
        <v>528.21246537398599</v>
      </c>
      <c r="R38" s="59">
        <f t="shared" si="0"/>
        <v>821.54579870731936</v>
      </c>
      <c r="S38" s="59">
        <f ca="1">AVERAGE(OFFSET($R$3,0,0,'Données projet'!$E$9+1,1))-AVERAGE(OFFSET($H$3,0,0,'Données projet'!$E$9+1,1))</f>
        <v>481.17250315093412</v>
      </c>
      <c r="T38" s="59">
        <f t="shared" si="34"/>
        <v>413.48123190206832</v>
      </c>
      <c r="U38" s="15">
        <f>IF(ISNA(VLOOKUP(A38,'Données projet'!$A$35:$I$55,3,0)),0,VLOOKUP(A38,'Données projet'!$A$35:$I$55,3,0))</f>
        <v>5</v>
      </c>
      <c r="V38" s="15">
        <f>IF(ISNA(VLOOKUP(A38,'Données projet'!$A$35:$I$55,4,0)),0,VLOOKUP(A38,'Données projet'!$A$35:$I$55,4,0))</f>
        <v>70</v>
      </c>
      <c r="W38" s="16">
        <f>IF(ISNA(VLOOKUP(A38,'Données projet'!$A$35:$I$55,5,0)),0%,VLOOKUP(A38,'Données projet'!$A$35:$I$55,5,0)*VLOOKUP('Données projet'!$B$9,Paramètres!$A$1:$I$89,7,0))</f>
        <v>0.45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24.988494647114621</v>
      </c>
      <c r="AA38" s="21">
        <f>EXP(-LN(2)/25)*AA37+(1-EXP(-LN(2)/25))/(LN(2)/25)*Calculateur!V38*Calculateur!X38*VLOOKUP('Données projet'!$B$9,Paramètres!$A$1:$I$89,3,0)*0.475*44/12</f>
        <v>56.952613363675958</v>
      </c>
      <c r="AB38" s="21">
        <f>EXP(-LN(2)/2)*AB37+(1-EXP(-LN(2)/2))/(LN(2)/2)*V38*Y38*VLOOKUP('Données projet'!$B$9,Paramètres!$A$1:$I$89,3,0)*0.475*44/12</f>
        <v>1.3885325383141972E-2</v>
      </c>
      <c r="AC38" s="22">
        <f t="shared" si="3"/>
        <v>81.954993336173715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201.29</v>
      </c>
      <c r="AG38" s="12">
        <f>VLOOKUP(A38,'Données projet'!$A$61:$I$81,9,0)</f>
        <v>15.881076999999999</v>
      </c>
      <c r="AH38" s="12">
        <f t="array" ref="AH38">INDEX(AG:AG,MIN(IF(ISNUMBER(AG38:AG234),ROW(AG38:AG234),"")))</f>
        <v>15.881076999999999</v>
      </c>
      <c r="AI38" s="13">
        <f>IF('Données projet'!$A$62&gt;35,AI37+AH38-AQ37,IF(A38&lt;'Données projet'!$A$62,$AF$205^A38,IF(A38='Données projet'!$A$62,'Données projet'!$B$62,AI37+AH38-AQ37)))</f>
        <v>201.29000000000002</v>
      </c>
      <c r="AJ38" s="13">
        <f>AI38*VLOOKUP('Données projet'!$B$10,Paramètres!$A$1:$I$89,3,0)*VLOOKUP('Données projet'!$B$10,Paramètres!$A$1:$I$89,5,0)</f>
        <v>182.12719200000001</v>
      </c>
      <c r="AK38" s="13">
        <f t="shared" si="35"/>
        <v>45.795123112801811</v>
      </c>
      <c r="AL38" s="20">
        <f t="shared" si="4"/>
        <v>396.96469882146312</v>
      </c>
      <c r="AM38" s="59">
        <f t="shared" si="5"/>
        <v>690.29803215479637</v>
      </c>
      <c r="AN38" s="59">
        <f ca="1">AVERAGE(OFFSET($AM$3,0,0,'Données projet'!$E$10+1,1))-AVERAGE(OFFSET($H$3,0,0,'Données projet'!$E$10+1,1))</f>
        <v>426.34811677569007</v>
      </c>
      <c r="AO38" s="59">
        <f t="shared" si="36"/>
        <v>209.65223938402107</v>
      </c>
      <c r="AP38" s="15">
        <f>IF(ISNA(VLOOKUP(A38,'Données projet'!$A$61:$I$81,3,0)),0,VLOOKUP(A38,'Données projet'!$A$61:$I$81,3,0))</f>
        <v>1</v>
      </c>
      <c r="AQ38" s="15">
        <f>IF(ISNA(VLOOKUP(A38,'Données projet'!$A$61:$I$81,4,0)),0,VLOOKUP(A38,'Données projet'!$A$61:$I$81,4,0))</f>
        <v>69.58</v>
      </c>
      <c r="AR38" s="16">
        <f>IF(ISNA(VLOOKUP(A38,'Données projet'!$A$61:$I$81,5,0)),0%,VLOOKUP(A38,'Données projet'!$A$61:$I$81,5,0)*VLOOKUP('Données projet'!$B$10,Paramètres!$A$1:$I$89,7,0))</f>
        <v>0.43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29.926269476330646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29.926269476330646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201.29</v>
      </c>
      <c r="BB38" s="12">
        <f>VLOOKUP(A38,'Données projet'!$A$87:$I$107,9,0)</f>
        <v>15.881076999999999</v>
      </c>
      <c r="BC38" s="12">
        <f t="array" ref="BC38">INDEX(BB:BB,MIN(IF(ISNUMBER(BB38:BB234),ROW(BB38:BB234),"")))</f>
        <v>15.881076999999999</v>
      </c>
      <c r="BD38" s="12">
        <f>IF('Données projet'!$A$88&gt;35,BD37+BC38-BL37,IF(A38&lt;'Données projet'!$A$88,$BA$205^A38,IF(A38='Données projet'!$A$88,'Données projet'!$B$88,BD37+BC38-BL37)))</f>
        <v>201.29000000000002</v>
      </c>
      <c r="BE38" s="13">
        <f>BD38*VLOOKUP('Données projet'!$B$11,Paramètres!$A$1:$I$89,3,0)*VLOOKUP('Données projet'!$B$11,Paramètres!$A$1:$I$89,5,0)</f>
        <v>204.10806000000002</v>
      </c>
      <c r="BF38" s="13">
        <f t="shared" si="37"/>
        <v>50.645923855244554</v>
      </c>
      <c r="BG38" s="20">
        <f t="shared" si="7"/>
        <v>443.69652188121762</v>
      </c>
      <c r="BH38" s="59">
        <f t="shared" si="8"/>
        <v>737.02985521455093</v>
      </c>
      <c r="BI38" s="59">
        <f ca="1">AVERAGE(OFFSET($BH$3,0,0,'Données projet'!$E$11+1,1))-AVERAGE(OFFSET($H$3,0,0,'Données projet'!$E$11+1,1))</f>
        <v>485.01379841128346</v>
      </c>
      <c r="BJ38" s="59">
        <f t="shared" si="38"/>
        <v>238.25679915866897</v>
      </c>
      <c r="BK38" s="15">
        <f>IF(ISNA(VLOOKUP(A38,'Données projet'!$A$87:$I$107,3,0)),0,VLOOKUP(A38,'Données projet'!$A$87:$I$107,3,0))</f>
        <v>1</v>
      </c>
      <c r="BL38" s="15">
        <f>IF(ISNA(VLOOKUP(A38,'Données projet'!$A$87:$I$107,4,0)),0,VLOOKUP(A38,'Données projet'!$A$87:$I$107,4,0))</f>
        <v>69.58</v>
      </c>
      <c r="BM38" s="16">
        <f>IF(ISNA(VLOOKUP(A38,'Données projet'!$A$87:$I$107,5,0)),0%,VLOOKUP(A38,'Données projet'!$A$87:$I$107,5,0)*VLOOKUP('Données projet'!$B$11,Paramètres!$A$1:$I$89,7,0))</f>
        <v>0.43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33.538060620025725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33.538060620025725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">
        <f t="shared" si="32"/>
        <v>5.7259077130880893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6">
        <f t="shared" si="1"/>
        <v>333.46465593362842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25.8</v>
      </c>
      <c r="N39" s="13">
        <f>IF('Données projet'!$A$36&gt;35,N38+M39-V38,IF(A39&lt;'Données projet'!$A$36,$K$205^A39,IF(A39='Données projet'!$A$36,'Données projet'!$B$36,N38+M39-V38)))</f>
        <v>363.80000000000018</v>
      </c>
      <c r="O39" s="13">
        <f>N39*VLOOKUP('Données projet'!$B$9,Paramètres!$A$1:$I$89,3,0)*VLOOKUP('Données projet'!$B$9,Paramètres!$A$1:$I$89,5,0)</f>
        <v>217.55240000000015</v>
      </c>
      <c r="P39" s="13">
        <f t="shared" si="33"/>
        <v>53.58256606538</v>
      </c>
      <c r="Q39" s="20">
        <f t="shared" si="53"/>
        <v>472.22673256387026</v>
      </c>
      <c r="R39" s="59">
        <f t="shared" si="0"/>
        <v>765.56006589720357</v>
      </c>
      <c r="S39" s="59">
        <f ca="1">AVERAGE(OFFSET($R$3,0,0,'Données projet'!$E$9+1,1))-AVERAGE(OFFSET($H$3,0,0,'Données projet'!$E$9+1,1))</f>
        <v>481.17250315093412</v>
      </c>
      <c r="T39" s="59">
        <f t="shared" si="34"/>
        <v>413.48123190206832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24.498485508561465</v>
      </c>
      <c r="AA39" s="21">
        <f>EXP(-LN(2)/25)*AA38+(1-EXP(-LN(2)/25))/(LN(2)/25)*Calculateur!V39*Calculateur!X39*VLOOKUP('Données projet'!$B$9,Paramètres!$A$1:$I$89,3,0)*0.475*44/12</f>
        <v>55.39524115623847</v>
      </c>
      <c r="AB39" s="21">
        <f>EXP(-LN(2)/2)*AB38+(1-EXP(-LN(2)/2))/(LN(2)/2)*V39*Y39*VLOOKUP('Données projet'!$B$9,Paramètres!$A$1:$I$89,3,0)*0.475*44/12</f>
        <v>9.8184077374013842E-3</v>
      </c>
      <c r="AC39" s="22">
        <f t="shared" si="3"/>
        <v>79.903545072537341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12.86166666666667</v>
      </c>
      <c r="AI39" s="13">
        <f>IF('Données projet'!$A$62&gt;35,AI38+AH39-AQ38,IF(A39&lt;'Données projet'!$A$62,$AF$205^A39,IF(A39='Données projet'!$A$62,'Données projet'!$B$62,AI38+AH39-AQ38)))</f>
        <v>144.57166666666672</v>
      </c>
      <c r="AJ39" s="13">
        <f>AI39*VLOOKUP('Données projet'!$B$10,Paramètres!$A$1:$I$89,3,0)*VLOOKUP('Données projet'!$B$10,Paramètres!$A$1:$I$89,5,0)</f>
        <v>130.80844400000004</v>
      </c>
      <c r="AK39" s="13">
        <f t="shared" si="35"/>
        <v>34.183099548128496</v>
      </c>
      <c r="AL39" s="20">
        <f t="shared" si="4"/>
        <v>287.36027167965722</v>
      </c>
      <c r="AM39" s="59">
        <f t="shared" si="5"/>
        <v>580.69360501299047</v>
      </c>
      <c r="AN39" s="59">
        <f ca="1">AVERAGE(OFFSET($AM$3,0,0,'Données projet'!$E$10+1,1))-AVERAGE(OFFSET($H$3,0,0,'Données projet'!$E$10+1,1))</f>
        <v>426.34811677569007</v>
      </c>
      <c r="AO39" s="59">
        <f t="shared" si="36"/>
        <v>209.65223938402107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29.339433585121828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29.339433585121828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12.86166666666667</v>
      </c>
      <c r="BD39" s="12">
        <f>IF('Données projet'!$A$88&gt;35,BD38+BC39-BL38,IF(A39&lt;'Données projet'!$A$88,$BA$205^A39,IF(A39='Données projet'!$A$88,'Données projet'!$B$88,BD38+BC39-BL38)))</f>
        <v>144.57166666666672</v>
      </c>
      <c r="BE39" s="13">
        <f>BD39*VLOOKUP('Données projet'!$B$11,Paramètres!$A$1:$I$89,3,0)*VLOOKUP('Données projet'!$B$11,Paramètres!$A$1:$I$89,5,0)</f>
        <v>146.59567000000007</v>
      </c>
      <c r="BF39" s="13">
        <f t="shared" si="37"/>
        <v>37.803908782741182</v>
      </c>
      <c r="BG39" s="20">
        <f t="shared" si="7"/>
        <v>321.16259971327435</v>
      </c>
      <c r="BH39" s="59">
        <f t="shared" si="8"/>
        <v>614.49593304660766</v>
      </c>
      <c r="BI39" s="59">
        <f ca="1">AVERAGE(OFFSET($BH$3,0,0,'Données projet'!$E$11+1,1))-AVERAGE(OFFSET($H$3,0,0,'Données projet'!$E$11+1,1))</f>
        <v>485.01379841128346</v>
      </c>
      <c r="BJ39" s="59">
        <f t="shared" si="38"/>
        <v>238.25679915866897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32.880399707464115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32.880399707464115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">
        <f t="shared" si="32"/>
        <v>5.8662220464630659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6">
        <f t="shared" si="1"/>
        <v>334.54677839758983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25.8</v>
      </c>
      <c r="N40" s="13">
        <f>IF('Données projet'!$A$36&gt;35,N39+M40-V39,IF(A40&lt;'Données projet'!$A$36,$K$205^A40,IF(A40='Données projet'!$A$36,'Données projet'!$B$36,N39+M40-V39)))</f>
        <v>389.60000000000019</v>
      </c>
      <c r="O40" s="13">
        <f>N40*VLOOKUP('Données projet'!$B$9,Paramètres!$A$1:$I$89,3,0)*VLOOKUP('Données projet'!$B$9,Paramètres!$A$1:$I$89,5,0)</f>
        <v>232.98080000000013</v>
      </c>
      <c r="P40" s="13">
        <f t="shared" si="33"/>
        <v>56.926716368527195</v>
      </c>
      <c r="Q40" s="20">
        <f t="shared" si="53"/>
        <v>504.92225767518511</v>
      </c>
      <c r="R40" s="59">
        <f t="shared" si="0"/>
        <v>798.25559100851842</v>
      </c>
      <c r="S40" s="59">
        <f ca="1">AVERAGE(OFFSET($R$3,0,0,'Données projet'!$E$9+1,1))-AVERAGE(OFFSET($H$3,0,0,'Données projet'!$E$9+1,1))</f>
        <v>481.17250315093412</v>
      </c>
      <c r="T40" s="59">
        <f t="shared" si="34"/>
        <v>413.48123190206832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24.018085150339274</v>
      </c>
      <c r="AA40" s="21">
        <f>EXP(-LN(2)/25)*AA39+(1-EXP(-LN(2)/25))/(LN(2)/25)*Calculateur!V40*Calculateur!X40*VLOOKUP('Données projet'!$B$9,Paramètres!$A$1:$I$89,3,0)*0.475*44/12</f>
        <v>53.880455373712003</v>
      </c>
      <c r="AB40" s="21">
        <f>EXP(-LN(2)/2)*AB39+(1-EXP(-LN(2)/2))/(LN(2)/2)*V40*Y40*VLOOKUP('Données projet'!$B$9,Paramètres!$A$1:$I$89,3,0)*0.475*44/12</f>
        <v>6.9426626915709859E-3</v>
      </c>
      <c r="AC40" s="22">
        <f t="shared" si="3"/>
        <v>77.905483186742842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12.86166666666667</v>
      </c>
      <c r="AI40" s="13">
        <f>IF('Données projet'!$A$62&gt;35,AI39+AH40-AQ39,IF(A40&lt;'Données projet'!$A$62,$AF$205^A40,IF(A40='Données projet'!$A$62,'Données projet'!$B$62,AI39+AH40-AQ39)))</f>
        <v>157.43333333333339</v>
      </c>
      <c r="AJ40" s="13">
        <f>AI40*VLOOKUP('Données projet'!$B$10,Paramètres!$A$1:$I$89,3,0)*VLOOKUP('Données projet'!$B$10,Paramètres!$A$1:$I$89,5,0)</f>
        <v>142.44568000000007</v>
      </c>
      <c r="AK40" s="13">
        <f t="shared" si="35"/>
        <v>36.856710479085173</v>
      </c>
      <c r="AL40" s="20">
        <f t="shared" si="4"/>
        <v>312.28499675107349</v>
      </c>
      <c r="AM40" s="59">
        <f t="shared" si="5"/>
        <v>605.61833008440681</v>
      </c>
      <c r="AN40" s="59">
        <f ca="1">AVERAGE(OFFSET($AM$3,0,0,'Données projet'!$E$10+1,1))-AVERAGE(OFFSET($H$3,0,0,'Données projet'!$E$10+1,1))</f>
        <v>426.34811677569007</v>
      </c>
      <c r="AO40" s="59">
        <f t="shared" si="36"/>
        <v>209.65223938402107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28.764105187805065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28.764105187805065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12.86166666666667</v>
      </c>
      <c r="BD40" s="12">
        <f>IF('Données projet'!$A$88&gt;35,BD39+BC40-BL39,IF(A40&lt;'Données projet'!$A$88,$BA$205^A40,IF(A40='Données projet'!$A$88,'Données projet'!$B$88,BD39+BC40-BL39)))</f>
        <v>157.43333333333339</v>
      </c>
      <c r="BE40" s="13">
        <f>BD40*VLOOKUP('Données projet'!$B$11,Paramètres!$A$1:$I$89,3,0)*VLOOKUP('Données projet'!$B$11,Paramètres!$A$1:$I$89,5,0)</f>
        <v>159.63740000000007</v>
      </c>
      <c r="BF40" s="13">
        <f t="shared" si="37"/>
        <v>40.760719168297868</v>
      </c>
      <c r="BG40" s="20">
        <f t="shared" si="7"/>
        <v>349.02672421811889</v>
      </c>
      <c r="BH40" s="59">
        <f t="shared" si="8"/>
        <v>642.3600575514522</v>
      </c>
      <c r="BI40" s="59">
        <f ca="1">AVERAGE(OFFSET($BH$3,0,0,'Données projet'!$E$11+1,1))-AVERAGE(OFFSET($H$3,0,0,'Données projet'!$E$11+1,1))</f>
        <v>485.01379841128346</v>
      </c>
      <c r="BJ40" s="59">
        <f t="shared" si="38"/>
        <v>238.25679915866897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32.235635124264292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32.235635124264292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">
        <f t="shared" si="32"/>
        <v>6.0060955954395361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6">
        <f t="shared" si="1"/>
        <v>335.62813316205717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25.8</v>
      </c>
      <c r="N41" s="13">
        <f>IF('Données projet'!$A$36&gt;35,N40+M41-V40,IF(A41&lt;'Données projet'!$A$36,$K$205^A41,IF(A41='Données projet'!$A$36,'Données projet'!$B$36,N40+M41-V40)))</f>
        <v>415.4000000000002</v>
      </c>
      <c r="O41" s="13">
        <f>N41*VLOOKUP('Données projet'!$B$9,Paramètres!$A$1:$I$89,3,0)*VLOOKUP('Données projet'!$B$9,Paramètres!$A$1:$I$89,5,0)</f>
        <v>248.40920000000011</v>
      </c>
      <c r="P41" s="13">
        <f t="shared" si="33"/>
        <v>60.245168520988734</v>
      </c>
      <c r="Q41" s="20">
        <f t="shared" si="53"/>
        <v>537.57302517405549</v>
      </c>
      <c r="R41" s="59">
        <f t="shared" si="0"/>
        <v>830.90635850738886</v>
      </c>
      <c r="S41" s="59">
        <f ca="1">AVERAGE(OFFSET($R$3,0,0,'Données projet'!$E$9+1,1))-AVERAGE(OFFSET($H$3,0,0,'Données projet'!$E$9+1,1))</f>
        <v>481.17250315093412</v>
      </c>
      <c r="T41" s="59">
        <f t="shared" si="34"/>
        <v>413.48123190206832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23.547105150126537</v>
      </c>
      <c r="AA41" s="21">
        <f>EXP(-LN(2)/25)*AA40+(1-EXP(-LN(2)/25))/(LN(2)/25)*Calculateur!V41*Calculateur!X41*VLOOKUP('Données projet'!$B$9,Paramètres!$A$1:$I$89,3,0)*0.475*44/12</f>
        <v>52.407091488067849</v>
      </c>
      <c r="AB41" s="21">
        <f>EXP(-LN(2)/2)*AB40+(1-EXP(-LN(2)/2))/(LN(2)/2)*V41*Y41*VLOOKUP('Données projet'!$B$9,Paramètres!$A$1:$I$89,3,0)*0.475*44/12</f>
        <v>4.9092038687006921E-3</v>
      </c>
      <c r="AC41" s="22">
        <f t="shared" si="3"/>
        <v>75.959105842063096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12.86166666666667</v>
      </c>
      <c r="AI41" s="13">
        <f>IF('Données projet'!$A$62&gt;35,AI40+AH41-AQ40,IF(A41&lt;'Données projet'!$A$62,$AF$205^A41,IF(A41='Données projet'!$A$62,'Données projet'!$B$62,AI40+AH41-AQ40)))</f>
        <v>170.29500000000007</v>
      </c>
      <c r="AJ41" s="13">
        <f>AI41*VLOOKUP('Données projet'!$B$10,Paramètres!$A$1:$I$89,3,0)*VLOOKUP('Données projet'!$B$10,Paramètres!$A$1:$I$89,5,0)</f>
        <v>154.08291600000007</v>
      </c>
      <c r="AK41" s="13">
        <f t="shared" si="35"/>
        <v>39.504987725811617</v>
      </c>
      <c r="AL41" s="20">
        <f t="shared" si="4"/>
        <v>337.16559898912197</v>
      </c>
      <c r="AM41" s="59">
        <f t="shared" si="5"/>
        <v>630.49893232245529</v>
      </c>
      <c r="AN41" s="59">
        <f ca="1">AVERAGE(OFFSET($AM$3,0,0,'Données projet'!$E$10+1,1))-AVERAGE(OFFSET($H$3,0,0,'Données projet'!$E$10+1,1))</f>
        <v>426.34811677569007</v>
      </c>
      <c r="AO41" s="59">
        <f t="shared" si="36"/>
        <v>209.65223938402107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28.200058629444008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28.200058629444008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12.86166666666667</v>
      </c>
      <c r="BD41" s="12">
        <f>IF('Données projet'!$A$88&gt;35,BD40+BC41-BL40,IF(A41&lt;'Données projet'!$A$88,$BA$205^A41,IF(A41='Données projet'!$A$88,'Données projet'!$B$88,BD40+BC41-BL40)))</f>
        <v>170.29500000000007</v>
      </c>
      <c r="BE41" s="13">
        <f>BD41*VLOOKUP('Données projet'!$B$11,Paramètres!$A$1:$I$89,3,0)*VLOOKUP('Données projet'!$B$11,Paramètres!$A$1:$I$89,5,0)</f>
        <v>172.6791300000001</v>
      </c>
      <c r="BF41" s="13">
        <f t="shared" si="37"/>
        <v>43.689512425494954</v>
      </c>
      <c r="BG41" s="20">
        <f t="shared" si="7"/>
        <v>376.84205222440391</v>
      </c>
      <c r="BH41" s="59">
        <f t="shared" si="8"/>
        <v>670.17538555773717</v>
      </c>
      <c r="BI41" s="59">
        <f ca="1">AVERAGE(OFFSET($BH$3,0,0,'Données projet'!$E$11+1,1))-AVERAGE(OFFSET($H$3,0,0,'Données projet'!$E$11+1,1))</f>
        <v>485.01379841128346</v>
      </c>
      <c r="BJ41" s="59">
        <f t="shared" si="38"/>
        <v>238.25679915866897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31.603513981273455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31.603513981273455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">
        <f t="shared" si="32"/>
        <v>6.1455412930074749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6">
        <f t="shared" si="1"/>
        <v>336.70874275198798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25.8</v>
      </c>
      <c r="N42" s="13">
        <f>IF('Données projet'!$A$36&gt;35,N41+M42-V41,IF(A42&lt;'Données projet'!$A$36,$K$205^A42,IF(A42='Données projet'!$A$36,'Données projet'!$B$36,N41+M42-V41)))</f>
        <v>441.20000000000022</v>
      </c>
      <c r="O42" s="13">
        <f>N42*VLOOKUP('Données projet'!$B$9,Paramètres!$A$1:$I$89,3,0)*VLOOKUP('Données projet'!$B$9,Paramètres!$A$1:$I$89,5,0)</f>
        <v>263.83760000000018</v>
      </c>
      <c r="P42" s="13">
        <f t="shared" si="33"/>
        <v>63.539700318692688</v>
      </c>
      <c r="Q42" s="20">
        <f t="shared" si="53"/>
        <v>570.18213138839008</v>
      </c>
      <c r="R42" s="59">
        <f t="shared" si="0"/>
        <v>863.51546472172345</v>
      </c>
      <c r="S42" s="59">
        <f ca="1">AVERAGE(OFFSET($R$3,0,0,'Données projet'!$E$9+1,1))-AVERAGE(OFFSET($H$3,0,0,'Données projet'!$E$9+1,1))</f>
        <v>481.17250315093412</v>
      </c>
      <c r="T42" s="59">
        <f t="shared" si="34"/>
        <v>413.48123190206832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23.085360780448536</v>
      </c>
      <c r="AA42" s="21">
        <f>EXP(-LN(2)/25)*AA41+(1-EXP(-LN(2)/25))/(LN(2)/25)*Calculateur!V42*Calculateur!X42*VLOOKUP('Données projet'!$B$9,Paramètres!$A$1:$I$89,3,0)*0.475*44/12</f>
        <v>50.974016815357473</v>
      </c>
      <c r="AB42" s="21">
        <f>EXP(-LN(2)/2)*AB41+(1-EXP(-LN(2)/2))/(LN(2)/2)*V42*Y42*VLOOKUP('Données projet'!$B$9,Paramètres!$A$1:$I$89,3,0)*0.475*44/12</f>
        <v>3.4713313457854929E-3</v>
      </c>
      <c r="AC42" s="22">
        <f t="shared" si="3"/>
        <v>74.062848927151791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12.86166666666667</v>
      </c>
      <c r="AI42" s="13">
        <f>IF('Données projet'!$A$62&gt;35,AI41+AH42-AQ41,IF(A42&lt;'Données projet'!$A$62,$AF$205^A42,IF(A42='Données projet'!$A$62,'Données projet'!$B$62,AI41+AH42-AQ41)))</f>
        <v>183.15666666666675</v>
      </c>
      <c r="AJ42" s="13">
        <f>AI42*VLOOKUP('Données projet'!$B$10,Paramètres!$A$1:$I$89,3,0)*VLOOKUP('Données projet'!$B$10,Paramètres!$A$1:$I$89,5,0)</f>
        <v>165.72015200000007</v>
      </c>
      <c r="AK42" s="13">
        <f t="shared" si="35"/>
        <v>42.130062193248868</v>
      </c>
      <c r="AL42" s="20">
        <f t="shared" si="4"/>
        <v>362.00578971990859</v>
      </c>
      <c r="AM42" s="59">
        <f t="shared" si="5"/>
        <v>655.33912305324191</v>
      </c>
      <c r="AN42" s="59">
        <f ca="1">AVERAGE(OFFSET($AM$3,0,0,'Données projet'!$E$10+1,1))-AVERAGE(OFFSET($H$3,0,0,'Données projet'!$E$10+1,1))</f>
        <v>426.34811677569007</v>
      </c>
      <c r="AO42" s="59">
        <f t="shared" si="36"/>
        <v>209.65223938402107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27.647072680057985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27.647072680057985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12.86166666666667</v>
      </c>
      <c r="BD42" s="12">
        <f>IF('Données projet'!$A$88&gt;35,BD41+BC42-BL41,IF(A42&lt;'Données projet'!$A$88,$BA$205^A42,IF(A42='Données projet'!$A$88,'Données projet'!$B$88,BD41+BC42-BL41)))</f>
        <v>183.15666666666675</v>
      </c>
      <c r="BE42" s="13">
        <f>BD42*VLOOKUP('Données projet'!$B$11,Paramètres!$A$1:$I$89,3,0)*VLOOKUP('Données projet'!$B$11,Paramètres!$A$1:$I$89,5,0)</f>
        <v>185.7208600000001</v>
      </c>
      <c r="BF42" s="13">
        <f t="shared" si="37"/>
        <v>46.59264517316101</v>
      </c>
      <c r="BG42" s="20">
        <f t="shared" si="7"/>
        <v>404.61268817658896</v>
      </c>
      <c r="BH42" s="59">
        <f t="shared" si="8"/>
        <v>697.94602150992228</v>
      </c>
      <c r="BI42" s="59">
        <f ca="1">AVERAGE(OFFSET($BH$3,0,0,'Données projet'!$E$11+1,1))-AVERAGE(OFFSET($H$3,0,0,'Données projet'!$E$11+1,1))</f>
        <v>485.01379841128346</v>
      </c>
      <c r="BJ42" s="59">
        <f t="shared" si="38"/>
        <v>238.25679915866897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30.983788348340841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30.983788348340841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">
        <f t="shared" si="32"/>
        <v>6.2845713711411841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6">
        <f t="shared" si="1"/>
        <v>337.78862847140419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467</v>
      </c>
      <c r="L43" s="12">
        <f>VLOOKUP(A43,'Données projet'!$A$35:$I$55,9,0)</f>
        <v>25.8</v>
      </c>
      <c r="M43" s="12">
        <f t="array" ref="M43">INDEX(L:L,MIN(IF(ISNUMBER(L43:L239),ROW(L43:L239),"")))</f>
        <v>25.8</v>
      </c>
      <c r="N43" s="13">
        <f>IF('Données projet'!$A$36&gt;35,N42+M43-V42,IF(A43&lt;'Données projet'!$A$36,$K$205^A43,IF(A43='Données projet'!$A$36,'Données projet'!$B$36,N42+M43-V42)))</f>
        <v>467.00000000000023</v>
      </c>
      <c r="O43" s="13">
        <f>N43*VLOOKUP('Données projet'!$B$9,Paramètres!$A$1:$I$89,3,0)*VLOOKUP('Données projet'!$B$9,Paramètres!$A$1:$I$89,5,0)</f>
        <v>279.26600000000013</v>
      </c>
      <c r="P43" s="13">
        <f t="shared" si="33"/>
        <v>66.811869892488943</v>
      </c>
      <c r="Q43" s="20">
        <f t="shared" si="53"/>
        <v>602.75229006275174</v>
      </c>
      <c r="R43" s="59">
        <f t="shared" si="0"/>
        <v>896.08562339608511</v>
      </c>
      <c r="S43" s="59">
        <f ca="1">AVERAGE(OFFSET($R$3,0,0,'Données projet'!$E$9+1,1))-AVERAGE(OFFSET($H$3,0,0,'Données projet'!$E$9+1,1))</f>
        <v>481.17250315093412</v>
      </c>
      <c r="T43" s="59">
        <f t="shared" si="34"/>
        <v>413.48123190206832</v>
      </c>
      <c r="U43" s="15">
        <f>IF(ISNA(VLOOKUP(A43,'Données projet'!$A$35:$I$55,3,0)),0,VLOOKUP(A43,'Données projet'!$A$35:$I$55,3,0))</f>
        <v>6</v>
      </c>
      <c r="V43" s="15">
        <f>IF(ISNA(VLOOKUP(A43,'Données projet'!$A$35:$I$55,4,0)),0,VLOOKUP(A43,'Données projet'!$A$35:$I$55,4,0))</f>
        <v>70</v>
      </c>
      <c r="W43" s="16">
        <f>IF(ISNA(VLOOKUP(A43,'Données projet'!$A$35:$I$55,5,0)),0%,VLOOKUP(A43,'Données projet'!$A$35:$I$55,5,0)*VLOOKUP('Données projet'!$B$9,Paramètres!$A$1:$I$89,7,0))</f>
        <v>0.45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47.621165583338282</v>
      </c>
      <c r="AA43" s="21">
        <f>EXP(-LN(2)/25)*AA42+(1-EXP(-LN(2)/25))/(LN(2)/25)*Calculateur!V43*Calculateur!X43*VLOOKUP('Données projet'!$B$9,Paramètres!$A$1:$I$89,3,0)*0.475*44/12</f>
        <v>49.58012964493448</v>
      </c>
      <c r="AB43" s="21">
        <f>EXP(-LN(2)/2)*AB42+(1-EXP(-LN(2)/2))/(LN(2)/2)*V43*Y43*VLOOKUP('Données projet'!$B$9,Paramètres!$A$1:$I$89,3,0)*0.475*44/12</f>
        <v>2.4546019343503461E-3</v>
      </c>
      <c r="AC43" s="22">
        <f t="shared" si="3"/>
        <v>97.203749830207101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12.86166666666667</v>
      </c>
      <c r="AI43" s="13">
        <f>IF('Données projet'!$A$62&gt;35,AI42+AH43-AQ42,IF(A43&lt;'Données projet'!$A$62,$AF$205^A43,IF(A43='Données projet'!$A$62,'Données projet'!$B$62,AI42+AH43-AQ42)))</f>
        <v>196.01833333333343</v>
      </c>
      <c r="AJ43" s="13">
        <f>AI43*VLOOKUP('Données projet'!$B$10,Paramètres!$A$1:$I$89,3,0)*VLOOKUP('Données projet'!$B$10,Paramètres!$A$1:$I$89,5,0)</f>
        <v>177.35738800000007</v>
      </c>
      <c r="AK43" s="13">
        <f t="shared" si="35"/>
        <v>44.733748562033469</v>
      </c>
      <c r="AL43" s="20">
        <f t="shared" si="4"/>
        <v>386.8087295122084</v>
      </c>
      <c r="AM43" s="59">
        <f t="shared" si="5"/>
        <v>680.14206284554166</v>
      </c>
      <c r="AN43" s="59">
        <f ca="1">AVERAGE(OFFSET($AM$3,0,0,'Données projet'!$E$10+1,1))-AVERAGE(OFFSET($H$3,0,0,'Données projet'!$E$10+1,1))</f>
        <v>426.34811677569007</v>
      </c>
      <c r="AO43" s="59">
        <f t="shared" si="36"/>
        <v>209.65223938402107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27.104930447851295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27.104930447851295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12.86166666666667</v>
      </c>
      <c r="BD43" s="12">
        <f>IF('Données projet'!$A$88&gt;35,BD42+BC43-BL42,IF(A43&lt;'Données projet'!$A$88,$BA$205^A43,IF(A43='Données projet'!$A$88,'Données projet'!$B$88,BD42+BC43-BL42)))</f>
        <v>196.01833333333343</v>
      </c>
      <c r="BE43" s="13">
        <f>BD43*VLOOKUP('Données projet'!$B$11,Paramètres!$A$1:$I$89,3,0)*VLOOKUP('Données projet'!$B$11,Paramètres!$A$1:$I$89,5,0)</f>
        <v>198.76259000000013</v>
      </c>
      <c r="BF43" s="13">
        <f t="shared" si="37"/>
        <v>49.47212431008991</v>
      </c>
      <c r="BG43" s="20">
        <f t="shared" si="7"/>
        <v>432.34212742340679</v>
      </c>
      <c r="BH43" s="59">
        <f t="shared" si="8"/>
        <v>725.67546075674011</v>
      </c>
      <c r="BI43" s="59">
        <f ca="1">AVERAGE(OFFSET($BH$3,0,0,'Données projet'!$E$11+1,1))-AVERAGE(OFFSET($H$3,0,0,'Données projet'!$E$11+1,1))</f>
        <v>485.01379841128346</v>
      </c>
      <c r="BJ43" s="59">
        <f t="shared" si="38"/>
        <v>238.25679915866897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30.376215157074721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30.376215157074721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">
        <f t="shared" si="32"/>
        <v>6.4231974153589526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6">
        <f t="shared" si="1"/>
        <v>338.86781049841682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24.2</v>
      </c>
      <c r="N44" s="13">
        <f>IF('Données projet'!$A$36&gt;35,N43+M44-V43,IF(A44&lt;'Données projet'!$A$36,$K$205^A44,IF(A44='Données projet'!$A$36,'Données projet'!$B$36,N43+M44-V43)))</f>
        <v>421.20000000000022</v>
      </c>
      <c r="O44" s="13">
        <f>N44*VLOOKUP('Données projet'!$B$9,Paramètres!$A$1:$I$89,3,0)*VLOOKUP('Données projet'!$B$9,Paramètres!$A$1:$I$89,5,0)</f>
        <v>251.87760000000014</v>
      </c>
      <c r="P44" s="13">
        <f t="shared" si="33"/>
        <v>60.987825380023075</v>
      </c>
      <c r="Q44" s="20">
        <f t="shared" si="53"/>
        <v>544.90728253687382</v>
      </c>
      <c r="R44" s="59">
        <f t="shared" si="0"/>
        <v>838.24061587020719</v>
      </c>
      <c r="S44" s="59">
        <f ca="1">AVERAGE(OFFSET($R$3,0,0,'Données projet'!$E$9+1,1))-AVERAGE(OFFSET($H$3,0,0,'Données projet'!$E$9+1,1))</f>
        <v>481.17250315093412</v>
      </c>
      <c r="T44" s="59">
        <f t="shared" si="34"/>
        <v>413.48123190206832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46.687343572291965</v>
      </c>
      <c r="AA44" s="21">
        <f>EXP(-LN(2)/25)*AA43+(1-EXP(-LN(2)/25))/(LN(2)/25)*Calculateur!V44*Calculateur!X44*VLOOKUP('Données projet'!$B$9,Paramètres!$A$1:$I$89,3,0)*0.475*44/12</f>
        <v>48.224358392488043</v>
      </c>
      <c r="AB44" s="21">
        <f>EXP(-LN(2)/2)*AB43+(1-EXP(-LN(2)/2))/(LN(2)/2)*V44*Y44*VLOOKUP('Données projet'!$B$9,Paramètres!$A$1:$I$89,3,0)*0.475*44/12</f>
        <v>1.7356656728927465E-3</v>
      </c>
      <c r="AC44" s="22">
        <f t="shared" si="3"/>
        <v>94.913437630452904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>
        <f>VLOOKUP(A44,'Données projet'!$A$61:$I$81,2,0)</f>
        <v>208.88</v>
      </c>
      <c r="AG44" s="12">
        <f>VLOOKUP(A44,'Données projet'!$A$61:$I$81,9,0)</f>
        <v>12.86166666666667</v>
      </c>
      <c r="AH44" s="12">
        <f t="array" ref="AH44">INDEX(AG:AG,MIN(IF(ISNUMBER(AG44:AG240),ROW(AG44:AG240),"")))</f>
        <v>12.86166666666667</v>
      </c>
      <c r="AI44" s="13">
        <f>IF('Données projet'!$A$62&gt;35,AI43+AH44-AQ43,IF(A44&lt;'Données projet'!$A$62,$AF$205^A44,IF(A44='Données projet'!$A$62,'Données projet'!$B$62,AI43+AH44-AQ43)))</f>
        <v>208.88000000000011</v>
      </c>
      <c r="AJ44" s="13">
        <f>AI44*VLOOKUP('Données projet'!$B$10,Paramètres!$A$1:$I$89,3,0)*VLOOKUP('Données projet'!$B$10,Paramètres!$A$1:$I$89,5,0)</f>
        <v>188.9946240000001</v>
      </c>
      <c r="AK44" s="13">
        <f t="shared" si="35"/>
        <v>47.317609904825126</v>
      </c>
      <c r="AL44" s="20">
        <f t="shared" si="4"/>
        <v>411.57714071757056</v>
      </c>
      <c r="AM44" s="59">
        <f t="shared" si="5"/>
        <v>704.91047405090387</v>
      </c>
      <c r="AN44" s="59">
        <f ca="1">AVERAGE(OFFSET($AM$3,0,0,'Données projet'!$E$10+1,1))-AVERAGE(OFFSET($H$3,0,0,'Données projet'!$E$10+1,1))</f>
        <v>426.34811677569007</v>
      </c>
      <c r="AO44" s="59">
        <f t="shared" si="36"/>
        <v>209.65223938402107</v>
      </c>
      <c r="AP44" s="15">
        <f>IF(ISNA(VLOOKUP(A44,'Données projet'!$A$61:$I$81,3,0)),0,VLOOKUP(A44,'Données projet'!$A$61:$I$81,3,0))</f>
        <v>2</v>
      </c>
      <c r="AQ44" s="15">
        <f>IF(ISNA(VLOOKUP(A44,'Données projet'!$A$61:$I$81,4,0)),0,VLOOKUP(A44,'Données projet'!$A$61:$I$81,4,0))</f>
        <v>47.41</v>
      </c>
      <c r="AR44" s="16">
        <f>IF(ISNA(VLOOKUP(A44,'Données projet'!$A$61:$I$81,5,0)),0%,VLOOKUP(A44,'Données projet'!$A$61:$I$81,5,0)*VLOOKUP('Données projet'!$B$10,Paramètres!$A$1:$I$89,7,0))</f>
        <v>0.43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46.964399976421092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46.964399976421092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>
        <f>VLOOKUP(A44,'Données projet'!$A$87:$I$107,2,0)</f>
        <v>208.88</v>
      </c>
      <c r="BB44" s="12">
        <f>VLOOKUP(A44,'Données projet'!$A$87:$I$107,9,0)</f>
        <v>12.86166666666667</v>
      </c>
      <c r="BC44" s="12">
        <f t="array" ref="BC44">INDEX(BB:BB,MIN(IF(ISNUMBER(BB44:BB240),ROW(BB44:BB240),"")))</f>
        <v>12.86166666666667</v>
      </c>
      <c r="BD44" s="12">
        <f>IF('Données projet'!$A$88&gt;35,BD43+BC44-BL43,IF(A44&lt;'Données projet'!$A$88,$BA$205^A44,IF(A44='Données projet'!$A$88,'Données projet'!$B$88,BD43+BC44-BL43)))</f>
        <v>208.88000000000011</v>
      </c>
      <c r="BE44" s="13">
        <f>BD44*VLOOKUP('Données projet'!$B$11,Paramètres!$A$1:$I$89,3,0)*VLOOKUP('Données projet'!$B$11,Paramètres!$A$1:$I$89,5,0)</f>
        <v>211.80432000000013</v>
      </c>
      <c r="BF44" s="13">
        <f t="shared" si="37"/>
        <v>52.329678475785734</v>
      </c>
      <c r="BG44" s="20">
        <f t="shared" si="7"/>
        <v>460.03338067866031</v>
      </c>
      <c r="BH44" s="59">
        <f t="shared" si="8"/>
        <v>753.36671401199362</v>
      </c>
      <c r="BI44" s="59">
        <f ca="1">AVERAGE(OFFSET($BH$3,0,0,'Données projet'!$E$11+1,1))-AVERAGE(OFFSET($H$3,0,0,'Données projet'!$E$11+1,1))</f>
        <v>485.01379841128346</v>
      </c>
      <c r="BJ44" s="59">
        <f t="shared" si="38"/>
        <v>238.25679915866897</v>
      </c>
      <c r="BK44" s="15">
        <f>IF(ISNA(VLOOKUP(A44,'Données projet'!$A$87:$I$107,3,0)),0,VLOOKUP(A44,'Données projet'!$A$87:$I$107,3,0))</f>
        <v>2</v>
      </c>
      <c r="BL44" s="15">
        <f>IF(ISNA(VLOOKUP(A44,'Données projet'!$A$87:$I$107,4,0)),0,VLOOKUP(A44,'Données projet'!$A$87:$I$107,4,0))</f>
        <v>47.41</v>
      </c>
      <c r="BM44" s="16">
        <f>IF(ISNA(VLOOKUP(A44,'Données projet'!$A$87:$I$107,5,0)),0%,VLOOKUP(A44,'Données projet'!$A$87:$I$107,5,0)*VLOOKUP('Données projet'!$B$11,Paramètres!$A$1:$I$89,7,0))</f>
        <v>0.43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52.632517214954675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52.632517214954675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">
        <f t="shared" si="32"/>
        <v>6.5614304138099335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6">
        <f t="shared" si="1"/>
        <v>339.94630797071898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24.2</v>
      </c>
      <c r="N45" s="13">
        <f>IF('Données projet'!$A$36&gt;35,N44+M45-V44,IF(A45&lt;'Données projet'!$A$36,$K$205^A45,IF(A45='Données projet'!$A$36,'Données projet'!$B$36,N44+M45-V44)))</f>
        <v>445.4000000000002</v>
      </c>
      <c r="O45" s="13">
        <f>N45*VLOOKUP('Données projet'!$B$9,Paramètres!$A$1:$I$89,3,0)*VLOOKUP('Données projet'!$B$9,Paramètres!$A$1:$I$89,5,0)</f>
        <v>266.34920000000017</v>
      </c>
      <c r="P45" s="13">
        <f t="shared" si="33"/>
        <v>64.073864575037135</v>
      </c>
      <c r="Q45" s="20">
        <f t="shared" si="53"/>
        <v>575.48683746818995</v>
      </c>
      <c r="R45" s="59">
        <f t="shared" si="0"/>
        <v>868.82017080152332</v>
      </c>
      <c r="S45" s="59">
        <f ca="1">AVERAGE(OFFSET($R$3,0,0,'Données projet'!$E$9+1,1))-AVERAGE(OFFSET($H$3,0,0,'Données projet'!$E$9+1,1))</f>
        <v>481.17250315093412</v>
      </c>
      <c r="T45" s="59">
        <f t="shared" si="34"/>
        <v>413.48123190206832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45.771833241307078</v>
      </c>
      <c r="AA45" s="21">
        <f>EXP(-LN(2)/25)*AA44+(1-EXP(-LN(2)/25))/(LN(2)/25)*Calculateur!V45*Calculateur!X45*VLOOKUP('Données projet'!$B$9,Paramètres!$A$1:$I$89,3,0)*0.475*44/12</f>
        <v>46.905660776236665</v>
      </c>
      <c r="AB45" s="21">
        <f>EXP(-LN(2)/2)*AB44+(1-EXP(-LN(2)/2))/(LN(2)/2)*V45*Y45*VLOOKUP('Données projet'!$B$9,Paramètres!$A$1:$I$89,3,0)*0.475*44/12</f>
        <v>1.227300967175173E-3</v>
      </c>
      <c r="AC45" s="22">
        <f t="shared" si="3"/>
        <v>92.678721318510924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13.059999999999999</v>
      </c>
      <c r="AI45" s="13">
        <f>IF('Données projet'!$A$62&gt;35,AI44+AH45-AQ44,IF(A45&lt;'Données projet'!$A$62,$AF$205^A45,IF(A45='Données projet'!$A$62,'Données projet'!$B$62,AI44+AH45-AQ44)))</f>
        <v>174.53000000000011</v>
      </c>
      <c r="AJ45" s="13">
        <f>AI45*VLOOKUP('Données projet'!$B$10,Paramètres!$A$1:$I$89,3,0)*VLOOKUP('Données projet'!$B$10,Paramètres!$A$1:$I$89,5,0)</f>
        <v>157.9147440000001</v>
      </c>
      <c r="AK45" s="13">
        <f t="shared" si="35"/>
        <v>40.371821598059007</v>
      </c>
      <c r="AL45" s="20">
        <f t="shared" si="4"/>
        <v>345.34910174995292</v>
      </c>
      <c r="AM45" s="59">
        <f t="shared" si="5"/>
        <v>638.68243508328624</v>
      </c>
      <c r="AN45" s="59">
        <f ca="1">AVERAGE(OFFSET($AM$3,0,0,'Données projet'!$E$10+1,1))-AVERAGE(OFFSET($H$3,0,0,'Données projet'!$E$10+1,1))</f>
        <v>426.34811677569007</v>
      </c>
      <c r="AO45" s="59">
        <f t="shared" si="36"/>
        <v>209.65223938402107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46.043456738338953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46.043456738338953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13.059999999999999</v>
      </c>
      <c r="BD45" s="12">
        <f>IF('Données projet'!$A$88&gt;35,BD44+BC45-BL44,IF(A45&lt;'Données projet'!$A$88,$BA$205^A45,IF(A45='Données projet'!$A$88,'Données projet'!$B$88,BD44+BC45-BL44)))</f>
        <v>174.53000000000011</v>
      </c>
      <c r="BE45" s="13">
        <f>BD45*VLOOKUP('Données projet'!$B$11,Paramètres!$A$1:$I$89,3,0)*VLOOKUP('Données projet'!$B$11,Paramètres!$A$1:$I$89,5,0)</f>
        <v>176.97342000000012</v>
      </c>
      <c r="BF45" s="13">
        <f t="shared" si="37"/>
        <v>44.648164773275532</v>
      </c>
      <c r="BG45" s="20">
        <f t="shared" si="7"/>
        <v>385.99092681345513</v>
      </c>
      <c r="BH45" s="59">
        <f t="shared" si="8"/>
        <v>679.32426014678845</v>
      </c>
      <c r="BI45" s="59">
        <f ca="1">AVERAGE(OFFSET($BH$3,0,0,'Données projet'!$E$11+1,1))-AVERAGE(OFFSET($H$3,0,0,'Données projet'!$E$11+1,1))</f>
        <v>485.01379841128346</v>
      </c>
      <c r="BJ45" s="59">
        <f t="shared" si="38"/>
        <v>238.25679915866897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51.600425655035039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51.600425655035039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">
        <f t="shared" si="32"/>
        <v>6.6992808015544414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6">
        <f t="shared" si="1"/>
        <v>341.02413906270732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24.2</v>
      </c>
      <c r="N46" s="13">
        <f>IF('Données projet'!$A$36&gt;35,N45+M46-V45,IF(A46&lt;'Données projet'!$A$36,$K$205^A46,IF(A46='Données projet'!$A$36,'Données projet'!$B$36,N45+M46-V45)))</f>
        <v>469.60000000000019</v>
      </c>
      <c r="O46" s="13">
        <f>N46*VLOOKUP('Données projet'!$B$9,Paramètres!$A$1:$I$89,3,0)*VLOOKUP('Données projet'!$B$9,Paramètres!$A$1:$I$89,5,0)</f>
        <v>280.82080000000013</v>
      </c>
      <c r="P46" s="13">
        <f t="shared" si="33"/>
        <v>67.140437954919463</v>
      </c>
      <c r="Q46" s="20">
        <f t="shared" si="53"/>
        <v>606.03248943815163</v>
      </c>
      <c r="R46" s="59">
        <f t="shared" si="0"/>
        <v>899.365822771485</v>
      </c>
      <c r="S46" s="59">
        <f ca="1">AVERAGE(OFFSET($R$3,0,0,'Données projet'!$E$9+1,1))-AVERAGE(OFFSET($H$3,0,0,'Données projet'!$E$9+1,1))</f>
        <v>481.17250315093412</v>
      </c>
      <c r="T46" s="59">
        <f t="shared" si="34"/>
        <v>413.48123190206832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44.874275509506646</v>
      </c>
      <c r="AA46" s="21">
        <f>EXP(-LN(2)/25)*AA45+(1-EXP(-LN(2)/25))/(LN(2)/25)*Calculateur!V46*Calculateur!X46*VLOOKUP('Données projet'!$B$9,Paramètres!$A$1:$I$89,3,0)*0.475*44/12</f>
        <v>45.623023015648975</v>
      </c>
      <c r="AB46" s="21">
        <f>EXP(-LN(2)/2)*AB45+(1-EXP(-LN(2)/2))/(LN(2)/2)*V46*Y46*VLOOKUP('Données projet'!$B$9,Paramètres!$A$1:$I$89,3,0)*0.475*44/12</f>
        <v>8.6783283644637323E-4</v>
      </c>
      <c r="AC46" s="22">
        <f t="shared" si="3"/>
        <v>90.498166357992076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13.059999999999999</v>
      </c>
      <c r="AI46" s="13">
        <f>IF('Données projet'!$A$62&gt;35,AI45+AH46-AQ45,IF(A46&lt;'Données projet'!$A$62,$AF$205^A46,IF(A46='Données projet'!$A$62,'Données projet'!$B$62,AI45+AH46-AQ45)))</f>
        <v>187.59000000000012</v>
      </c>
      <c r="AJ46" s="13">
        <f>AI46*VLOOKUP('Données projet'!$B$10,Paramètres!$A$1:$I$89,3,0)*VLOOKUP('Données projet'!$B$10,Paramètres!$A$1:$I$89,5,0)</f>
        <v>169.7314320000001</v>
      </c>
      <c r="AK46" s="13">
        <f t="shared" si="35"/>
        <v>43.029867753624529</v>
      </c>
      <c r="AL46" s="20">
        <f t="shared" si="4"/>
        <v>370.55926373756284</v>
      </c>
      <c r="AM46" s="59">
        <f t="shared" si="5"/>
        <v>663.89259707089616</v>
      </c>
      <c r="AN46" s="59">
        <f ca="1">AVERAGE(OFFSET($AM$3,0,0,'Données projet'!$E$10+1,1))-AVERAGE(OFFSET($H$3,0,0,'Données projet'!$E$10+1,1))</f>
        <v>426.34811677569007</v>
      </c>
      <c r="AO46" s="59">
        <f t="shared" si="36"/>
        <v>209.65223938402107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45.140572635435696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45.140572635435696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13.059999999999999</v>
      </c>
      <c r="BD46" s="12">
        <f>IF('Données projet'!$A$88&gt;35,BD45+BC46-BL45,IF(A46&lt;'Données projet'!$A$88,$BA$205^A46,IF(A46='Données projet'!$A$88,'Données projet'!$B$88,BD45+BC46-BL45)))</f>
        <v>187.59000000000012</v>
      </c>
      <c r="BE46" s="13">
        <f>BD46*VLOOKUP('Données projet'!$B$11,Paramètres!$A$1:$I$89,3,0)*VLOOKUP('Données projet'!$B$11,Paramètres!$A$1:$I$89,5,0)</f>
        <v>190.21626000000012</v>
      </c>
      <c r="BF46" s="13">
        <f t="shared" si="37"/>
        <v>47.587761700810958</v>
      </c>
      <c r="BG46" s="20">
        <f t="shared" si="7"/>
        <v>414.17533779557925</v>
      </c>
      <c r="BH46" s="59">
        <f t="shared" si="8"/>
        <v>707.50867112891251</v>
      </c>
      <c r="BI46" s="59">
        <f ca="1">AVERAGE(OFFSET($BH$3,0,0,'Données projet'!$E$11+1,1))-AVERAGE(OFFSET($H$3,0,0,'Données projet'!$E$11+1,1))</f>
        <v>485.01379841128346</v>
      </c>
      <c r="BJ46" s="59">
        <f t="shared" si="38"/>
        <v>238.25679915866897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50.588572781091734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50.588572781091734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">
        <f t="shared" si="32"/>
        <v>6.8367585006090259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6">
        <f t="shared" si="1"/>
        <v>342.1013210552274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24.2</v>
      </c>
      <c r="N47" s="13">
        <f>IF('Données projet'!$A$36&gt;35,N46+M47-V46,IF(A47&lt;'Données projet'!$A$36,$K$205^A47,IF(A47='Données projet'!$A$36,'Données projet'!$B$36,N46+M47-V46)))</f>
        <v>493.80000000000018</v>
      </c>
      <c r="O47" s="13">
        <f>N47*VLOOKUP('Données projet'!$B$9,Paramètres!$A$1:$I$89,3,0)*VLOOKUP('Données projet'!$B$9,Paramètres!$A$1:$I$89,5,0)</f>
        <v>295.2924000000001</v>
      </c>
      <c r="P47" s="13">
        <f t="shared" si="33"/>
        <v>70.188663082637405</v>
      </c>
      <c r="Q47" s="20">
        <f t="shared" si="53"/>
        <v>636.54618486892696</v>
      </c>
      <c r="R47" s="59">
        <f t="shared" si="0"/>
        <v>929.87951820226021</v>
      </c>
      <c r="S47" s="59">
        <f ca="1">AVERAGE(OFFSET($R$3,0,0,'Données projet'!$E$9+1,1))-AVERAGE(OFFSET($H$3,0,0,'Données projet'!$E$9+1,1))</f>
        <v>481.17250315093412</v>
      </c>
      <c r="T47" s="59">
        <f t="shared" si="34"/>
        <v>413.48123190206832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43.994318337370657</v>
      </c>
      <c r="AA47" s="21">
        <f>EXP(-LN(2)/25)*AA46+(1-EXP(-LN(2)/25))/(LN(2)/25)*Calculateur!V47*Calculateur!X47*VLOOKUP('Données projet'!$B$9,Paramètres!$A$1:$I$89,3,0)*0.475*44/12</f>
        <v>44.375459052075549</v>
      </c>
      <c r="AB47" s="21">
        <f>EXP(-LN(2)/2)*AB46+(1-EXP(-LN(2)/2))/(LN(2)/2)*V47*Y47*VLOOKUP('Données projet'!$B$9,Paramètres!$A$1:$I$89,3,0)*0.475*44/12</f>
        <v>6.1365048358758651E-4</v>
      </c>
      <c r="AC47" s="22">
        <f t="shared" si="3"/>
        <v>88.370391039929785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13.059999999999999</v>
      </c>
      <c r="AI47" s="13">
        <f>IF('Données projet'!$A$62&gt;35,AI46+AH47-AQ46,IF(A47&lt;'Données projet'!$A$62,$AF$205^A47,IF(A47='Données projet'!$A$62,'Données projet'!$B$62,AI46+AH47-AQ46)))</f>
        <v>200.65000000000012</v>
      </c>
      <c r="AJ47" s="13">
        <f>AI47*VLOOKUP('Données projet'!$B$10,Paramètres!$A$1:$I$89,3,0)*VLOOKUP('Données projet'!$B$10,Paramètres!$A$1:$I$89,5,0)</f>
        <v>181.5481200000001</v>
      </c>
      <c r="AK47" s="13">
        <f t="shared" si="35"/>
        <v>45.666442486896024</v>
      </c>
      <c r="AL47" s="20">
        <f t="shared" si="4"/>
        <v>395.73202966467738</v>
      </c>
      <c r="AM47" s="59">
        <f t="shared" si="5"/>
        <v>689.06536299801064</v>
      </c>
      <c r="AN47" s="59">
        <f ca="1">AVERAGE(OFFSET($AM$3,0,0,'Données projet'!$E$10+1,1))-AVERAGE(OFFSET($H$3,0,0,'Données projet'!$E$10+1,1))</f>
        <v>426.34811677569007</v>
      </c>
      <c r="AO47" s="59">
        <f t="shared" si="36"/>
        <v>209.65223938402107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44.255393539085446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44.255393539085446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13.059999999999999</v>
      </c>
      <c r="BD47" s="12">
        <f>IF('Données projet'!$A$88&gt;35,BD46+BC47-BL46,IF(A47&lt;'Données projet'!$A$88,$BA$205^A47,IF(A47='Données projet'!$A$88,'Données projet'!$B$88,BD46+BC47-BL46)))</f>
        <v>200.65000000000012</v>
      </c>
      <c r="BE47" s="13">
        <f>BD47*VLOOKUP('Données projet'!$B$11,Paramètres!$A$1:$I$89,3,0)*VLOOKUP('Données projet'!$B$11,Paramètres!$A$1:$I$89,5,0)</f>
        <v>203.45910000000012</v>
      </c>
      <c r="BF47" s="13">
        <f t="shared" si="37"/>
        <v>50.503612867997838</v>
      </c>
      <c r="BG47" s="20">
        <f t="shared" si="7"/>
        <v>442.31839157842978</v>
      </c>
      <c r="BH47" s="59">
        <f t="shared" si="8"/>
        <v>735.65172491176304</v>
      </c>
      <c r="BI47" s="59">
        <f ca="1">AVERAGE(OFFSET($BH$3,0,0,'Données projet'!$E$11+1,1))-AVERAGE(OFFSET($H$3,0,0,'Données projet'!$E$11+1,1))</f>
        <v>485.01379841128346</v>
      </c>
      <c r="BJ47" s="59">
        <f t="shared" si="38"/>
        <v>238.25679915866897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49.596561724837144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49.596561724837144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">
        <f t="shared" si="32"/>
        <v>6.973872956248516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6">
        <f t="shared" si="1"/>
        <v>343.17787039879954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518</v>
      </c>
      <c r="L48" s="12">
        <f>VLOOKUP(A48,'Données projet'!$A$35:$I$55,9,0)</f>
        <v>24.2</v>
      </c>
      <c r="M48" s="12">
        <f t="array" ref="M48">INDEX(L:L,MIN(IF(ISNUMBER(L48:L244),ROW(L48:L244),"")))</f>
        <v>24.2</v>
      </c>
      <c r="N48" s="13">
        <f>IF('Données projet'!$A$36&gt;35,N47+M48-V47,IF(A48&lt;'Données projet'!$A$36,$K$205^A48,IF(A48='Données projet'!$A$36,'Données projet'!$B$36,N47+M48-V47)))</f>
        <v>518.00000000000023</v>
      </c>
      <c r="O48" s="13">
        <f>N48*VLOOKUP('Données projet'!$B$9,Paramètres!$A$1:$I$89,3,0)*VLOOKUP('Données projet'!$B$9,Paramètres!$A$1:$I$89,5,0)</f>
        <v>309.76400000000018</v>
      </c>
      <c r="P48" s="13">
        <f t="shared" si="33"/>
        <v>73.219541794375104</v>
      </c>
      <c r="Q48" s="20">
        <f t="shared" si="53"/>
        <v>667.02966862520361</v>
      </c>
      <c r="R48" s="59">
        <f t="shared" si="0"/>
        <v>960.36300195853687</v>
      </c>
      <c r="S48" s="59">
        <f ca="1">AVERAGE(OFFSET($R$3,0,0,'Données projet'!$E$9+1,1))-AVERAGE(OFFSET($H$3,0,0,'Données projet'!$E$9+1,1))</f>
        <v>481.17250315093412</v>
      </c>
      <c r="T48" s="59">
        <f t="shared" si="34"/>
        <v>413.48123190206832</v>
      </c>
      <c r="U48" s="15">
        <f>IF(ISNA(VLOOKUP(A48,'Données projet'!$A$35:$I$55,3,0)),0,VLOOKUP(A48,'Données projet'!$A$35:$I$55,3,0))</f>
        <v>7</v>
      </c>
      <c r="V48" s="15">
        <f>IF(ISNA(VLOOKUP(A48,'Données projet'!$A$35:$I$55,4,0)),0,VLOOKUP(A48,'Données projet'!$A$35:$I$55,4,0))</f>
        <v>64</v>
      </c>
      <c r="W48" s="16">
        <f>IF(ISNA(VLOOKUP(A48,'Données projet'!$A$35:$I$55,5,0)),0%,VLOOKUP(A48,'Données projet'!$A$35:$I$55,5,0)*VLOOKUP('Données projet'!$B$9,Paramètres!$A$1:$I$89,7,0))</f>
        <v>0.45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65.978240266021317</v>
      </c>
      <c r="AA48" s="21">
        <f>EXP(-LN(2)/25)*AA47+(1-EXP(-LN(2)/25))/(LN(2)/25)*Calculateur!V48*Calculateur!X48*VLOOKUP('Données projet'!$B$9,Paramètres!$A$1:$I$89,3,0)*0.475*44/12</f>
        <v>43.162009790692572</v>
      </c>
      <c r="AB48" s="21">
        <f>EXP(-LN(2)/2)*AB47+(1-EXP(-LN(2)/2))/(LN(2)/2)*V48*Y48*VLOOKUP('Données projet'!$B$9,Paramètres!$A$1:$I$89,3,0)*0.475*44/12</f>
        <v>4.3391641822318662E-4</v>
      </c>
      <c r="AC48" s="22">
        <f t="shared" si="3"/>
        <v>109.1406839731321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13.059999999999999</v>
      </c>
      <c r="AI48" s="13">
        <f>IF('Données projet'!$A$62&gt;35,AI47+AH48-AQ47,IF(A48&lt;'Données projet'!$A$62,$AF$205^A48,IF(A48='Données projet'!$A$62,'Données projet'!$B$62,AI47+AH48-AQ47)))</f>
        <v>213.71000000000012</v>
      </c>
      <c r="AJ48" s="13">
        <f>AI48*VLOOKUP('Données projet'!$B$10,Paramètres!$A$1:$I$89,3,0)*VLOOKUP('Données projet'!$B$10,Paramètres!$A$1:$I$89,5,0)</f>
        <v>193.3648080000001</v>
      </c>
      <c r="AK48" s="13">
        <f t="shared" si="35"/>
        <v>48.283102387258907</v>
      </c>
      <c r="AL48" s="20">
        <f t="shared" si="4"/>
        <v>420.87011059114275</v>
      </c>
      <c r="AM48" s="59">
        <f t="shared" si="5"/>
        <v>714.20344392447601</v>
      </c>
      <c r="AN48" s="59">
        <f ca="1">AVERAGE(OFFSET($AM$3,0,0,'Données projet'!$E$10+1,1))-AVERAGE(OFFSET($H$3,0,0,'Données projet'!$E$10+1,1))</f>
        <v>426.34811677569007</v>
      </c>
      <c r="AO48" s="59">
        <f t="shared" si="36"/>
        <v>209.65223938402107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43.387572264908691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43.387572264908691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13.059999999999999</v>
      </c>
      <c r="BD48" s="12">
        <f>IF('Données projet'!$A$88&gt;35,BD47+BC48-BL47,IF(A48&lt;'Données projet'!$A$88,$BA$205^A48,IF(A48='Données projet'!$A$88,'Données projet'!$B$88,BD47+BC48-BL47)))</f>
        <v>213.71000000000012</v>
      </c>
      <c r="BE48" s="13">
        <f>BD48*VLOOKUP('Données projet'!$B$11,Paramètres!$A$1:$I$89,3,0)*VLOOKUP('Données projet'!$B$11,Paramètres!$A$1:$I$89,5,0)</f>
        <v>216.70194000000012</v>
      </c>
      <c r="BF48" s="13">
        <f t="shared" si="37"/>
        <v>53.397439744331798</v>
      </c>
      <c r="BG48" s="20">
        <f t="shared" si="7"/>
        <v>470.42308638804479</v>
      </c>
      <c r="BH48" s="59">
        <f t="shared" si="8"/>
        <v>763.75641972137805</v>
      </c>
      <c r="BI48" s="59">
        <f ca="1">AVERAGE(OFFSET($BH$3,0,0,'Données projet'!$E$11+1,1))-AVERAGE(OFFSET($H$3,0,0,'Données projet'!$E$11+1,1))</f>
        <v>485.01379841128346</v>
      </c>
      <c r="BJ48" s="59">
        <f t="shared" si="38"/>
        <v>238.25679915866897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48.624003400328711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48.624003400328711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">
        <f t="shared" si="32"/>
        <v>7.1106331699901988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6">
        <f t="shared" si="1"/>
        <v>344.25380277106626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21.8</v>
      </c>
      <c r="N49" s="13">
        <f>IF('Données projet'!$A$36&gt;35,N48+M49-V48,IF(A49&lt;'Données projet'!$A$36,$K$205^A49,IF(A49='Données projet'!$A$36,'Données projet'!$B$36,N48+M49-V48)))</f>
        <v>475.80000000000018</v>
      </c>
      <c r="O49" s="13">
        <f>N49*VLOOKUP('Données projet'!$B$9,Paramètres!$A$1:$I$89,3,0)*VLOOKUP('Données projet'!$B$9,Paramètres!$A$1:$I$89,5,0)</f>
        <v>284.52840000000009</v>
      </c>
      <c r="P49" s="13">
        <f t="shared" si="33"/>
        <v>67.923094584210929</v>
      </c>
      <c r="Q49" s="20">
        <f t="shared" si="53"/>
        <v>613.85301973416745</v>
      </c>
      <c r="R49" s="59">
        <f t="shared" si="0"/>
        <v>907.1863530675007</v>
      </c>
      <c r="S49" s="59">
        <f ca="1">AVERAGE(OFFSET($R$3,0,0,'Données projet'!$E$9+1,1))-AVERAGE(OFFSET($H$3,0,0,'Données projet'!$E$9+1,1))</f>
        <v>481.17250315093412</v>
      </c>
      <c r="T49" s="59">
        <f t="shared" si="34"/>
        <v>413.48123190206832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64.684447217157555</v>
      </c>
      <c r="AA49" s="21">
        <f>EXP(-LN(2)/25)*AA48+(1-EXP(-LN(2)/25))/(LN(2)/25)*Calculateur!V49*Calculateur!X49*VLOOKUP('Données projet'!$B$9,Paramètres!$A$1:$I$89,3,0)*0.475*44/12</f>
        <v>41.981742363174639</v>
      </c>
      <c r="AB49" s="21">
        <f>EXP(-LN(2)/2)*AB48+(1-EXP(-LN(2)/2))/(LN(2)/2)*V49*Y49*VLOOKUP('Données projet'!$B$9,Paramètres!$A$1:$I$89,3,0)*0.475*44/12</f>
        <v>3.0682524179379326E-4</v>
      </c>
      <c r="AC49" s="22">
        <f t="shared" si="3"/>
        <v>106.66649640557399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13.059999999999999</v>
      </c>
      <c r="AI49" s="13">
        <f>IF('Données projet'!$A$62&gt;35,AI48+AH49-AQ48,IF(A49&lt;'Données projet'!$A$62,$AF$205^A49,IF(A49='Données projet'!$A$62,'Données projet'!$B$62,AI48+AH49-AQ48)))</f>
        <v>226.77000000000012</v>
      </c>
      <c r="AJ49" s="13">
        <f>AI49*VLOOKUP('Données projet'!$B$10,Paramètres!$A$1:$I$89,3,0)*VLOOKUP('Données projet'!$B$10,Paramètres!$A$1:$I$89,5,0)</f>
        <v>205.1814960000001</v>
      </c>
      <c r="AK49" s="13">
        <f t="shared" si="35"/>
        <v>50.88120304468918</v>
      </c>
      <c r="AL49" s="20">
        <f t="shared" si="4"/>
        <v>445.97586750283381</v>
      </c>
      <c r="AM49" s="59">
        <f t="shared" si="5"/>
        <v>739.30920083616707</v>
      </c>
      <c r="AN49" s="59">
        <f ca="1">AVERAGE(OFFSET($AM$3,0,0,'Données projet'!$E$10+1,1))-AVERAGE(OFFSET($H$3,0,0,'Données projet'!$E$10+1,1))</f>
        <v>426.34811677569007</v>
      </c>
      <c r="AO49" s="59">
        <f t="shared" si="36"/>
        <v>209.65223938402107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42.536768436599829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42.536768436599829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13.059999999999999</v>
      </c>
      <c r="BD49" s="12">
        <f>IF('Données projet'!$A$88&gt;35,BD48+BC49-BL48,IF(A49&lt;'Données projet'!$A$88,$BA$205^A49,IF(A49='Données projet'!$A$88,'Données projet'!$B$88,BD48+BC49-BL48)))</f>
        <v>226.77000000000012</v>
      </c>
      <c r="BE49" s="13">
        <f>BD49*VLOOKUP('Données projet'!$B$11,Paramètres!$A$1:$I$89,3,0)*VLOOKUP('Données projet'!$B$11,Paramètres!$A$1:$I$89,5,0)</f>
        <v>229.94478000000012</v>
      </c>
      <c r="BF49" s="13">
        <f t="shared" si="37"/>
        <v>56.270741509246001</v>
      </c>
      <c r="BG49" s="20">
        <f t="shared" si="7"/>
        <v>498.49203329527023</v>
      </c>
      <c r="BH49" s="59">
        <f t="shared" si="8"/>
        <v>791.82536662860355</v>
      </c>
      <c r="BI49" s="59">
        <f ca="1">AVERAGE(OFFSET($BH$3,0,0,'Données projet'!$E$11+1,1))-AVERAGE(OFFSET($H$3,0,0,'Données projet'!$E$11+1,1))</f>
        <v>485.01379841128346</v>
      </c>
      <c r="BJ49" s="59">
        <f t="shared" si="38"/>
        <v>238.25679915866897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47.670516351361883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47.670516351361883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">
        <f t="shared" si="32"/>
        <v>7.2470477296289397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6">
        <f t="shared" si="1"/>
        <v>345.32913312910375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21.8</v>
      </c>
      <c r="N50" s="13">
        <f>IF('Données projet'!$A$36&gt;35,N49+M50-V49,IF(A50&lt;'Données projet'!$A$36,$K$205^A50,IF(A50='Données projet'!$A$36,'Données projet'!$B$36,N49+M50-V49)))</f>
        <v>497.60000000000019</v>
      </c>
      <c r="O50" s="13">
        <f>N50*VLOOKUP('Données projet'!$B$9,Paramètres!$A$1:$I$89,3,0)*VLOOKUP('Données projet'!$B$9,Paramètres!$A$1:$I$89,5,0)</f>
        <v>297.56480000000016</v>
      </c>
      <c r="P50" s="13">
        <f t="shared" si="33"/>
        <v>70.665710106623806</v>
      </c>
      <c r="Q50" s="20">
        <f t="shared" si="53"/>
        <v>641.33480510237007</v>
      </c>
      <c r="R50" s="59">
        <f t="shared" si="0"/>
        <v>934.66813843570344</v>
      </c>
      <c r="S50" s="59">
        <f ca="1">AVERAGE(OFFSET($R$3,0,0,'Données projet'!$E$9+1,1))-AVERAGE(OFFSET($H$3,0,0,'Données projet'!$E$9+1,1))</f>
        <v>481.17250315093412</v>
      </c>
      <c r="T50" s="59">
        <f t="shared" si="34"/>
        <v>413.48123190206832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63.416024660846176</v>
      </c>
      <c r="AA50" s="21">
        <f>EXP(-LN(2)/25)*AA49+(1-EXP(-LN(2)/25))/(LN(2)/25)*Calculateur!V50*Calculateur!X50*VLOOKUP('Données projet'!$B$9,Paramètres!$A$1:$I$89,3,0)*0.475*44/12</f>
        <v>40.833749410529748</v>
      </c>
      <c r="AB50" s="21">
        <f>EXP(-LN(2)/2)*AB49+(1-EXP(-LN(2)/2))/(LN(2)/2)*V50*Y50*VLOOKUP('Données projet'!$B$9,Paramètres!$A$1:$I$89,3,0)*0.475*44/12</f>
        <v>2.1695820911159331E-4</v>
      </c>
      <c r="AC50" s="22">
        <f t="shared" si="3"/>
        <v>104.24999102958503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13.059999999999999</v>
      </c>
      <c r="AI50" s="13">
        <f>IF('Données projet'!$A$62&gt;35,AI49+AH50-AQ49,IF(A50&lt;'Données projet'!$A$62,$AF$205^A50,IF(A50='Données projet'!$A$62,'Données projet'!$B$62,AI49+AH50-AQ49)))</f>
        <v>239.83000000000013</v>
      </c>
      <c r="AJ50" s="13">
        <f>AI50*VLOOKUP('Données projet'!$B$10,Paramètres!$A$1:$I$89,3,0)*VLOOKUP('Données projet'!$B$10,Paramètres!$A$1:$I$89,5,0)</f>
        <v>216.99818400000012</v>
      </c>
      <c r="AK50" s="13">
        <f t="shared" si="35"/>
        <v>53.461935088977889</v>
      </c>
      <c r="AL50" s="20">
        <f t="shared" si="4"/>
        <v>471.05137407996995</v>
      </c>
      <c r="AM50" s="59">
        <f t="shared" si="5"/>
        <v>764.3847074133032</v>
      </c>
      <c r="AN50" s="59">
        <f ca="1">AVERAGE(OFFSET($AM$3,0,0,'Données projet'!$E$10+1,1))-AVERAGE(OFFSET($H$3,0,0,'Données projet'!$E$10+1,1))</f>
        <v>426.34811677569007</v>
      </c>
      <c r="AO50" s="59">
        <f t="shared" si="36"/>
        <v>209.65223938402107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41.702648352425008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41.702648352425008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13.059999999999999</v>
      </c>
      <c r="BD50" s="12">
        <f>IF('Données projet'!$A$88&gt;35,BD49+BC50-BL49,IF(A50&lt;'Données projet'!$A$88,$BA$205^A50,IF(A50='Données projet'!$A$88,'Données projet'!$B$88,BD49+BC50-BL49)))</f>
        <v>239.83000000000013</v>
      </c>
      <c r="BE50" s="13">
        <f>BD50*VLOOKUP('Données projet'!$B$11,Paramètres!$A$1:$I$89,3,0)*VLOOKUP('Données projet'!$B$11,Paramètres!$A$1:$I$89,5,0)</f>
        <v>243.18762000000015</v>
      </c>
      <c r="BF50" s="13">
        <f t="shared" si="37"/>
        <v>59.124834908752511</v>
      </c>
      <c r="BG50" s="20">
        <f t="shared" si="7"/>
        <v>526.52752563274419</v>
      </c>
      <c r="BH50" s="59">
        <f t="shared" si="8"/>
        <v>819.86085896607756</v>
      </c>
      <c r="BI50" s="59">
        <f ca="1">AVERAGE(OFFSET($BH$3,0,0,'Données projet'!$E$11+1,1))-AVERAGE(OFFSET($H$3,0,0,'Données projet'!$E$11+1,1))</f>
        <v>485.01379841128346</v>
      </c>
      <c r="BJ50" s="59">
        <f t="shared" si="38"/>
        <v>238.25679915866897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46.735726601855617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46.735726601855617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">
        <f t="shared" si="32"/>
        <v>7.3831248366439324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6">
        <f t="shared" si="1"/>
        <v>346.40387575715488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21.8</v>
      </c>
      <c r="N51" s="13">
        <f>IF('Données projet'!$A$36&gt;35,N50+M51-V50,IF(A51&lt;'Données projet'!$A$36,$K$205^A51,IF(A51='Données projet'!$A$36,'Données projet'!$B$36,N50+M51-V50)))</f>
        <v>519.4000000000002</v>
      </c>
      <c r="O51" s="13">
        <f>N51*VLOOKUP('Données projet'!$B$9,Paramètres!$A$1:$I$89,3,0)*VLOOKUP('Données projet'!$B$9,Paramètres!$A$1:$I$89,5,0)</f>
        <v>310.60120000000012</v>
      </c>
      <c r="P51" s="13">
        <f t="shared" si="33"/>
        <v>73.394370499024973</v>
      </c>
      <c r="Q51" s="20">
        <f t="shared" si="53"/>
        <v>668.792285285802</v>
      </c>
      <c r="R51" s="59">
        <f t="shared" si="0"/>
        <v>962.12561861913537</v>
      </c>
      <c r="S51" s="59">
        <f ca="1">AVERAGE(OFFSET($R$3,0,0,'Données projet'!$E$9+1,1))-AVERAGE(OFFSET($H$3,0,0,'Données projet'!$E$9+1,1))</f>
        <v>481.17250315093412</v>
      </c>
      <c r="T51" s="59">
        <f t="shared" si="34"/>
        <v>413.48123190206832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62.1724750972027</v>
      </c>
      <c r="AA51" s="21">
        <f>EXP(-LN(2)/25)*AA50+(1-EXP(-LN(2)/25))/(LN(2)/25)*Calculateur!V51*Calculateur!X51*VLOOKUP('Données projet'!$B$9,Paramètres!$A$1:$I$89,3,0)*0.475*44/12</f>
        <v>39.717148385545258</v>
      </c>
      <c r="AB51" s="21">
        <f>EXP(-LN(2)/2)*AB50+(1-EXP(-LN(2)/2))/(LN(2)/2)*V51*Y51*VLOOKUP('Données projet'!$B$9,Paramètres!$A$1:$I$89,3,0)*0.475*44/12</f>
        <v>1.5341262089689663E-4</v>
      </c>
      <c r="AC51" s="22">
        <f t="shared" si="3"/>
        <v>101.88977689536887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252.89</v>
      </c>
      <c r="AG51" s="12">
        <f>VLOOKUP(A51,'Données projet'!$A$61:$I$81,9,0)</f>
        <v>13.059999999999999</v>
      </c>
      <c r="AH51" s="12">
        <f t="array" ref="AH51">INDEX(AG:AG,MIN(IF(ISNUMBER(AG51:AG247),ROW(AG51:AG247),"")))</f>
        <v>13.059999999999999</v>
      </c>
      <c r="AI51" s="13">
        <f>IF('Données projet'!$A$62&gt;35,AI50+AH51-AQ50,IF(A51&lt;'Données projet'!$A$62,$AF$205^A51,IF(A51='Données projet'!$A$62,'Données projet'!$B$62,AI50+AH51-AQ50)))</f>
        <v>252.89000000000013</v>
      </c>
      <c r="AJ51" s="13">
        <f>AI51*VLOOKUP('Données projet'!$B$10,Paramètres!$A$1:$I$89,3,0)*VLOOKUP('Données projet'!$B$10,Paramètres!$A$1:$I$89,5,0)</f>
        <v>228.81487200000009</v>
      </c>
      <c r="AK51" s="13">
        <f t="shared" si="35"/>
        <v>56.026352154237983</v>
      </c>
      <c r="AL51" s="20">
        <f t="shared" si="4"/>
        <v>496.09846540196463</v>
      </c>
      <c r="AM51" s="59">
        <f t="shared" si="5"/>
        <v>789.43179873529789</v>
      </c>
      <c r="AN51" s="59">
        <f ca="1">AVERAGE(OFFSET($AM$3,0,0,'Données projet'!$E$10+1,1))-AVERAGE(OFFSET($H$3,0,0,'Données projet'!$E$10+1,1))</f>
        <v>426.34811677569007</v>
      </c>
      <c r="AO51" s="59">
        <f t="shared" si="36"/>
        <v>209.65223938402107</v>
      </c>
      <c r="AP51" s="15">
        <f>IF(ISNA(VLOOKUP(A51,'Données projet'!$A$61:$I$81,3,0)),0,VLOOKUP(A51,'Données projet'!$A$61:$I$81,3,0))</f>
        <v>3</v>
      </c>
      <c r="AQ51" s="15">
        <f>IF(ISNA(VLOOKUP(A51,'Données projet'!$A$61:$I$81,4,0)),0,VLOOKUP(A51,'Données projet'!$A$61:$I$81,4,0))</f>
        <v>61.12</v>
      </c>
      <c r="AR51" s="16">
        <f>IF(ISNA(VLOOKUP(A51,'Données projet'!$A$61:$I$81,5,0)),0%,VLOOKUP(A51,'Données projet'!$A$61:$I$81,5,0)*VLOOKUP('Données projet'!$B$10,Paramètres!$A$1:$I$89,7,0))</f>
        <v>0.43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67.172519093966031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67.172519093966031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>
        <f>VLOOKUP(A51,'Données projet'!$A$87:$I$107,2,0)</f>
        <v>252.89</v>
      </c>
      <c r="BB51" s="12">
        <f>VLOOKUP(A51,'Données projet'!$A$87:$I$107,9,0)</f>
        <v>13.059999999999999</v>
      </c>
      <c r="BC51" s="12">
        <f t="array" ref="BC51">INDEX(BB:BB,MIN(IF(ISNUMBER(BB51:BB247),ROW(BB51:BB247),"")))</f>
        <v>13.059999999999999</v>
      </c>
      <c r="BD51" s="12">
        <f>IF('Données projet'!$A$88&gt;35,BD50+BC51-BL50,IF(A51&lt;'Données projet'!$A$88,$BA$205^A51,IF(A51='Données projet'!$A$88,'Données projet'!$B$88,BD50+BC51-BL50)))</f>
        <v>252.89000000000013</v>
      </c>
      <c r="BE51" s="13">
        <f>BD51*VLOOKUP('Données projet'!$B$11,Paramètres!$A$1:$I$89,3,0)*VLOOKUP('Données projet'!$B$11,Paramètres!$A$1:$I$89,5,0)</f>
        <v>256.43046000000015</v>
      </c>
      <c r="BF51" s="13">
        <f t="shared" si="37"/>
        <v>61.960885182060892</v>
      </c>
      <c r="BG51" s="20">
        <f t="shared" si="7"/>
        <v>554.53159285875631</v>
      </c>
      <c r="BH51" s="59">
        <f t="shared" si="8"/>
        <v>847.86492619208957</v>
      </c>
      <c r="BI51" s="59">
        <f ca="1">AVERAGE(OFFSET($BH$3,0,0,'Données projet'!$E$11+1,1))-AVERAGE(OFFSET($H$3,0,0,'Données projet'!$E$11+1,1))</f>
        <v>485.01379841128346</v>
      </c>
      <c r="BJ51" s="59">
        <f t="shared" si="38"/>
        <v>238.25679915866897</v>
      </c>
      <c r="BK51" s="15">
        <f>IF(ISNA(VLOOKUP(A51,'Données projet'!$A$87:$I$107,3,0)),0,VLOOKUP(A51,'Données projet'!$A$87:$I$107,3,0))</f>
        <v>3</v>
      </c>
      <c r="BL51" s="15">
        <f>IF(ISNA(VLOOKUP(A51,'Données projet'!$A$87:$I$107,4,0)),0,VLOOKUP(A51,'Données projet'!$A$87:$I$107,4,0))</f>
        <v>61.12</v>
      </c>
      <c r="BM51" s="16">
        <f>IF(ISNA(VLOOKUP(A51,'Données projet'!$A$87:$I$107,5,0)),0%,VLOOKUP(A51,'Données projet'!$A$87:$I$107,5,0)*VLOOKUP('Données projet'!$B$11,Paramètres!$A$1:$I$89,7,0))</f>
        <v>0.43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75.279547260479177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75.279547260479177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">
        <f t="shared" si="32"/>
        <v>7.5188723312571559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6">
        <f t="shared" si="1"/>
        <v>347.47804431027294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21.8</v>
      </c>
      <c r="N52" s="13">
        <f>IF('Données projet'!$A$36&gt;35,N51+M52-V51,IF(A52&lt;'Données projet'!$A$36,$K$205^A52,IF(A52='Données projet'!$A$36,'Données projet'!$B$36,N51+M52-V51)))</f>
        <v>541.20000000000016</v>
      </c>
      <c r="O52" s="13">
        <f>N52*VLOOKUP('Données projet'!$B$9,Paramètres!$A$1:$I$89,3,0)*VLOOKUP('Données projet'!$B$9,Paramètres!$A$1:$I$89,5,0)</f>
        <v>323.63760000000013</v>
      </c>
      <c r="P52" s="13">
        <f t="shared" si="33"/>
        <v>76.109728452986261</v>
      </c>
      <c r="Q52" s="20">
        <f t="shared" si="53"/>
        <v>696.22659705561784</v>
      </c>
      <c r="R52" s="59">
        <f t="shared" si="0"/>
        <v>989.55993038895122</v>
      </c>
      <c r="S52" s="59">
        <f ca="1">AVERAGE(OFFSET($R$3,0,0,'Données projet'!$E$9+1,1))-AVERAGE(OFFSET($H$3,0,0,'Données projet'!$E$9+1,1))</f>
        <v>481.17250315093412</v>
      </c>
      <c r="T52" s="59">
        <f t="shared" si="34"/>
        <v>413.48123190206832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60.953310782011933</v>
      </c>
      <c r="AA52" s="21">
        <f>EXP(-LN(2)/25)*AA51+(1-EXP(-LN(2)/25))/(LN(2)/25)*Calculateur!V52*Calculateur!X52*VLOOKUP('Données projet'!$B$9,Paramètres!$A$1:$I$89,3,0)*0.475*44/12</f>
        <v>38.631080874308466</v>
      </c>
      <c r="AB52" s="21">
        <f>EXP(-LN(2)/2)*AB51+(1-EXP(-LN(2)/2))/(LN(2)/2)*V52*Y52*VLOOKUP('Données projet'!$B$9,Paramètres!$A$1:$I$89,3,0)*0.475*44/12</f>
        <v>1.0847910455579665E-4</v>
      </c>
      <c r="AC52" s="22">
        <f t="shared" si="3"/>
        <v>99.58450013542496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12.271428571428576</v>
      </c>
      <c r="AI52" s="13">
        <f>IF('Données projet'!$A$62&gt;35,AI51+AH52-AQ51,IF(A52&lt;'Données projet'!$A$62,$AF$205^A52,IF(A52='Données projet'!$A$62,'Données projet'!$B$62,AI51+AH52-AQ51)))</f>
        <v>204.0414285714287</v>
      </c>
      <c r="AJ52" s="13">
        <f>AI52*VLOOKUP('Données projet'!$B$10,Paramètres!$A$1:$I$89,3,0)*VLOOKUP('Données projet'!$B$10,Paramètres!$A$1:$I$89,5,0)</f>
        <v>184.61668457142869</v>
      </c>
      <c r="AK52" s="13">
        <f t="shared" si="35"/>
        <v>46.347794643176776</v>
      </c>
      <c r="AL52" s="20">
        <f t="shared" si="4"/>
        <v>402.26313463210448</v>
      </c>
      <c r="AM52" s="59">
        <f t="shared" si="5"/>
        <v>695.5964679654378</v>
      </c>
      <c r="AN52" s="59">
        <f ca="1">AVERAGE(OFFSET($AM$3,0,0,'Données projet'!$E$10+1,1))-AVERAGE(OFFSET($H$3,0,0,'Données projet'!$E$10+1,1))</f>
        <v>426.34811677569007</v>
      </c>
      <c r="AO52" s="59">
        <f t="shared" si="36"/>
        <v>209.65223938402107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65.855306965724438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65.855306965724438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12.271428571428576</v>
      </c>
      <c r="BD52" s="12">
        <f>IF('Données projet'!$A$88&gt;35,BD51+BC52-BL51,IF(A52&lt;'Données projet'!$A$88,$BA$205^A52,IF(A52='Données projet'!$A$88,'Données projet'!$B$88,BD51+BC52-BL51)))</f>
        <v>204.0414285714287</v>
      </c>
      <c r="BE52" s="13">
        <f>BD52*VLOOKUP('Données projet'!$B$11,Paramètres!$A$1:$I$89,3,0)*VLOOKUP('Données projet'!$B$11,Paramètres!$A$1:$I$89,5,0)</f>
        <v>206.89800857142873</v>
      </c>
      <c r="BF52" s="13">
        <f t="shared" si="37"/>
        <v>51.257136542136692</v>
      </c>
      <c r="BG52" s="20">
        <f t="shared" si="7"/>
        <v>449.6202110727931</v>
      </c>
      <c r="BH52" s="59">
        <f t="shared" si="8"/>
        <v>742.95354440612641</v>
      </c>
      <c r="BI52" s="59">
        <f ca="1">AVERAGE(OFFSET($BH$3,0,0,'Données projet'!$E$11+1,1))-AVERAGE(OFFSET($H$3,0,0,'Données projet'!$E$11+1,1))</f>
        <v>485.01379841128346</v>
      </c>
      <c r="BJ52" s="59">
        <f t="shared" si="38"/>
        <v>238.25679915866897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73.803361254691183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73.803361254691183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">
        <f t="shared" si="32"/>
        <v>7.6542977153884264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6">
        <f t="shared" si="1"/>
        <v>348.55165185430155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563</v>
      </c>
      <c r="L53" s="12">
        <f>VLOOKUP(A53,'Données projet'!$A$35:$I$55,9,0)</f>
        <v>21.8</v>
      </c>
      <c r="M53" s="12">
        <f t="array" ref="M53">INDEX(L:L,MIN(IF(ISNUMBER(L53:L249),ROW(L53:L249),"")))</f>
        <v>21.8</v>
      </c>
      <c r="N53" s="13">
        <f>IF('Données projet'!$A$36&gt;35,N52+M53-V52,IF(A53&lt;'Données projet'!$A$36,$K$205^A53,IF(A53='Données projet'!$A$36,'Données projet'!$B$36,N52+M53-V52)))</f>
        <v>563.00000000000011</v>
      </c>
      <c r="O53" s="13">
        <f>N53*VLOOKUP('Données projet'!$B$9,Paramètres!$A$1:$I$89,3,0)*VLOOKUP('Données projet'!$B$9,Paramètres!$A$1:$I$89,5,0)</f>
        <v>336.67400000000009</v>
      </c>
      <c r="P53" s="13">
        <f t="shared" si="33"/>
        <v>78.812381102074809</v>
      </c>
      <c r="Q53" s="20">
        <f t="shared" si="53"/>
        <v>723.63878041944702</v>
      </c>
      <c r="R53" s="59">
        <f t="shared" si="0"/>
        <v>1016.9721137527804</v>
      </c>
      <c r="S53" s="59">
        <f ca="1">AVERAGE(OFFSET($R$3,0,0,'Données projet'!$E$9+1,1))-AVERAGE(OFFSET($H$3,0,0,'Données projet'!$E$9+1,1))</f>
        <v>481.17250315093412</v>
      </c>
      <c r="T53" s="59">
        <f t="shared" si="34"/>
        <v>413.48123190206832</v>
      </c>
      <c r="U53" s="15">
        <f>IF(ISNA(VLOOKUP(A53,'Données projet'!$A$35:$I$55,3,0)),0,VLOOKUP(A53,'Données projet'!$A$35:$I$55,3,0))</f>
        <v>8</v>
      </c>
      <c r="V53" s="15">
        <f>IF(ISNA(VLOOKUP(A53,'Données projet'!$A$35:$I$55,4,0)),0,VLOOKUP(A53,'Données projet'!$A$35:$I$55,4,0))</f>
        <v>56</v>
      </c>
      <c r="W53" s="16">
        <f>IF(ISNA(VLOOKUP(A53,'Données projet'!$A$35:$I$55,5,0)),0%,VLOOKUP(A53,'Données projet'!$A$35:$I$55,5,0)*VLOOKUP('Données projet'!$B$9,Paramètres!$A$1:$I$89,7,0))</f>
        <v>0.45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79.748849253116944</v>
      </c>
      <c r="AA53" s="21">
        <f>EXP(-LN(2)/25)*AA52+(1-EXP(-LN(2)/25))/(LN(2)/25)*Calculateur!V53*Calculateur!X53*VLOOKUP('Données projet'!$B$9,Paramètres!$A$1:$I$89,3,0)*0.475*44/12</f>
        <v>37.574711936280252</v>
      </c>
      <c r="AB53" s="21">
        <f>EXP(-LN(2)/2)*AB52+(1-EXP(-LN(2)/2))/(LN(2)/2)*V53*Y53*VLOOKUP('Données projet'!$B$9,Paramètres!$A$1:$I$89,3,0)*0.475*44/12</f>
        <v>7.6706310448448314E-5</v>
      </c>
      <c r="AC53" s="22">
        <f t="shared" si="3"/>
        <v>117.32363789570765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12.271428571428576</v>
      </c>
      <c r="AI53" s="13">
        <f>IF('Données projet'!$A$62&gt;35,AI52+AH53-AQ52,IF(A53&lt;'Données projet'!$A$62,$AF$205^A53,IF(A53='Données projet'!$A$62,'Données projet'!$B$62,AI52+AH53-AQ52)))</f>
        <v>216.31285714285727</v>
      </c>
      <c r="AJ53" s="13">
        <f>AI53*VLOOKUP('Données projet'!$B$10,Paramètres!$A$1:$I$89,3,0)*VLOOKUP('Données projet'!$B$10,Paramètres!$A$1:$I$89,5,0)</f>
        <v>195.71987314285727</v>
      </c>
      <c r="AK53" s="13">
        <f t="shared" si="35"/>
        <v>48.8023443653355</v>
      </c>
      <c r="AL53" s="20">
        <f t="shared" si="4"/>
        <v>425.87619549343572</v>
      </c>
      <c r="AM53" s="59">
        <f t="shared" si="5"/>
        <v>719.20952882676897</v>
      </c>
      <c r="AN53" s="59">
        <f ca="1">AVERAGE(OFFSET($AM$3,0,0,'Données projet'!$E$10+1,1))-AVERAGE(OFFSET($H$3,0,0,'Données projet'!$E$10+1,1))</f>
        <v>426.34811677569007</v>
      </c>
      <c r="AO53" s="59">
        <f t="shared" si="36"/>
        <v>209.65223938402107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64.563924563897586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64.563924563897586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12.271428571428576</v>
      </c>
      <c r="BD53" s="12">
        <f>IF('Données projet'!$A$88&gt;35,BD52+BC53-BL52,IF(A53&lt;'Données projet'!$A$88,$BA$205^A53,IF(A53='Données projet'!$A$88,'Données projet'!$B$88,BD52+BC53-BL52)))</f>
        <v>216.31285714285727</v>
      </c>
      <c r="BE53" s="13">
        <f>BD53*VLOOKUP('Données projet'!$B$11,Paramètres!$A$1:$I$89,3,0)*VLOOKUP('Données projet'!$B$11,Paramètres!$A$1:$I$89,5,0)</f>
        <v>219.34123714285727</v>
      </c>
      <c r="BF53" s="13">
        <f t="shared" si="37"/>
        <v>53.971681888398933</v>
      </c>
      <c r="BG53" s="20">
        <f t="shared" si="7"/>
        <v>476.02000064610456</v>
      </c>
      <c r="BH53" s="59">
        <f t="shared" si="8"/>
        <v>769.35333397943782</v>
      </c>
      <c r="BI53" s="59">
        <f ca="1">AVERAGE(OFFSET($BH$3,0,0,'Données projet'!$E$11+1,1))-AVERAGE(OFFSET($H$3,0,0,'Données projet'!$E$11+1,1))</f>
        <v>485.01379841128346</v>
      </c>
      <c r="BJ53" s="59">
        <f t="shared" si="38"/>
        <v>238.25679915866897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72.356122356092129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72.356122356092129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">
        <f t="shared" si="32"/>
        <v>7.789408173722185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6">
        <f t="shared" si="1"/>
        <v>349.62471090256616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20.2</v>
      </c>
      <c r="N54" s="13">
        <f>IF('Données projet'!$A$36&gt;35,N53+M54-V53,IF(A54&lt;'Données projet'!$A$36,$K$205^A54,IF(A54='Données projet'!$A$36,'Données projet'!$B$36,N53+M54-V53)))</f>
        <v>527.20000000000016</v>
      </c>
      <c r="O54" s="13">
        <f>N54*VLOOKUP('Données projet'!$B$9,Paramètres!$A$1:$I$89,3,0)*VLOOKUP('Données projet'!$B$9,Paramètres!$A$1:$I$89,5,0)</f>
        <v>315.26560000000012</v>
      </c>
      <c r="P54" s="13">
        <f t="shared" si="33"/>
        <v>74.367416736885588</v>
      </c>
      <c r="Q54" s="20">
        <f t="shared" si="53"/>
        <v>678.61083748340923</v>
      </c>
      <c r="R54" s="59">
        <f t="shared" si="0"/>
        <v>971.9441708167426</v>
      </c>
      <c r="S54" s="59">
        <f ca="1">AVERAGE(OFFSET($R$3,0,0,'Données projet'!$E$9+1,1))-AVERAGE(OFFSET($H$3,0,0,'Données projet'!$E$9+1,1))</f>
        <v>481.17250315093412</v>
      </c>
      <c r="T54" s="59">
        <f t="shared" si="34"/>
        <v>413.48123190206832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78.185022961258369</v>
      </c>
      <c r="AA54" s="21">
        <f>EXP(-LN(2)/25)*AA53+(1-EXP(-LN(2)/25))/(LN(2)/25)*Calculateur!V54*Calculateur!X54*VLOOKUP('Données projet'!$B$9,Paramètres!$A$1:$I$89,3,0)*0.475*44/12</f>
        <v>36.54722946241445</v>
      </c>
      <c r="AB54" s="21">
        <f>EXP(-LN(2)/2)*AB53+(1-EXP(-LN(2)/2))/(LN(2)/2)*V54*Y54*VLOOKUP('Données projet'!$B$9,Paramètres!$A$1:$I$89,3,0)*0.475*44/12</f>
        <v>5.4239552277898327E-5</v>
      </c>
      <c r="AC54" s="22">
        <f t="shared" si="3"/>
        <v>114.7323066632251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12.271428571428576</v>
      </c>
      <c r="AI54" s="13">
        <f>IF('Données projet'!$A$62&gt;35,AI53+AH54-AQ53,IF(A54&lt;'Données projet'!$A$62,$AF$205^A54,IF(A54='Données projet'!$A$62,'Données projet'!$B$62,AI53+AH54-AQ53)))</f>
        <v>228.58428571428584</v>
      </c>
      <c r="AJ54" s="13">
        <f>AI54*VLOOKUP('Données projet'!$B$10,Paramètres!$A$1:$I$89,3,0)*VLOOKUP('Données projet'!$B$10,Paramètres!$A$1:$I$89,5,0)</f>
        <v>206.82306171428581</v>
      </c>
      <c r="AK54" s="13">
        <f t="shared" si="35"/>
        <v>51.240730027878335</v>
      </c>
      <c r="AL54" s="20">
        <f t="shared" si="4"/>
        <v>449.46110395093586</v>
      </c>
      <c r="AM54" s="59">
        <f t="shared" si="5"/>
        <v>742.79443728426918</v>
      </c>
      <c r="AN54" s="59">
        <f ca="1">AVERAGE(OFFSET($AM$3,0,0,'Données projet'!$E$10+1,1))-AVERAGE(OFFSET($H$3,0,0,'Données projet'!$E$10+1,1))</f>
        <v>426.34811677569007</v>
      </c>
      <c r="AO54" s="59">
        <f t="shared" si="36"/>
        <v>209.65223938402107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63.297865383305073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63.297865383305073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12.271428571428576</v>
      </c>
      <c r="BD54" s="12">
        <f>IF('Données projet'!$A$88&gt;35,BD53+BC54-BL53,IF(A54&lt;'Données projet'!$A$88,$BA$205^A54,IF(A54='Données projet'!$A$88,'Données projet'!$B$88,BD53+BC54-BL53)))</f>
        <v>228.58428571428584</v>
      </c>
      <c r="BE54" s="13">
        <f>BD54*VLOOKUP('Données projet'!$B$11,Paramètres!$A$1:$I$89,3,0)*VLOOKUP('Données projet'!$B$11,Paramètres!$A$1:$I$89,5,0)</f>
        <v>231.78446571428586</v>
      </c>
      <c r="BF54" s="13">
        <f t="shared" si="37"/>
        <v>56.668351013857453</v>
      </c>
      <c r="BG54" s="20">
        <f t="shared" si="7"/>
        <v>502.38865580151622</v>
      </c>
      <c r="BH54" s="59">
        <f t="shared" si="8"/>
        <v>795.72198913484954</v>
      </c>
      <c r="BI54" s="59">
        <f ca="1">AVERAGE(OFFSET($BH$3,0,0,'Données projet'!$E$11+1,1))-AVERAGE(OFFSET($H$3,0,0,'Données projet'!$E$11+1,1))</f>
        <v>485.01379841128346</v>
      </c>
      <c r="BJ54" s="59">
        <f t="shared" si="38"/>
        <v>238.25679915866897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70.937262929566046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70.937262929566046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">
        <f t="shared" si="32"/>
        <v>7.9242105930753244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6">
        <f t="shared" si="1"/>
        <v>350.69723344960619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20.2</v>
      </c>
      <c r="N55" s="13">
        <f>IF('Données projet'!$A$36&gt;35,N54+M55-V54,IF(A55&lt;'Données projet'!$A$36,$K$205^A55,IF(A55='Données projet'!$A$36,'Données projet'!$B$36,N54+M55-V54)))</f>
        <v>547.4000000000002</v>
      </c>
      <c r="O55" s="13">
        <f>N55*VLOOKUP('Données projet'!$B$9,Paramètres!$A$1:$I$89,3,0)*VLOOKUP('Données projet'!$B$9,Paramètres!$A$1:$I$89,5,0)</f>
        <v>327.34520000000015</v>
      </c>
      <c r="P55" s="13">
        <f t="shared" si="33"/>
        <v>76.879640917553189</v>
      </c>
      <c r="Q55" s="20">
        <f t="shared" si="53"/>
        <v>704.02493126473883</v>
      </c>
      <c r="R55" s="59">
        <f t="shared" si="0"/>
        <v>997.35826459807208</v>
      </c>
      <c r="S55" s="59">
        <f ca="1">AVERAGE(OFFSET($R$3,0,0,'Données projet'!$E$9+1,1))-AVERAGE(OFFSET($H$3,0,0,'Données projet'!$E$9+1,1))</f>
        <v>481.17250315093412</v>
      </c>
      <c r="T55" s="59">
        <f t="shared" si="34"/>
        <v>413.48123190206832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76.651862349143286</v>
      </c>
      <c r="AA55" s="21">
        <f>EXP(-LN(2)/25)*AA54+(1-EXP(-LN(2)/25))/(LN(2)/25)*Calculateur!V55*Calculateur!X55*VLOOKUP('Données projet'!$B$9,Paramètres!$A$1:$I$89,3,0)*0.475*44/12</f>
        <v>35.547843550829462</v>
      </c>
      <c r="AB55" s="21">
        <f>EXP(-LN(2)/2)*AB54+(1-EXP(-LN(2)/2))/(LN(2)/2)*V55*Y55*VLOOKUP('Données projet'!$B$9,Paramètres!$A$1:$I$89,3,0)*0.475*44/12</f>
        <v>3.8353155224224157E-5</v>
      </c>
      <c r="AC55" s="22">
        <f t="shared" si="3"/>
        <v>112.19974425312796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12.271428571428576</v>
      </c>
      <c r="AI55" s="13">
        <f>IF('Données projet'!$A$62&gt;35,AI54+AH55-AQ54,IF(A55&lt;'Données projet'!$A$62,$AF$205^A55,IF(A55='Données projet'!$A$62,'Données projet'!$B$62,AI54+AH55-AQ54)))</f>
        <v>240.85571428571441</v>
      </c>
      <c r="AJ55" s="13">
        <f>AI55*VLOOKUP('Données projet'!$B$10,Paramètres!$A$1:$I$89,3,0)*VLOOKUP('Données projet'!$B$10,Paramètres!$A$1:$I$89,5,0)</f>
        <v>217.92625028571439</v>
      </c>
      <c r="AK55" s="13">
        <f t="shared" si="35"/>
        <v>53.663918329427027</v>
      </c>
      <c r="AL55" s="20">
        <f t="shared" si="4"/>
        <v>473.01954367137131</v>
      </c>
      <c r="AM55" s="59">
        <f t="shared" si="5"/>
        <v>766.35287700470462</v>
      </c>
      <c r="AN55" s="59">
        <f ca="1">AVERAGE(OFFSET($AM$3,0,0,'Données projet'!$E$10+1,1))-AVERAGE(OFFSET($H$3,0,0,'Données projet'!$E$10+1,1))</f>
        <v>426.34811677569007</v>
      </c>
      <c r="AO55" s="59">
        <f t="shared" si="36"/>
        <v>209.65223938402107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62.056632851024133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62.056632851024133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12.271428571428576</v>
      </c>
      <c r="BD55" s="12">
        <f>IF('Données projet'!$A$88&gt;35,BD54+BC55-BL54,IF(A55&lt;'Données projet'!$A$88,$BA$205^A55,IF(A55='Données projet'!$A$88,'Données projet'!$B$88,BD54+BC55-BL54)))</f>
        <v>240.85571428571441</v>
      </c>
      <c r="BE55" s="13">
        <f>BD55*VLOOKUP('Données projet'!$B$11,Paramètres!$A$1:$I$89,3,0)*VLOOKUP('Données projet'!$B$11,Paramètres!$A$1:$I$89,5,0)</f>
        <v>244.22769428571442</v>
      </c>
      <c r="BF55" s="13">
        <f t="shared" si="37"/>
        <v>59.348213013679157</v>
      </c>
      <c r="BG55" s="20">
        <f t="shared" si="7"/>
        <v>528.72803854644383</v>
      </c>
      <c r="BH55" s="59">
        <f t="shared" si="8"/>
        <v>822.0613718797772</v>
      </c>
      <c r="BI55" s="59">
        <f ca="1">AVERAGE(OFFSET($BH$3,0,0,'Données projet'!$E$11+1,1))-AVERAGE(OFFSET($H$3,0,0,'Données projet'!$E$11+1,1))</f>
        <v>485.01379841128346</v>
      </c>
      <c r="BJ55" s="59">
        <f t="shared" si="38"/>
        <v>238.25679915866897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69.546226470975341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69.546226470975341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">
        <f t="shared" si="32"/>
        <v>8.0587115802330267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6">
        <f t="shared" si="1"/>
        <v>351.76923100223922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20.2</v>
      </c>
      <c r="N56" s="13">
        <f>IF('Données projet'!$A$36&gt;35,N55+M56-V55,IF(A56&lt;'Données projet'!$A$36,$K$205^A56,IF(A56='Données projet'!$A$36,'Données projet'!$B$36,N55+M56-V55)))</f>
        <v>567.60000000000025</v>
      </c>
      <c r="O56" s="13">
        <f>N56*VLOOKUP('Données projet'!$B$9,Paramètres!$A$1:$I$89,3,0)*VLOOKUP('Données projet'!$B$9,Paramètres!$A$1:$I$89,5,0)</f>
        <v>339.42480000000018</v>
      </c>
      <c r="P56" s="13">
        <f t="shared" si="33"/>
        <v>79.38109475156449</v>
      </c>
      <c r="Q56" s="20">
        <f t="shared" si="53"/>
        <v>729.42026669230836</v>
      </c>
      <c r="R56" s="59">
        <f t="shared" si="0"/>
        <v>1022.7536000256416</v>
      </c>
      <c r="S56" s="59">
        <f ca="1">AVERAGE(OFFSET($R$3,0,0,'Données projet'!$E$9+1,1))-AVERAGE(OFFSET($H$3,0,0,'Données projet'!$E$9+1,1))</f>
        <v>481.17250315093412</v>
      </c>
      <c r="T56" s="59">
        <f t="shared" si="34"/>
        <v>413.48123190206832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75.148766081496149</v>
      </c>
      <c r="AA56" s="21">
        <f>EXP(-LN(2)/25)*AA55+(1-EXP(-LN(2)/25))/(LN(2)/25)*Calculateur!V56*Calculateur!X56*VLOOKUP('Données projet'!$B$9,Paramètres!$A$1:$I$89,3,0)*0.475*44/12</f>
        <v>34.575785899552187</v>
      </c>
      <c r="AB56" s="21">
        <f>EXP(-LN(2)/2)*AB55+(1-EXP(-LN(2)/2))/(LN(2)/2)*V56*Y56*VLOOKUP('Données projet'!$B$9,Paramètres!$A$1:$I$89,3,0)*0.475*44/12</f>
        <v>2.7119776138949164E-5</v>
      </c>
      <c r="AC56" s="22">
        <f t="shared" si="3"/>
        <v>109.72457910082447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12.271428571428576</v>
      </c>
      <c r="AI56" s="13">
        <f>IF('Données projet'!$A$62&gt;35,AI55+AH56-AQ55,IF(A56&lt;'Données projet'!$A$62,$AF$205^A56,IF(A56='Données projet'!$A$62,'Données projet'!$B$62,AI55+AH56-AQ55)))</f>
        <v>253.12714285714299</v>
      </c>
      <c r="AJ56" s="13">
        <f>AI56*VLOOKUP('Données projet'!$B$10,Paramètres!$A$1:$I$89,3,0)*VLOOKUP('Données projet'!$B$10,Paramètres!$A$1:$I$89,5,0)</f>
        <v>229.02943885714296</v>
      </c>
      <c r="AK56" s="13">
        <f t="shared" si="35"/>
        <v>56.072771899312158</v>
      </c>
      <c r="AL56" s="20">
        <f t="shared" si="4"/>
        <v>496.55301706749265</v>
      </c>
      <c r="AM56" s="59">
        <f t="shared" si="5"/>
        <v>789.8863504008259</v>
      </c>
      <c r="AN56" s="59">
        <f ca="1">AVERAGE(OFFSET($AM$3,0,0,'Données projet'!$E$10+1,1))-AVERAGE(OFFSET($H$3,0,0,'Données projet'!$E$10+1,1))</f>
        <v>426.34811677569007</v>
      </c>
      <c r="AO56" s="59">
        <f t="shared" si="36"/>
        <v>209.65223938402107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60.839740131624133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60.839740131624133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12.271428571428576</v>
      </c>
      <c r="BD56" s="12">
        <f>IF('Données projet'!$A$88&gt;35,BD55+BC56-BL55,IF(A56&lt;'Données projet'!$A$88,$BA$205^A56,IF(A56='Données projet'!$A$88,'Données projet'!$B$88,BD55+BC56-BL55)))</f>
        <v>253.12714285714299</v>
      </c>
      <c r="BE56" s="13">
        <f>BD56*VLOOKUP('Données projet'!$B$11,Paramètres!$A$1:$I$89,3,0)*VLOOKUP('Données projet'!$B$11,Paramètres!$A$1:$I$89,5,0)</f>
        <v>256.67092285714301</v>
      </c>
      <c r="BF56" s="13">
        <f t="shared" si="37"/>
        <v>62.012221890308474</v>
      </c>
      <c r="BG56" s="20">
        <f t="shared" si="7"/>
        <v>555.03981043514466</v>
      </c>
      <c r="BH56" s="59">
        <f t="shared" si="8"/>
        <v>848.37314376847803</v>
      </c>
      <c r="BI56" s="59">
        <f ca="1">AVERAGE(OFFSET($BH$3,0,0,'Données projet'!$E$11+1,1))-AVERAGE(OFFSET($H$3,0,0,'Données projet'!$E$11+1,1))</f>
        <v>485.01379841128346</v>
      </c>
      <c r="BJ56" s="59">
        <f t="shared" si="38"/>
        <v>238.25679915866897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68.182467388889137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68.182467388889137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">
        <f t="shared" si="32"/>
        <v>8.1929174784004761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6">
        <f t="shared" si="1"/>
        <v>352.84071460821417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20.2</v>
      </c>
      <c r="N57" s="13">
        <f>IF('Données projet'!$A$36&gt;35,N56+M57-V56,IF(A57&lt;'Données projet'!$A$36,$K$205^A57,IF(A57='Données projet'!$A$36,'Données projet'!$B$36,N56+M57-V56)))</f>
        <v>587.8000000000003</v>
      </c>
      <c r="O57" s="13">
        <f>N57*VLOOKUP('Données projet'!$B$9,Paramètres!$A$1:$I$89,3,0)*VLOOKUP('Données projet'!$B$9,Paramètres!$A$1:$I$89,5,0)</f>
        <v>351.5044000000002</v>
      </c>
      <c r="P57" s="13">
        <f t="shared" si="33"/>
        <v>81.872205453163147</v>
      </c>
      <c r="Q57" s="20">
        <f t="shared" si="53"/>
        <v>754.7975878309262</v>
      </c>
      <c r="R57" s="59">
        <f t="shared" si="0"/>
        <v>1048.1309211642595</v>
      </c>
      <c r="S57" s="59">
        <f ca="1">AVERAGE(OFFSET($R$3,0,0,'Données projet'!$E$9+1,1))-AVERAGE(OFFSET($H$3,0,0,'Données projet'!$E$9+1,1))</f>
        <v>481.17250315093412</v>
      </c>
      <c r="T57" s="59">
        <f t="shared" si="34"/>
        <v>413.48123190206832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73.675144614859363</v>
      </c>
      <c r="AA57" s="21">
        <f>EXP(-LN(2)/25)*AA56+(1-EXP(-LN(2)/25))/(LN(2)/25)*Calculateur!V57*Calculateur!X57*VLOOKUP('Données projet'!$B$9,Paramètres!$A$1:$I$89,3,0)*0.475*44/12</f>
        <v>33.630309215867378</v>
      </c>
      <c r="AB57" s="21">
        <f>EXP(-LN(2)/2)*AB56+(1-EXP(-LN(2)/2))/(LN(2)/2)*V57*Y57*VLOOKUP('Données projet'!$B$9,Paramètres!$A$1:$I$89,3,0)*0.475*44/12</f>
        <v>1.9176577612112079E-5</v>
      </c>
      <c r="AC57" s="22">
        <f t="shared" si="3"/>
        <v>107.30547300730436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12.271428571428576</v>
      </c>
      <c r="AI57" s="13">
        <f>IF('Données projet'!$A$62&gt;35,AI56+AH57-AQ56,IF(A57&lt;'Données projet'!$A$62,$AF$205^A57,IF(A57='Données projet'!$A$62,'Données projet'!$B$62,AI56+AH57-AQ56)))</f>
        <v>265.39857142857159</v>
      </c>
      <c r="AJ57" s="13">
        <f>AI57*VLOOKUP('Données projet'!$B$10,Paramètres!$A$1:$I$89,3,0)*VLOOKUP('Données projet'!$B$10,Paramètres!$A$1:$I$89,5,0)</f>
        <v>240.13262742857154</v>
      </c>
      <c r="AK57" s="13">
        <f t="shared" si="35"/>
        <v>58.468065001979532</v>
      </c>
      <c r="AL57" s="20">
        <f t="shared" si="4"/>
        <v>520.06287264987645</v>
      </c>
      <c r="AM57" s="59">
        <f t="shared" si="5"/>
        <v>813.39620598320971</v>
      </c>
      <c r="AN57" s="59">
        <f ca="1">AVERAGE(OFFSET($AM$3,0,0,'Données projet'!$E$10+1,1))-AVERAGE(OFFSET($H$3,0,0,'Données projet'!$E$10+1,1))</f>
        <v>426.34811677569007</v>
      </c>
      <c r="AO57" s="59">
        <f t="shared" si="36"/>
        <v>209.65223938402107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59.646709936220297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59.646709936220297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12.271428571428576</v>
      </c>
      <c r="BD57" s="12">
        <f>IF('Données projet'!$A$88&gt;35,BD56+BC57-BL56,IF(A57&lt;'Données projet'!$A$88,$BA$205^A57,IF(A57='Données projet'!$A$88,'Données projet'!$B$88,BD56+BC57-BL56)))</f>
        <v>265.39857142857159</v>
      </c>
      <c r="BE57" s="13">
        <f>BD57*VLOOKUP('Données projet'!$B$11,Paramètres!$A$1:$I$89,3,0)*VLOOKUP('Données projet'!$B$11,Paramètres!$A$1:$I$89,5,0)</f>
        <v>269.11415142857157</v>
      </c>
      <c r="BF57" s="13">
        <f t="shared" si="37"/>
        <v>64.661233921346607</v>
      </c>
      <c r="BG57" s="20">
        <f t="shared" si="7"/>
        <v>581.32546281777411</v>
      </c>
      <c r="BH57" s="59">
        <f t="shared" si="8"/>
        <v>874.65879615110748</v>
      </c>
      <c r="BI57" s="59">
        <f ca="1">AVERAGE(OFFSET($BH$3,0,0,'Données projet'!$E$11+1,1))-AVERAGE(OFFSET($H$3,0,0,'Données projet'!$E$11+1,1))</f>
        <v>485.01379841128346</v>
      </c>
      <c r="BJ57" s="59">
        <f t="shared" si="38"/>
        <v>238.25679915866897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66.845450790591727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66.845450790591727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">
        <f t="shared" si="32"/>
        <v>8.3268343824014242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6">
        <f t="shared" si="1"/>
        <v>353.91169488268253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608</v>
      </c>
      <c r="L58" s="12">
        <f>VLOOKUP(A58,'Données projet'!$A$35:$I$55,9,0)</f>
        <v>20.2</v>
      </c>
      <c r="M58" s="12">
        <f t="array" ref="M58">INDEX(L:L,MIN(IF(ISNUMBER(L58:L254),ROW(L58:L254),"")))</f>
        <v>20.2</v>
      </c>
      <c r="N58" s="13">
        <f>IF('Données projet'!$A$36&gt;35,N57+M58-V57,IF(A58&lt;'Données projet'!$A$36,$K$205^A58,IF(A58='Données projet'!$A$36,'Données projet'!$B$36,N57+M58-V57)))</f>
        <v>608.00000000000034</v>
      </c>
      <c r="O58" s="13">
        <f>N58*VLOOKUP('Données projet'!$B$9,Paramètres!$A$1:$I$89,3,0)*VLOOKUP('Données projet'!$B$9,Paramètres!$A$1:$I$89,5,0)</f>
        <v>363.58400000000023</v>
      </c>
      <c r="P58" s="13">
        <f t="shared" si="33"/>
        <v>84.353369208346365</v>
      </c>
      <c r="Q58" s="20">
        <f t="shared" si="53"/>
        <v>780.15758470453693</v>
      </c>
      <c r="R58" s="59">
        <f t="shared" si="0"/>
        <v>1073.4909180378702</v>
      </c>
      <c r="S58" s="59">
        <f ca="1">AVERAGE(OFFSET($R$3,0,0,'Données projet'!$E$9+1,1))-AVERAGE(OFFSET($H$3,0,0,'Données projet'!$E$9+1,1))</f>
        <v>481.17250315093412</v>
      </c>
      <c r="T58" s="59">
        <f t="shared" si="34"/>
        <v>413.48123190206832</v>
      </c>
      <c r="U58" s="15">
        <f>IF(ISNA(VLOOKUP(A58,'Données projet'!$A$35:$I$55,3,0)),0,VLOOKUP(A58,'Données projet'!$A$35:$I$55,3,0))</f>
        <v>9</v>
      </c>
      <c r="V58" s="15">
        <f>IF(ISNA(VLOOKUP(A58,'Données projet'!$A$35:$I$55,4,0)),0,VLOOKUP(A58,'Données projet'!$A$35:$I$55,4,0))</f>
        <v>48</v>
      </c>
      <c r="W58" s="16">
        <f>IF(ISNA(VLOOKUP(A58,'Données projet'!$A$35:$I$55,5,0)),0%,VLOOKUP(A58,'Données projet'!$A$35:$I$55,5,0)*VLOOKUP('Données projet'!$B$9,Paramètres!$A$1:$I$89,7,0))</f>
        <v>0.45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89.365387724384448</v>
      </c>
      <c r="AA58" s="21">
        <f>EXP(-LN(2)/25)*AA57+(1-EXP(-LN(2)/25))/(LN(2)/25)*Calculateur!V58*Calculateur!X58*VLOOKUP('Données projet'!$B$9,Paramètres!$A$1:$I$89,3,0)*0.475*44/12</f>
        <v>32.710686641818384</v>
      </c>
      <c r="AB58" s="21">
        <f>EXP(-LN(2)/2)*AB57+(1-EXP(-LN(2)/2))/(LN(2)/2)*V58*Y58*VLOOKUP('Données projet'!$B$9,Paramètres!$A$1:$I$89,3,0)*0.475*44/12</f>
        <v>1.3559888069474582E-5</v>
      </c>
      <c r="AC58" s="22">
        <f t="shared" si="3"/>
        <v>122.07608792609091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277.67</v>
      </c>
      <c r="AG58" s="12">
        <f>VLOOKUP(A58,'Données projet'!$A$61:$I$81,9,0)</f>
        <v>12.271428571428576</v>
      </c>
      <c r="AH58" s="12">
        <f t="array" ref="AH58">INDEX(AG:AG,MIN(IF(ISNUMBER(AG58:AG254),ROW(AG58:AG254),"")))</f>
        <v>12.271428571428576</v>
      </c>
      <c r="AI58" s="13">
        <f>IF('Données projet'!$A$62&gt;35,AI57+AH58-AQ57,IF(A58&lt;'Données projet'!$A$62,$AF$205^A58,IF(A58='Données projet'!$A$62,'Données projet'!$B$62,AI57+AH58-AQ57)))</f>
        <v>277.67000000000019</v>
      </c>
      <c r="AJ58" s="13">
        <f>AI58*VLOOKUP('Données projet'!$B$10,Paramètres!$A$1:$I$89,3,0)*VLOOKUP('Données projet'!$B$10,Paramètres!$A$1:$I$89,5,0)</f>
        <v>251.23581600000017</v>
      </c>
      <c r="AK58" s="13">
        <f t="shared" si="35"/>
        <v>60.850496254681879</v>
      </c>
      <c r="AL58" s="20">
        <f t="shared" si="4"/>
        <v>543.55032717690449</v>
      </c>
      <c r="AM58" s="59">
        <f t="shared" si="5"/>
        <v>836.88366051023786</v>
      </c>
      <c r="AN58" s="59">
        <f ca="1">AVERAGE(OFFSET($AM$3,0,0,'Données projet'!$E$10+1,1))-AVERAGE(OFFSET($H$3,0,0,'Données projet'!$E$10+1,1))</f>
        <v>426.34811677569007</v>
      </c>
      <c r="AO58" s="59">
        <f t="shared" si="36"/>
        <v>209.65223938402107</v>
      </c>
      <c r="AP58" s="15">
        <f>IF(ISNA(VLOOKUP(A58,'Données projet'!$A$61:$I$81,3,0)),0,VLOOKUP(A58,'Données projet'!$A$61:$I$81,3,0))</f>
        <v>4</v>
      </c>
      <c r="AQ58" s="15">
        <f>IF(ISNA(VLOOKUP(A58,'Données projet'!$A$61:$I$81,4,0)),0,VLOOKUP(A58,'Données projet'!$A$61:$I$81,4,0))</f>
        <v>58.24</v>
      </c>
      <c r="AR58" s="16">
        <f>IF(ISNA(VLOOKUP(A58,'Données projet'!$A$61:$I$81,5,0)),0%,VLOOKUP(A58,'Données projet'!$A$61:$I$81,5,0)*VLOOKUP('Données projet'!$B$10,Paramètres!$A$1:$I$89,7,0))</f>
        <v>0.43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83.526024239001245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83.526024239001245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277.67</v>
      </c>
      <c r="BB58" s="12">
        <f>VLOOKUP(A58,'Données projet'!$A$87:$I$107,9,0)</f>
        <v>12.271428571428576</v>
      </c>
      <c r="BC58" s="12">
        <f t="array" ref="BC58">INDEX(BB:BB,MIN(IF(ISNUMBER(BB58:BB254),ROW(BB58:BB254),"")))</f>
        <v>12.271428571428576</v>
      </c>
      <c r="BD58" s="12">
        <f>IF('Données projet'!$A$88&gt;35,BD57+BC58-BL57,IF(A58&lt;'Données projet'!$A$88,$BA$205^A58,IF(A58='Données projet'!$A$88,'Données projet'!$B$88,BD57+BC58-BL57)))</f>
        <v>277.67000000000019</v>
      </c>
      <c r="BE58" s="13">
        <f>BD58*VLOOKUP('Données projet'!$B$11,Paramètres!$A$1:$I$89,3,0)*VLOOKUP('Données projet'!$B$11,Paramètres!$A$1:$I$89,5,0)</f>
        <v>281.55738000000019</v>
      </c>
      <c r="BF58" s="13">
        <f t="shared" si="37"/>
        <v>67.296021724351561</v>
      </c>
      <c r="BG58" s="20">
        <f t="shared" si="7"/>
        <v>607.58634133657927</v>
      </c>
      <c r="BH58" s="59">
        <f t="shared" si="8"/>
        <v>900.91967466991264</v>
      </c>
      <c r="BI58" s="59">
        <f ca="1">AVERAGE(OFFSET($BH$3,0,0,'Données projet'!$E$11+1,1))-AVERAGE(OFFSET($H$3,0,0,'Données projet'!$E$11+1,1))</f>
        <v>485.01379841128346</v>
      </c>
      <c r="BJ58" s="59">
        <f t="shared" si="38"/>
        <v>238.25679915866897</v>
      </c>
      <c r="BK58" s="15">
        <f>IF(ISNA(VLOOKUP(A58,'Données projet'!$A$87:$I$107,3,0)),0,VLOOKUP(A58,'Données projet'!$A$87:$I$107,3,0))</f>
        <v>4</v>
      </c>
      <c r="BL58" s="15">
        <f>IF(ISNA(VLOOKUP(A58,'Données projet'!$A$87:$I$107,4,0)),0,VLOOKUP(A58,'Données projet'!$A$87:$I$107,4,0))</f>
        <v>58.24</v>
      </c>
      <c r="BM58" s="16">
        <f>IF(ISNA(VLOOKUP(A58,'Données projet'!$A$87:$I$107,5,0)),0%,VLOOKUP(A58,'Données projet'!$A$87:$I$107,5,0)*VLOOKUP('Données projet'!$B$11,Paramètres!$A$1:$I$89,7,0))</f>
        <v>0.43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93.606751302328988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93.606751302328988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">
        <f t="shared" si="32"/>
        <v>8.4604681527401535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6">
        <f t="shared" si="1"/>
        <v>354.98218203268914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18.600000000000001</v>
      </c>
      <c r="N59" s="13">
        <f>IF('Données projet'!$A$36&gt;35,N58+M59-V58,IF(A59&lt;'Données projet'!$A$36,$K$205^A59,IF(A59='Données projet'!$A$36,'Données projet'!$B$36,N58+M59-V58)))</f>
        <v>578.60000000000036</v>
      </c>
      <c r="O59" s="13">
        <f>N59*VLOOKUP('Données projet'!$B$9,Paramètres!$A$1:$I$89,3,0)*VLOOKUP('Données projet'!$B$9,Paramètres!$A$1:$I$89,5,0)</f>
        <v>346.00280000000026</v>
      </c>
      <c r="P59" s="13">
        <f t="shared" si="33"/>
        <v>80.738896833300814</v>
      </c>
      <c r="Q59" s="20">
        <f t="shared" si="53"/>
        <v>743.24178865133274</v>
      </c>
      <c r="R59" s="59">
        <f t="shared" si="0"/>
        <v>1036.5751219846661</v>
      </c>
      <c r="S59" s="59">
        <f ca="1">AVERAGE(OFFSET($R$3,0,0,'Données projet'!$E$9+1,1))-AVERAGE(OFFSET($H$3,0,0,'Données projet'!$E$9+1,1))</f>
        <v>481.17250315093412</v>
      </c>
      <c r="T59" s="59">
        <f t="shared" si="34"/>
        <v>413.48123190206832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87.612986978613606</v>
      </c>
      <c r="AA59" s="21">
        <f>EXP(-LN(2)/25)*AA58+(1-EXP(-LN(2)/25))/(LN(2)/25)*Calculateur!V59*Calculateur!X59*VLOOKUP('Données projet'!$B$9,Paramètres!$A$1:$I$89,3,0)*0.475*44/12</f>
        <v>31.816211195417612</v>
      </c>
      <c r="AB59" s="21">
        <f>EXP(-LN(2)/2)*AB58+(1-EXP(-LN(2)/2))/(LN(2)/2)*V59*Y59*VLOOKUP('Données projet'!$B$9,Paramètres!$A$1:$I$89,3,0)*0.475*44/12</f>
        <v>9.5882888060560393E-6</v>
      </c>
      <c r="AC59" s="22">
        <f t="shared" si="3"/>
        <v>119.42920776232002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11.644999999999996</v>
      </c>
      <c r="AI59" s="13">
        <f>IF('Données projet'!$A$62&gt;35,AI58+AH59-AQ58,IF(A59&lt;'Données projet'!$A$62,$AF$205^A59,IF(A59='Données projet'!$A$62,'Données projet'!$B$62,AI58+AH59-AQ58)))</f>
        <v>231.07500000000016</v>
      </c>
      <c r="AJ59" s="13">
        <f>AI59*VLOOKUP('Données projet'!$B$10,Paramètres!$A$1:$I$89,3,0)*VLOOKUP('Données projet'!$B$10,Paramètres!$A$1:$I$89,5,0)</f>
        <v>209.07666000000012</v>
      </c>
      <c r="AK59" s="13">
        <f t="shared" si="35"/>
        <v>51.733760959596957</v>
      </c>
      <c r="AL59" s="20">
        <f t="shared" si="4"/>
        <v>454.24481650463161</v>
      </c>
      <c r="AM59" s="59">
        <f t="shared" si="5"/>
        <v>747.57814983796493</v>
      </c>
      <c r="AN59" s="59">
        <f ca="1">AVERAGE(OFFSET($AM$3,0,0,'Données projet'!$E$10+1,1))-AVERAGE(OFFSET($H$3,0,0,'Données projet'!$E$10+1,1))</f>
        <v>426.34811677569007</v>
      </c>
      <c r="AO59" s="59">
        <f t="shared" si="36"/>
        <v>209.65223938402107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81.888129849518734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81.888129849518734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11.644999999999996</v>
      </c>
      <c r="BD59" s="12">
        <f>IF('Données projet'!$A$88&gt;35,BD58+BC59-BL58,IF(A59&lt;'Données projet'!$A$88,$BA$205^A59,IF(A59='Données projet'!$A$88,'Données projet'!$B$88,BD58+BC59-BL58)))</f>
        <v>231.07500000000016</v>
      </c>
      <c r="BE59" s="13">
        <f>BD59*VLOOKUP('Données projet'!$B$11,Paramètres!$A$1:$I$89,3,0)*VLOOKUP('Données projet'!$B$11,Paramètres!$A$1:$I$89,5,0)</f>
        <v>234.31005000000016</v>
      </c>
      <c r="BF59" s="13">
        <f t="shared" si="37"/>
        <v>57.21360573376716</v>
      </c>
      <c r="BG59" s="20">
        <f t="shared" si="7"/>
        <v>507.73703373631139</v>
      </c>
      <c r="BH59" s="59">
        <f t="shared" si="8"/>
        <v>801.0703670696447</v>
      </c>
      <c r="BI59" s="59">
        <f ca="1">AVERAGE(OFFSET($BH$3,0,0,'Données projet'!$E$11+1,1))-AVERAGE(OFFSET($H$3,0,0,'Données projet'!$E$11+1,1))</f>
        <v>485.01379841128346</v>
      </c>
      <c r="BJ59" s="59">
        <f t="shared" si="38"/>
        <v>238.25679915866897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91.771180003770993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91.771180003770993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">
        <f t="shared" si="32"/>
        <v>8.5938244286305778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6">
        <f t="shared" si="1"/>
        <v>356.05218587986496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18.600000000000001</v>
      </c>
      <c r="N60" s="13">
        <f>IF('Données projet'!$A$36&gt;35,N59+M60-V59,IF(A60&lt;'Données projet'!$A$36,$K$205^A60,IF(A60='Données projet'!$A$36,'Données projet'!$B$36,N59+M60-V59)))</f>
        <v>597.20000000000039</v>
      </c>
      <c r="O60" s="13">
        <f>N60*VLOOKUP('Données projet'!$B$9,Paramètres!$A$1:$I$89,3,0)*VLOOKUP('Données projet'!$B$9,Paramètres!$A$1:$I$89,5,0)</f>
        <v>357.1256000000003</v>
      </c>
      <c r="P60" s="13">
        <f t="shared" si="33"/>
        <v>83.028020806745801</v>
      </c>
      <c r="Q60" s="20">
        <f t="shared" si="53"/>
        <v>766.60088957174946</v>
      </c>
      <c r="R60" s="59">
        <f t="shared" si="0"/>
        <v>1059.9342229050828</v>
      </c>
      <c r="S60" s="59">
        <f ca="1">AVERAGE(OFFSET($R$3,0,0,'Données projet'!$E$9+1,1))-AVERAGE(OFFSET($H$3,0,0,'Données projet'!$E$9+1,1))</f>
        <v>481.17250315093412</v>
      </c>
      <c r="T60" s="59">
        <f t="shared" si="34"/>
        <v>413.48123190206832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85.894949742608418</v>
      </c>
      <c r="AA60" s="21">
        <f>EXP(-LN(2)/25)*AA59+(1-EXP(-LN(2)/25))/(LN(2)/25)*Calculateur!V60*Calculateur!X60*VLOOKUP('Données projet'!$B$9,Paramètres!$A$1:$I$89,3,0)*0.475*44/12</f>
        <v>30.946195227137089</v>
      </c>
      <c r="AB60" s="21">
        <f>EXP(-LN(2)/2)*AB59+(1-EXP(-LN(2)/2))/(LN(2)/2)*V60*Y60*VLOOKUP('Données projet'!$B$9,Paramètres!$A$1:$I$89,3,0)*0.475*44/12</f>
        <v>6.7799440347372909E-6</v>
      </c>
      <c r="AC60" s="22">
        <f t="shared" si="3"/>
        <v>116.84115174968953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11.644999999999996</v>
      </c>
      <c r="AI60" s="13">
        <f>IF('Données projet'!$A$62&gt;35,AI59+AH60-AQ59,IF(A60&lt;'Données projet'!$A$62,$AF$205^A60,IF(A60='Données projet'!$A$62,'Données projet'!$B$62,AI59+AH60-AQ59)))</f>
        <v>242.72000000000014</v>
      </c>
      <c r="AJ60" s="13">
        <f>AI60*VLOOKUP('Données projet'!$B$10,Paramètres!$A$1:$I$89,3,0)*VLOOKUP('Données projet'!$B$10,Paramètres!$A$1:$I$89,5,0)</f>
        <v>219.61305600000011</v>
      </c>
      <c r="AK60" s="13">
        <f t="shared" si="35"/>
        <v>54.030776739498059</v>
      </c>
      <c r="AL60" s="20">
        <f t="shared" si="4"/>
        <v>476.59634202129263</v>
      </c>
      <c r="AM60" s="59">
        <f t="shared" si="5"/>
        <v>769.92967535462594</v>
      </c>
      <c r="AN60" s="59">
        <f ca="1">AVERAGE(OFFSET($AM$3,0,0,'Données projet'!$E$10+1,1))-AVERAGE(OFFSET($H$3,0,0,'Données projet'!$E$10+1,1))</f>
        <v>426.34811677569007</v>
      </c>
      <c r="AO60" s="59">
        <f t="shared" si="36"/>
        <v>209.65223938402107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80.282353569997042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80.282353569997042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11.644999999999996</v>
      </c>
      <c r="BD60" s="12">
        <f>IF('Données projet'!$A$88&gt;35,BD59+BC60-BL59,IF(A60&lt;'Données projet'!$A$88,$BA$205^A60,IF(A60='Données projet'!$A$88,'Données projet'!$B$88,BD59+BC60-BL59)))</f>
        <v>242.72000000000014</v>
      </c>
      <c r="BE60" s="13">
        <f>BD60*VLOOKUP('Données projet'!$B$11,Paramètres!$A$1:$I$89,3,0)*VLOOKUP('Données projet'!$B$11,Paramètres!$A$1:$I$89,5,0)</f>
        <v>246.11808000000013</v>
      </c>
      <c r="BF60" s="13">
        <f t="shared" si="37"/>
        <v>59.753930518932897</v>
      </c>
      <c r="BG60" s="20">
        <f t="shared" si="7"/>
        <v>532.72708498714167</v>
      </c>
      <c r="BH60" s="59">
        <f t="shared" si="8"/>
        <v>826.06041832047504</v>
      </c>
      <c r="BI60" s="59">
        <f ca="1">AVERAGE(OFFSET($BH$3,0,0,'Données projet'!$E$11+1,1))-AVERAGE(OFFSET($H$3,0,0,'Données projet'!$E$11+1,1))</f>
        <v>485.01379841128346</v>
      </c>
      <c r="BJ60" s="59">
        <f t="shared" si="38"/>
        <v>238.25679915866897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89.971603138789789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89.971603138789789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">
        <f t="shared" si="32"/>
        <v>8.7269086400851155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6">
        <f t="shared" si="1"/>
        <v>357.12171588148163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18.600000000000001</v>
      </c>
      <c r="N61" s="13">
        <f>IF('Données projet'!$A$36&gt;35,N60+M61-V60,IF(A61&lt;'Données projet'!$A$36,$K$205^A61,IF(A61='Données projet'!$A$36,'Données projet'!$B$36,N60+M61-V60)))</f>
        <v>615.80000000000041</v>
      </c>
      <c r="O61" s="13">
        <f>N61*VLOOKUP('Données projet'!$B$9,Paramètres!$A$1:$I$89,3,0)*VLOOKUP('Données projet'!$B$9,Paramètres!$A$1:$I$89,5,0)</f>
        <v>368.24840000000029</v>
      </c>
      <c r="P61" s="13">
        <f t="shared" si="33"/>
        <v>85.308859587029715</v>
      </c>
      <c r="Q61" s="20">
        <f t="shared" si="53"/>
        <v>789.94556044741057</v>
      </c>
      <c r="R61" s="59">
        <f t="shared" si="0"/>
        <v>1083.2788937807438</v>
      </c>
      <c r="S61" s="59">
        <f ca="1">AVERAGE(OFFSET($R$3,0,0,'Données projet'!$E$9+1,1))-AVERAGE(OFFSET($H$3,0,0,'Données projet'!$E$9+1,1))</f>
        <v>481.17250315093412</v>
      </c>
      <c r="T61" s="59">
        <f t="shared" si="34"/>
        <v>413.48123190206832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84.210602168902057</v>
      </c>
      <c r="AA61" s="21">
        <f>EXP(-LN(2)/25)*AA60+(1-EXP(-LN(2)/25))/(LN(2)/25)*Calculateur!V61*Calculateur!X61*VLOOKUP('Données projet'!$B$9,Paramètres!$A$1:$I$89,3,0)*0.475*44/12</f>
        <v>30.099969891261345</v>
      </c>
      <c r="AB61" s="21">
        <f>EXP(-LN(2)/2)*AB60+(1-EXP(-LN(2)/2))/(LN(2)/2)*V61*Y61*VLOOKUP('Données projet'!$B$9,Paramètres!$A$1:$I$89,3,0)*0.475*44/12</f>
        <v>4.7941444030280196E-6</v>
      </c>
      <c r="AC61" s="22">
        <f t="shared" si="3"/>
        <v>114.3105768543078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11.644999999999996</v>
      </c>
      <c r="AI61" s="13">
        <f>IF('Données projet'!$A$62&gt;35,AI60+AH61-AQ60,IF(A61&lt;'Données projet'!$A$62,$AF$205^A61,IF(A61='Données projet'!$A$62,'Données projet'!$B$62,AI60+AH61-AQ60)))</f>
        <v>254.36500000000012</v>
      </c>
      <c r="AJ61" s="13">
        <f>AI61*VLOOKUP('Données projet'!$B$10,Paramètres!$A$1:$I$89,3,0)*VLOOKUP('Données projet'!$B$10,Paramètres!$A$1:$I$89,5,0)</f>
        <v>230.14945200000011</v>
      </c>
      <c r="AK61" s="13">
        <f t="shared" si="35"/>
        <v>56.314995325940238</v>
      </c>
      <c r="AL61" s="20">
        <f t="shared" si="4"/>
        <v>498.92557909267936</v>
      </c>
      <c r="AM61" s="59">
        <f t="shared" si="5"/>
        <v>792.25891242601267</v>
      </c>
      <c r="AN61" s="59">
        <f ca="1">AVERAGE(OFFSET($AM$3,0,0,'Données projet'!$E$10+1,1))-AVERAGE(OFFSET($H$3,0,0,'Données projet'!$E$10+1,1))</f>
        <v>426.34811677569007</v>
      </c>
      <c r="AO61" s="59">
        <f t="shared" si="36"/>
        <v>209.65223938402107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78.708065583889947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78.708065583889947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11.644999999999996</v>
      </c>
      <c r="BD61" s="12">
        <f>IF('Données projet'!$A$88&gt;35,BD60+BC61-BL60,IF(A61&lt;'Données projet'!$A$88,$BA$205^A61,IF(A61='Données projet'!$A$88,'Données projet'!$B$88,BD60+BC61-BL60)))</f>
        <v>254.36500000000012</v>
      </c>
      <c r="BE61" s="13">
        <f>BD61*VLOOKUP('Données projet'!$B$11,Paramètres!$A$1:$I$89,3,0)*VLOOKUP('Données projet'!$B$11,Paramètres!$A$1:$I$89,5,0)</f>
        <v>257.92611000000016</v>
      </c>
      <c r="BF61" s="13">
        <f t="shared" si="37"/>
        <v>62.280102581244591</v>
      </c>
      <c r="BG61" s="20">
        <f t="shared" si="7"/>
        <v>557.69248691233463</v>
      </c>
      <c r="BH61" s="59">
        <f t="shared" si="8"/>
        <v>851.025820245668</v>
      </c>
      <c r="BI61" s="59">
        <f ca="1">AVERAGE(OFFSET($BH$3,0,0,'Données projet'!$E$11+1,1))-AVERAGE(OFFSET($H$3,0,0,'Données projet'!$E$11+1,1))</f>
        <v>485.01379841128346</v>
      </c>
      <c r="BJ61" s="59">
        <f t="shared" si="38"/>
        <v>238.25679915866897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88.207314878497357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88.207314878497357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">
        <f t="shared" si="32"/>
        <v>8.8597260191462528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6">
        <f t="shared" si="1"/>
        <v>358.19078115001309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18.600000000000001</v>
      </c>
      <c r="N62" s="13">
        <f>IF('Données projet'!$A$36&gt;35,N61+M62-V61,IF(A62&lt;'Données projet'!$A$36,$K$205^A62,IF(A62='Données projet'!$A$36,'Données projet'!$B$36,N61+M62-V61)))</f>
        <v>634.40000000000043</v>
      </c>
      <c r="O62" s="13">
        <f>N62*VLOOKUP('Données projet'!$B$9,Paramètres!$A$1:$I$89,3,0)*VLOOKUP('Données projet'!$B$9,Paramètres!$A$1:$I$89,5,0)</f>
        <v>379.37120000000033</v>
      </c>
      <c r="P62" s="13">
        <f t="shared" si="33"/>
        <v>87.58169214989708</v>
      </c>
      <c r="Q62" s="20">
        <f t="shared" si="53"/>
        <v>813.27628716107131</v>
      </c>
      <c r="R62" s="59">
        <f t="shared" si="0"/>
        <v>1106.6096204944047</v>
      </c>
      <c r="S62" s="59">
        <f ca="1">AVERAGE(OFFSET($R$3,0,0,'Données projet'!$E$9+1,1))-AVERAGE(OFFSET($H$3,0,0,'Données projet'!$E$9+1,1))</f>
        <v>481.17250315093412</v>
      </c>
      <c r="T62" s="59">
        <f t="shared" si="34"/>
        <v>413.48123190206832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82.559283623765495</v>
      </c>
      <c r="AA62" s="21">
        <f>EXP(-LN(2)/25)*AA61+(1-EXP(-LN(2)/25))/(LN(2)/25)*Calculateur!V62*Calculateur!X62*VLOOKUP('Données projet'!$B$9,Paramètres!$A$1:$I$89,3,0)*0.475*44/12</f>
        <v>29.276884631696181</v>
      </c>
      <c r="AB62" s="21">
        <f>EXP(-LN(2)/2)*AB61+(1-EXP(-LN(2)/2))/(LN(2)/2)*V62*Y62*VLOOKUP('Données projet'!$B$9,Paramètres!$A$1:$I$89,3,0)*0.475*44/12</f>
        <v>3.3899720173686454E-6</v>
      </c>
      <c r="AC62" s="22">
        <f t="shared" si="3"/>
        <v>111.83617164543369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11.644999999999996</v>
      </c>
      <c r="AI62" s="13">
        <f>IF('Données projet'!$A$62&gt;35,AI61+AH62-AQ61,IF(A62&lt;'Données projet'!$A$62,$AF$205^A62,IF(A62='Données projet'!$A$62,'Données projet'!$B$62,AI61+AH62-AQ61)))</f>
        <v>266.0100000000001</v>
      </c>
      <c r="AJ62" s="13">
        <f>AI62*VLOOKUP('Données projet'!$B$10,Paramètres!$A$1:$I$89,3,0)*VLOOKUP('Données projet'!$B$10,Paramètres!$A$1:$I$89,5,0)</f>
        <v>240.68584800000008</v>
      </c>
      <c r="AK62" s="13">
        <f t="shared" si="35"/>
        <v>58.587069504016014</v>
      </c>
      <c r="AL62" s="20">
        <f t="shared" si="4"/>
        <v>521.233664652828</v>
      </c>
      <c r="AM62" s="59">
        <f t="shared" si="5"/>
        <v>814.56699798616137</v>
      </c>
      <c r="AN62" s="59">
        <f ca="1">AVERAGE(OFFSET($AM$3,0,0,'Données projet'!$E$10+1,1))-AVERAGE(OFFSET($H$3,0,0,'Données projet'!$E$10+1,1))</f>
        <v>426.34811677569007</v>
      </c>
      <c r="AO62" s="59">
        <f t="shared" si="36"/>
        <v>209.65223938402107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77.164648424969556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77.164648424969556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11.644999999999996</v>
      </c>
      <c r="BD62" s="12">
        <f>IF('Données projet'!$A$88&gt;35,BD61+BC62-BL61,IF(A62&lt;'Données projet'!$A$88,$BA$205^A62,IF(A62='Données projet'!$A$88,'Données projet'!$B$88,BD61+BC62-BL61)))</f>
        <v>266.0100000000001</v>
      </c>
      <c r="BE62" s="13">
        <f>BD62*VLOOKUP('Données projet'!$B$11,Paramètres!$A$1:$I$89,3,0)*VLOOKUP('Données projet'!$B$11,Paramètres!$A$1:$I$89,5,0)</f>
        <v>269.73414000000014</v>
      </c>
      <c r="BF62" s="13">
        <f t="shared" si="37"/>
        <v>64.792843851376162</v>
      </c>
      <c r="BG62" s="20">
        <f t="shared" si="7"/>
        <v>582.63449687448042</v>
      </c>
      <c r="BH62" s="59">
        <f t="shared" si="8"/>
        <v>875.96783020781368</v>
      </c>
      <c r="BI62" s="59">
        <f ca="1">AVERAGE(OFFSET($BH$3,0,0,'Données projet'!$E$11+1,1))-AVERAGE(OFFSET($H$3,0,0,'Données projet'!$E$11+1,1))</f>
        <v>485.01379841128346</v>
      </c>
      <c r="BJ62" s="59">
        <f t="shared" si="38"/>
        <v>238.25679915866897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86.477623234879673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86.477623234879673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">
        <f t="shared" si="32"/>
        <v>8.9922816103350858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6">
        <f t="shared" si="1"/>
        <v>359.25939047133363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653</v>
      </c>
      <c r="L63" s="12">
        <f>VLOOKUP(A63,'Données projet'!$A$35:$I$55,9,0)</f>
        <v>18.600000000000001</v>
      </c>
      <c r="M63" s="12">
        <f t="array" ref="M63">INDEX(L:L,MIN(IF(ISNUMBER(L63:L259),ROW(L63:L259),"")))</f>
        <v>18.600000000000001</v>
      </c>
      <c r="N63" s="13">
        <f>IF('Données projet'!$A$36&gt;35,N62+M63-V62,IF(A63&lt;'Données projet'!$A$36,$K$205^A63,IF(A63='Données projet'!$A$36,'Données projet'!$B$36,N62+M63-V62)))</f>
        <v>653.00000000000045</v>
      </c>
      <c r="O63" s="13">
        <f>N63*VLOOKUP('Données projet'!$B$9,Paramètres!$A$1:$I$89,3,0)*VLOOKUP('Données projet'!$B$9,Paramètres!$A$1:$I$89,5,0)</f>
        <v>390.49400000000031</v>
      </c>
      <c r="P63" s="13">
        <f t="shared" si="33"/>
        <v>89.846780182423473</v>
      </c>
      <c r="Q63" s="20">
        <f t="shared" si="53"/>
        <v>836.59352548438801</v>
      </c>
      <c r="R63" s="59">
        <f t="shared" si="0"/>
        <v>1129.9268588177213</v>
      </c>
      <c r="S63" s="59">
        <f ca="1">AVERAGE(OFFSET($R$3,0,0,'Données projet'!$E$9+1,1))-AVERAGE(OFFSET($H$3,0,0,'Données projet'!$E$9+1,1))</f>
        <v>481.17250315093412</v>
      </c>
      <c r="T63" s="59">
        <f t="shared" si="34"/>
        <v>413.48123190206832</v>
      </c>
      <c r="U63" s="15">
        <f>IF(ISNA(VLOOKUP(A63,'Données projet'!$A$35:$I$55,3,0)),0,VLOOKUP(A63,'Données projet'!$A$35:$I$55,3,0))</f>
        <v>10</v>
      </c>
      <c r="V63" s="15">
        <f>IF(ISNA(VLOOKUP(A63,'Données projet'!$A$35:$I$55,4,0)),0,VLOOKUP(A63,'Données projet'!$A$35:$I$55,4,0))</f>
        <v>42</v>
      </c>
      <c r="W63" s="16">
        <f>IF(ISNA(VLOOKUP(A63,'Données projet'!$A$35:$I$55,5,0)),0%,VLOOKUP(A63,'Données projet'!$A$35:$I$55,5,0)*VLOOKUP('Données projet'!$B$9,Paramètres!$A$1:$I$89,7,0))</f>
        <v>0.45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95.933443216362974</v>
      </c>
      <c r="AA63" s="21">
        <f>EXP(-LN(2)/25)*AA62+(1-EXP(-LN(2)/25))/(LN(2)/25)*Calculateur!V63*Calculateur!X63*VLOOKUP('Données projet'!$B$9,Paramètres!$A$1:$I$89,3,0)*0.475*44/12</f>
        <v>28.476306681838</v>
      </c>
      <c r="AB63" s="21">
        <f>EXP(-LN(2)/2)*AB62+(1-EXP(-LN(2)/2))/(LN(2)/2)*V63*Y63*VLOOKUP('Données projet'!$B$9,Paramètres!$A$1:$I$89,3,0)*0.475*44/12</f>
        <v>2.3970722015140098E-6</v>
      </c>
      <c r="AC63" s="22">
        <f t="shared" si="3"/>
        <v>124.40975229527318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11.644999999999996</v>
      </c>
      <c r="AI63" s="13">
        <f>IF('Données projet'!$A$62&gt;35,AI62+AH63-AQ62,IF(A63&lt;'Données projet'!$A$62,$AF$205^A63,IF(A63='Données projet'!$A$62,'Données projet'!$B$62,AI62+AH63-AQ62)))</f>
        <v>277.65500000000009</v>
      </c>
      <c r="AJ63" s="13">
        <f>AI63*VLOOKUP('Données projet'!$B$10,Paramètres!$A$1:$I$89,3,0)*VLOOKUP('Données projet'!$B$10,Paramètres!$A$1:$I$89,5,0)</f>
        <v>251.22224400000007</v>
      </c>
      <c r="AK63" s="13">
        <f t="shared" si="35"/>
        <v>60.847591673657284</v>
      </c>
      <c r="AL63" s="20">
        <f t="shared" si="4"/>
        <v>543.52163046495309</v>
      </c>
      <c r="AM63" s="59">
        <f t="shared" si="5"/>
        <v>836.85496379828646</v>
      </c>
      <c r="AN63" s="59">
        <f ca="1">AVERAGE(OFFSET($AM$3,0,0,'Données projet'!$E$10+1,1))-AVERAGE(OFFSET($H$3,0,0,'Données projet'!$E$10+1,1))</f>
        <v>426.34811677569007</v>
      </c>
      <c r="AO63" s="59">
        <f t="shared" si="36"/>
        <v>209.65223938402107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75.651496735144079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75.651496735144079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11.644999999999996</v>
      </c>
      <c r="BD63" s="12">
        <f>IF('Données projet'!$A$88&gt;35,BD62+BC63-BL62,IF(A63&lt;'Données projet'!$A$88,$BA$205^A63,IF(A63='Données projet'!$A$88,'Données projet'!$B$88,BD62+BC63-BL62)))</f>
        <v>277.65500000000009</v>
      </c>
      <c r="BE63" s="13">
        <f>BD63*VLOOKUP('Données projet'!$B$11,Paramètres!$A$1:$I$89,3,0)*VLOOKUP('Données projet'!$B$11,Paramètres!$A$1:$I$89,5,0)</f>
        <v>281.54217000000011</v>
      </c>
      <c r="BF63" s="13">
        <f t="shared" si="37"/>
        <v>67.292809478605577</v>
      </c>
      <c r="BG63" s="20">
        <f t="shared" si="7"/>
        <v>607.55425592523818</v>
      </c>
      <c r="BH63" s="59">
        <f t="shared" si="8"/>
        <v>900.88758925857155</v>
      </c>
      <c r="BI63" s="59">
        <f ca="1">AVERAGE(OFFSET($BH$3,0,0,'Données projet'!$E$11+1,1))-AVERAGE(OFFSET($H$3,0,0,'Données projet'!$E$11+1,1))</f>
        <v>485.01379841128346</v>
      </c>
      <c r="BJ63" s="59">
        <f t="shared" si="38"/>
        <v>238.25679915866897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84.781849789385603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84.781849789385603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">
        <f t="shared" si="32"/>
        <v>9.1245802803834923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6">
        <f t="shared" si="1"/>
        <v>360.32755232166795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16.8</v>
      </c>
      <c r="N64" s="13">
        <f>IF('Données projet'!$A$36&gt;35,N63+M64-V63,IF(A64&lt;'Données projet'!$A$36,$K$205^A64,IF(A64='Données projet'!$A$36,'Données projet'!$B$36,N63+M64-V63)))</f>
        <v>627.80000000000041</v>
      </c>
      <c r="O64" s="13">
        <f>N64*VLOOKUP('Données projet'!$B$9,Paramètres!$A$1:$I$89,3,0)*VLOOKUP('Données projet'!$B$9,Paramètres!$A$1:$I$89,5,0)</f>
        <v>375.42440000000028</v>
      </c>
      <c r="P64" s="13">
        <f t="shared" si="33"/>
        <v>86.776102824676897</v>
      </c>
      <c r="Q64" s="20">
        <f t="shared" si="53"/>
        <v>804.99920908631259</v>
      </c>
      <c r="R64" s="59">
        <f t="shared" si="0"/>
        <v>1098.332542419646</v>
      </c>
      <c r="S64" s="59">
        <f ca="1">AVERAGE(OFFSET($R$3,0,0,'Données projet'!$E$9+1,1))-AVERAGE(OFFSET($H$3,0,0,'Données projet'!$E$9+1,1))</f>
        <v>481.17250315093412</v>
      </c>
      <c r="T64" s="59">
        <f t="shared" si="34"/>
        <v>413.48123190206832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94.052246908512714</v>
      </c>
      <c r="AA64" s="21">
        <f>EXP(-LN(2)/25)*AA63+(1-EXP(-LN(2)/25))/(LN(2)/25)*Calculateur!V64*Calculateur!X64*VLOOKUP('Données projet'!$B$9,Paramètres!$A$1:$I$89,3,0)*0.475*44/12</f>
        <v>27.697620578119256</v>
      </c>
      <c r="AB64" s="21">
        <f>EXP(-LN(2)/2)*AB63+(1-EXP(-LN(2)/2))/(LN(2)/2)*V64*Y64*VLOOKUP('Données projet'!$B$9,Paramètres!$A$1:$I$89,3,0)*0.475*44/12</f>
        <v>1.6949860086843227E-6</v>
      </c>
      <c r="AC64" s="22">
        <f t="shared" si="3"/>
        <v>121.74986918161798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11.644999999999996</v>
      </c>
      <c r="AI64" s="13">
        <f>IF('Données projet'!$A$62&gt;35,AI63+AH64-AQ63,IF(A64&lt;'Données projet'!$A$62,$AF$205^A64,IF(A64='Données projet'!$A$62,'Données projet'!$B$62,AI63+AH64-AQ63)))</f>
        <v>289.30000000000007</v>
      </c>
      <c r="AJ64" s="13">
        <f>AI64*VLOOKUP('Données projet'!$B$10,Paramètres!$A$1:$I$89,3,0)*VLOOKUP('Données projet'!$B$10,Paramètres!$A$1:$I$89,5,0)</f>
        <v>261.75864000000007</v>
      </c>
      <c r="AK64" s="13">
        <f t="shared" si="35"/>
        <v>63.097101732536537</v>
      </c>
      <c r="AL64" s="20">
        <f t="shared" si="4"/>
        <v>565.79041685083462</v>
      </c>
      <c r="AM64" s="59">
        <f t="shared" si="5"/>
        <v>859.12375018416787</v>
      </c>
      <c r="AN64" s="59">
        <f ca="1">AVERAGE(OFFSET($AM$3,0,0,'Données projet'!$E$10+1,1))-AVERAGE(OFFSET($H$3,0,0,'Données projet'!$E$10+1,1))</f>
        <v>426.34811677569007</v>
      </c>
      <c r="AO64" s="59">
        <f t="shared" si="36"/>
        <v>209.65223938402107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74.168017027024689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74.168017027024689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11.644999999999996</v>
      </c>
      <c r="BD64" s="12">
        <f>IF('Données projet'!$A$88&gt;35,BD63+BC64-BL63,IF(A64&lt;'Données projet'!$A$88,$BA$205^A64,IF(A64='Données projet'!$A$88,'Données projet'!$B$88,BD63+BC64-BL63)))</f>
        <v>289.30000000000007</v>
      </c>
      <c r="BE64" s="13">
        <f>BD64*VLOOKUP('Données projet'!$B$11,Paramètres!$A$1:$I$89,3,0)*VLOOKUP('Données projet'!$B$11,Paramètres!$A$1:$I$89,5,0)</f>
        <v>293.35020000000009</v>
      </c>
      <c r="BF64" s="13">
        <f t="shared" si="37"/>
        <v>69.780596548704324</v>
      </c>
      <c r="BG64" s="20">
        <f t="shared" si="7"/>
        <v>632.45280398899365</v>
      </c>
      <c r="BH64" s="59">
        <f t="shared" si="8"/>
        <v>925.78613732232702</v>
      </c>
      <c r="BI64" s="59">
        <f ca="1">AVERAGE(OFFSET($BH$3,0,0,'Données projet'!$E$11+1,1))-AVERAGE(OFFSET($H$3,0,0,'Données projet'!$E$11+1,1))</f>
        <v>485.01379841128346</v>
      </c>
      <c r="BJ64" s="59">
        <f t="shared" si="38"/>
        <v>238.25679915866897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83.119329426838007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83.119329426838007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">
        <f t="shared" si="32"/>
        <v>9.2566267273101186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6">
        <f t="shared" si="1"/>
        <v>361.39527488339854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16.8</v>
      </c>
      <c r="N65" s="13">
        <f>IF('Données projet'!$A$36&gt;35,N64+M65-V64,IF(A65&lt;'Données projet'!$A$36,$K$205^A65,IF(A65='Données projet'!$A$36,'Données projet'!$B$36,N64+M65-V64)))</f>
        <v>644.60000000000036</v>
      </c>
      <c r="O65" s="13">
        <f>N65*VLOOKUP('Données projet'!$B$9,Paramètres!$A$1:$I$89,3,0)*VLOOKUP('Données projet'!$B$9,Paramètres!$A$1:$I$89,5,0)</f>
        <v>385.47080000000028</v>
      </c>
      <c r="P65" s="13">
        <f t="shared" si="33"/>
        <v>88.824780133563593</v>
      </c>
      <c r="Q65" s="20">
        <f t="shared" si="53"/>
        <v>826.064802065957</v>
      </c>
      <c r="R65" s="59">
        <f t="shared" si="0"/>
        <v>1119.3981353992904</v>
      </c>
      <c r="S65" s="59">
        <f ca="1">AVERAGE(OFFSET($R$3,0,0,'Données projet'!$E$9+1,1))-AVERAGE(OFFSET($H$3,0,0,'Données projet'!$E$9+1,1))</f>
        <v>481.17250315093412</v>
      </c>
      <c r="T65" s="59">
        <f t="shared" si="34"/>
        <v>413.48123190206832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92.207939712842958</v>
      </c>
      <c r="AA65" s="21">
        <f>EXP(-LN(2)/25)*AA64+(1-EXP(-LN(2)/25))/(LN(2)/25)*Calculateur!V65*Calculateur!X65*VLOOKUP('Données projet'!$B$9,Paramètres!$A$1:$I$89,3,0)*0.475*44/12</f>
        <v>26.940227686856023</v>
      </c>
      <c r="AB65" s="21">
        <f>EXP(-LN(2)/2)*AB64+(1-EXP(-LN(2)/2))/(LN(2)/2)*V65*Y65*VLOOKUP('Données projet'!$B$9,Paramètres!$A$1:$I$89,3,0)*0.475*44/12</f>
        <v>1.1985361007570049E-6</v>
      </c>
      <c r="AC65" s="22">
        <f t="shared" si="3"/>
        <v>119.14816859823507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11.644999999999996</v>
      </c>
      <c r="AI65" s="13">
        <f>IF('Données projet'!$A$62&gt;35,AI64+AH65-AQ64,IF(A65&lt;'Données projet'!$A$62,$AF$205^A65,IF(A65='Données projet'!$A$62,'Données projet'!$B$62,AI64+AH65-AQ64)))</f>
        <v>300.94500000000005</v>
      </c>
      <c r="AJ65" s="13">
        <f>AI65*VLOOKUP('Données projet'!$B$10,Paramètres!$A$1:$I$89,3,0)*VLOOKUP('Données projet'!$B$10,Paramètres!$A$1:$I$89,5,0)</f>
        <v>272.29503600000004</v>
      </c>
      <c r="AK65" s="13">
        <f t="shared" si="35"/>
        <v>65.336093654015855</v>
      </c>
      <c r="AL65" s="20">
        <f t="shared" si="4"/>
        <v>588.04088414741102</v>
      </c>
      <c r="AM65" s="59">
        <f t="shared" si="5"/>
        <v>881.37421748074439</v>
      </c>
      <c r="AN65" s="59">
        <f ca="1">AVERAGE(OFFSET($AM$3,0,0,'Données projet'!$E$10+1,1))-AVERAGE(OFFSET($H$3,0,0,'Données projet'!$E$10+1,1))</f>
        <v>426.34811677569007</v>
      </c>
      <c r="AO65" s="59">
        <f t="shared" si="36"/>
        <v>209.65223938402107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72.713627451148241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72.713627451148241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11.644999999999996</v>
      </c>
      <c r="BD65" s="12">
        <f>IF('Données projet'!$A$88&gt;35,BD64+BC65-BL64,IF(A65&lt;'Données projet'!$A$88,$BA$205^A65,IF(A65='Données projet'!$A$88,'Données projet'!$B$88,BD64+BC65-BL64)))</f>
        <v>300.94500000000005</v>
      </c>
      <c r="BE65" s="13">
        <f>BD65*VLOOKUP('Données projet'!$B$11,Paramètres!$A$1:$I$89,3,0)*VLOOKUP('Données projet'!$B$11,Paramètres!$A$1:$I$89,5,0)</f>
        <v>305.15823000000006</v>
      </c>
      <c r="BF65" s="13">
        <f t="shared" si="37"/>
        <v>72.256751358648415</v>
      </c>
      <c r="BG65" s="20">
        <f t="shared" si="7"/>
        <v>657.33109253297937</v>
      </c>
      <c r="BH65" s="59">
        <f t="shared" si="8"/>
        <v>950.66442586631274</v>
      </c>
      <c r="BI65" s="59">
        <f ca="1">AVERAGE(OFFSET($BH$3,0,0,'Données projet'!$E$11+1,1))-AVERAGE(OFFSET($H$3,0,0,'Données projet'!$E$11+1,1))</f>
        <v>485.01379841128346</v>
      </c>
      <c r="BJ65" s="59">
        <f t="shared" si="38"/>
        <v>238.25679915866897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81.48941007456267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81.48941007456267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">
        <f t="shared" si="32"/>
        <v>9.3884254888941534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6">
        <f t="shared" si="1"/>
        <v>362.46256605982404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16.8</v>
      </c>
      <c r="N66" s="13">
        <f>IF('Données projet'!$A$36&gt;35,N65+M66-V65,IF(A66&lt;'Données projet'!$A$36,$K$205^A66,IF(A66='Données projet'!$A$36,'Données projet'!$B$36,N65+M66-V65)))</f>
        <v>661.40000000000032</v>
      </c>
      <c r="O66" s="13">
        <f>N66*VLOOKUP('Données projet'!$B$9,Paramètres!$A$1:$I$89,3,0)*VLOOKUP('Données projet'!$B$9,Paramètres!$A$1:$I$89,5,0)</f>
        <v>395.51720000000017</v>
      </c>
      <c r="P66" s="13">
        <f t="shared" si="33"/>
        <v>90.867251054957663</v>
      </c>
      <c r="Q66" s="20">
        <f t="shared" si="53"/>
        <v>847.11958558738479</v>
      </c>
      <c r="R66" s="59">
        <f t="shared" si="0"/>
        <v>1140.452918920718</v>
      </c>
      <c r="S66" s="59">
        <f ca="1">AVERAGE(OFFSET($R$3,0,0,'Données projet'!$E$9+1,1))-AVERAGE(OFFSET($H$3,0,0,'Données projet'!$E$9+1,1))</f>
        <v>481.17250315093412</v>
      </c>
      <c r="T66" s="59">
        <f t="shared" si="34"/>
        <v>413.48123190206832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90.399798256363965</v>
      </c>
      <c r="AA66" s="21">
        <f>EXP(-LN(2)/25)*AA65+(1-EXP(-LN(2)/25))/(LN(2)/25)*Calculateur!V66*Calculateur!X66*VLOOKUP('Données projet'!$B$9,Paramètres!$A$1:$I$89,3,0)*0.475*44/12</f>
        <v>26.203545744033942</v>
      </c>
      <c r="AB66" s="21">
        <f>EXP(-LN(2)/2)*AB65+(1-EXP(-LN(2)/2))/(LN(2)/2)*V66*Y66*VLOOKUP('Données projet'!$B$9,Paramètres!$A$1:$I$89,3,0)*0.475*44/12</f>
        <v>8.4749300434216136E-7</v>
      </c>
      <c r="AC66" s="22">
        <f t="shared" si="3"/>
        <v>116.60334484789091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>
        <f>VLOOKUP(A66,'Données projet'!$A$61:$I$81,2,0)</f>
        <v>312.58999999999997</v>
      </c>
      <c r="AG66" s="12">
        <f>VLOOKUP(A66,'Données projet'!$A$61:$I$81,9,0)</f>
        <v>11.644999999999996</v>
      </c>
      <c r="AH66" s="12">
        <f t="array" ref="AH66">INDEX(AG:AG,MIN(IF(ISNUMBER(AG66:AG262),ROW(AG66:AG262),"")))</f>
        <v>11.644999999999996</v>
      </c>
      <c r="AI66" s="13">
        <f>IF('Données projet'!$A$62&gt;35,AI65+AH66-AQ65,IF(A66&lt;'Données projet'!$A$62,$AF$205^A66,IF(A66='Données projet'!$A$62,'Données projet'!$B$62,AI65+AH66-AQ65)))</f>
        <v>312.59000000000003</v>
      </c>
      <c r="AJ66" s="13">
        <f>AI66*VLOOKUP('Données projet'!$B$10,Paramètres!$A$1:$I$89,3,0)*VLOOKUP('Données projet'!$B$10,Paramètres!$A$1:$I$89,5,0)</f>
        <v>282.83143200000001</v>
      </c>
      <c r="AK66" s="13">
        <f t="shared" si="35"/>
        <v>67.565021018325808</v>
      </c>
      <c r="AL66" s="20">
        <f t="shared" si="4"/>
        <v>610.27382234025083</v>
      </c>
      <c r="AM66" s="59">
        <f t="shared" si="5"/>
        <v>903.6071556735842</v>
      </c>
      <c r="AN66" s="59">
        <f ca="1">AVERAGE(OFFSET($AM$3,0,0,'Données projet'!$E$10+1,1))-AVERAGE(OFFSET($H$3,0,0,'Données projet'!$E$10+1,1))</f>
        <v>426.34811677569007</v>
      </c>
      <c r="AO66" s="59">
        <f t="shared" si="36"/>
        <v>209.65223938402107</v>
      </c>
      <c r="AP66" s="15">
        <f>IF(ISNA(VLOOKUP(A66,'Données projet'!$A$61:$I$81,3,0)),0,VLOOKUP(A66,'Données projet'!$A$61:$I$81,3,0))</f>
        <v>5</v>
      </c>
      <c r="AQ66" s="15">
        <f>IF(ISNA(VLOOKUP(A66,'Données projet'!$A$61:$I$81,4,0)),0,VLOOKUP(A66,'Données projet'!$A$61:$I$81,4,0))</f>
        <v>54.21</v>
      </c>
      <c r="AR66" s="16">
        <f>IF(ISNA(VLOOKUP(A66,'Données projet'!$A$61:$I$81,5,0)),0%,VLOOKUP(A66,'Données projet'!$A$61:$I$81,5,0)*VLOOKUP('Données projet'!$B$10,Paramètres!$A$1:$I$89,7,0))</f>
        <v>0.43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94.603409598691442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94.603409598691442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>
        <f>VLOOKUP(A66,'Données projet'!$A$87:$I$107,2,0)</f>
        <v>312.58999999999997</v>
      </c>
      <c r="BB66" s="12">
        <f>VLOOKUP(A66,'Données projet'!$A$87:$I$107,9,0)</f>
        <v>11.644999999999996</v>
      </c>
      <c r="BC66" s="12">
        <f t="array" ref="BC66">INDEX(BB:BB,MIN(IF(ISNUMBER(BB66:BB262),ROW(BB66:BB262),"")))</f>
        <v>11.644999999999996</v>
      </c>
      <c r="BD66" s="12">
        <f>IF('Données projet'!$A$88&gt;35,BD65+BC66-BL65,IF(A66&lt;'Données projet'!$A$88,$BA$205^A66,IF(A66='Données projet'!$A$88,'Données projet'!$B$88,BD65+BC66-BL65)))</f>
        <v>312.59000000000003</v>
      </c>
      <c r="BE66" s="13">
        <f>BD66*VLOOKUP('Données projet'!$B$11,Paramètres!$A$1:$I$89,3,0)*VLOOKUP('Données projet'!$B$11,Paramètres!$A$1:$I$89,5,0)</f>
        <v>316.96626000000009</v>
      </c>
      <c r="BF66" s="13">
        <f t="shared" si="37"/>
        <v>74.721775533682376</v>
      </c>
      <c r="BG66" s="20">
        <f t="shared" si="7"/>
        <v>682.18999522116349</v>
      </c>
      <c r="BH66" s="59">
        <f t="shared" si="8"/>
        <v>975.52332855449686</v>
      </c>
      <c r="BI66" s="59">
        <f ca="1">AVERAGE(OFFSET($BH$3,0,0,'Données projet'!$E$11+1,1))-AVERAGE(OFFSET($H$3,0,0,'Données projet'!$E$11+1,1))</f>
        <v>485.01379841128346</v>
      </c>
      <c r="BJ66" s="59">
        <f t="shared" si="38"/>
        <v>238.25679915866897</v>
      </c>
      <c r="BK66" s="15">
        <f>IF(ISNA(VLOOKUP(A66,'Données projet'!$A$87:$I$107,3,0)),0,VLOOKUP(A66,'Données projet'!$A$87:$I$107,3,0))</f>
        <v>5</v>
      </c>
      <c r="BL66" s="15">
        <f>IF(ISNA(VLOOKUP(A66,'Données projet'!$A$87:$I$107,4,0)),0,VLOOKUP(A66,'Données projet'!$A$87:$I$107,4,0))</f>
        <v>54.21</v>
      </c>
      <c r="BM66" s="16">
        <f>IF(ISNA(VLOOKUP(A66,'Données projet'!$A$87:$I$107,5,0)),0%,VLOOKUP(A66,'Données projet'!$A$87:$I$107,5,0)*VLOOKUP('Données projet'!$B$11,Paramètres!$A$1:$I$89,7,0))</f>
        <v>0.43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106.02106248129212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106.02106248129212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">
        <f t="shared" si="32"/>
        <v>9.5199809505958548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6">
        <f t="shared" si="1"/>
        <v>363.52943348895451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16.8</v>
      </c>
      <c r="N67" s="13">
        <f>IF('Données projet'!$A$36&gt;35,N66+M67-V66,IF(A67&lt;'Données projet'!$A$36,$K$205^A67,IF(A67='Données projet'!$A$36,'Données projet'!$B$36,N66+M67-V66)))</f>
        <v>678.20000000000027</v>
      </c>
      <c r="O67" s="13">
        <f>N67*VLOOKUP('Données projet'!$B$9,Paramètres!$A$1:$I$89,3,0)*VLOOKUP('Données projet'!$B$9,Paramètres!$A$1:$I$89,5,0)</f>
        <v>405.56360000000024</v>
      </c>
      <c r="P67" s="13">
        <f t="shared" si="33"/>
        <v>92.90369136359071</v>
      </c>
      <c r="Q67" s="20">
        <f t="shared" ref="Q67:Q98" si="54">(O67+P67)*0.475*44/12</f>
        <v>868.16386579158745</v>
      </c>
      <c r="R67" s="59">
        <f t="shared" ref="R67:R130" si="55">Q67+(I67+J67)*44/12</f>
        <v>1161.4971991249208</v>
      </c>
      <c r="S67" s="59">
        <f ca="1">AVERAGE(OFFSET($R$3,0,0,'Données projet'!$E$9+1,1))-AVERAGE(OFFSET($H$3,0,0,'Données projet'!$E$9+1,1))</f>
        <v>481.17250315093412</v>
      </c>
      <c r="T67" s="59">
        <f t="shared" si="34"/>
        <v>413.48123190206832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88.627113350989134</v>
      </c>
      <c r="AA67" s="21">
        <f>EXP(-LN(2)/25)*AA66+(1-EXP(-LN(2)/25))/(LN(2)/25)*Calculateur!V67*Calculateur!X67*VLOOKUP('Données projet'!$B$9,Paramètres!$A$1:$I$89,3,0)*0.475*44/12</f>
        <v>25.487008407678751</v>
      </c>
      <c r="AB67" s="21">
        <f>EXP(-LN(2)/2)*AB66+(1-EXP(-LN(2)/2))/(LN(2)/2)*V67*Y67*VLOOKUP('Données projet'!$B$9,Paramètres!$A$1:$I$89,3,0)*0.475*44/12</f>
        <v>5.9926805037850246E-7</v>
      </c>
      <c r="AC67" s="22">
        <f t="shared" si="3"/>
        <v>114.11412235793594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11.28875</v>
      </c>
      <c r="AI67" s="13">
        <f>IF('Données projet'!$A$62&gt;35,AI66+AH67-AQ66,IF(A67&lt;'Données projet'!$A$62,$AF$205^A67,IF(A67='Données projet'!$A$62,'Données projet'!$B$62,AI66+AH67-AQ66)))</f>
        <v>269.66875000000005</v>
      </c>
      <c r="AJ67" s="13">
        <f>AI67*VLOOKUP('Données projet'!$B$10,Paramètres!$A$1:$I$89,3,0)*VLOOKUP('Données projet'!$B$10,Paramètres!$A$1:$I$89,5,0)</f>
        <v>243.99628500000003</v>
      </c>
      <c r="AK67" s="13">
        <f t="shared" si="35"/>
        <v>59.298522534643098</v>
      </c>
      <c r="AL67" s="20">
        <f t="shared" si="4"/>
        <v>528.23845645617007</v>
      </c>
      <c r="AM67" s="59">
        <f t="shared" si="5"/>
        <v>821.57178978950333</v>
      </c>
      <c r="AN67" s="59">
        <f ca="1">AVERAGE(OFFSET($AM$3,0,0,'Données projet'!$E$10+1,1))-AVERAGE(OFFSET($H$3,0,0,'Données projet'!$E$10+1,1))</f>
        <v>426.34811677569007</v>
      </c>
      <c r="AO67" s="59">
        <f t="shared" si="36"/>
        <v>209.65223938402107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92.748294438843317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92.748294438843317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11.28875</v>
      </c>
      <c r="BD67" s="12">
        <f>IF('Données projet'!$A$88&gt;35,BD66+BC67-BL66,IF(A67&lt;'Données projet'!$A$88,$BA$205^A67,IF(A67='Données projet'!$A$88,'Données projet'!$B$88,BD66+BC67-BL66)))</f>
        <v>269.66875000000005</v>
      </c>
      <c r="BE67" s="13">
        <f>BD67*VLOOKUP('Données projet'!$B$11,Paramètres!$A$1:$I$89,3,0)*VLOOKUP('Données projet'!$B$11,Paramètres!$A$1:$I$89,5,0)</f>
        <v>273.44411250000007</v>
      </c>
      <c r="BF67" s="13">
        <f t="shared" si="37"/>
        <v>65.579656803641214</v>
      </c>
      <c r="BG67" s="20">
        <f t="shared" si="7"/>
        <v>590.46639820384189</v>
      </c>
      <c r="BH67" s="59">
        <f t="shared" si="8"/>
        <v>883.79973153717515</v>
      </c>
      <c r="BI67" s="59">
        <f ca="1">AVERAGE(OFFSET($BH$3,0,0,'Données projet'!$E$11+1,1))-AVERAGE(OFFSET($H$3,0,0,'Données projet'!$E$11+1,1))</f>
        <v>485.01379841128346</v>
      </c>
      <c r="BJ67" s="59">
        <f t="shared" si="38"/>
        <v>238.25679915866897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103.94205411249681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103.94205411249681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">
        <f t="shared" si="32"/>
        <v>9.6512973529679762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6">
        <f t="shared" ref="H68:H131" si="56">(B68+E68+F68)*44/12+(C68+D68)*0.475*44/12</f>
        <v>364.59588455641932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695</v>
      </c>
      <c r="L68" s="12">
        <f>VLOOKUP(A68,'Données projet'!$A$35:$I$55,9,0)</f>
        <v>16.8</v>
      </c>
      <c r="M68" s="12">
        <f t="array" ref="M68">INDEX(L:L,MIN(IF(ISNUMBER(L68:L264),ROW(L68:L264),"")))</f>
        <v>16.8</v>
      </c>
      <c r="N68" s="13">
        <f>IF('Données projet'!$A$36&gt;35,N67+M68-V67,IF(A68&lt;'Données projet'!$A$36,$K$205^A68,IF(A68='Données projet'!$A$36,'Données projet'!$B$36,N67+M68-V67)))</f>
        <v>695.00000000000023</v>
      </c>
      <c r="O68" s="13">
        <f>N68*VLOOKUP('Données projet'!$B$9,Paramètres!$A$1:$I$89,3,0)*VLOOKUP('Données projet'!$B$9,Paramètres!$A$1:$I$89,5,0)</f>
        <v>415.61000000000013</v>
      </c>
      <c r="P68" s="13">
        <f t="shared" si="33"/>
        <v>94.934267629409874</v>
      </c>
      <c r="Q68" s="20">
        <f t="shared" si="54"/>
        <v>889.19793278788904</v>
      </c>
      <c r="R68" s="59">
        <f t="shared" si="55"/>
        <v>1182.5312661212224</v>
      </c>
      <c r="S68" s="59">
        <f ca="1">AVERAGE(OFFSET($R$3,0,0,'Données projet'!$E$9+1,1))-AVERAGE(OFFSET($H$3,0,0,'Données projet'!$E$9+1,1))</f>
        <v>481.17250315093412</v>
      </c>
      <c r="T68" s="59">
        <f t="shared" si="34"/>
        <v>413.48123190206832</v>
      </c>
      <c r="U68" s="15">
        <f>IF(ISNA(VLOOKUP(A68,'Données projet'!$A$35:$I$55,3,0)),0,VLOOKUP(A68,'Données projet'!$A$35:$I$55,3,0))</f>
        <v>11</v>
      </c>
      <c r="V68" s="15">
        <f>IF(ISNA(VLOOKUP(A68,'Données projet'!$A$35:$I$55,4,0)),0,VLOOKUP(A68,'Données projet'!$A$35:$I$55,4,0))</f>
        <v>37</v>
      </c>
      <c r="W68" s="16">
        <f>IF(ISNA(VLOOKUP(A68,'Données projet'!$A$35:$I$55,5,0)),0%,VLOOKUP(A68,'Données projet'!$A$35:$I$55,5,0)*VLOOKUP('Données projet'!$B$9,Paramètres!$A$1:$I$89,7,0))</f>
        <v>0.45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100.09739402885255</v>
      </c>
      <c r="AA68" s="21">
        <f>EXP(-LN(2)/25)*AA67+(1-EXP(-LN(2)/25))/(LN(2)/25)*Calculateur!V68*Calculateur!X68*VLOOKUP('Données projet'!$B$9,Paramètres!$A$1:$I$89,3,0)*0.475*44/12</f>
        <v>24.790064822467254</v>
      </c>
      <c r="AB68" s="21">
        <f>EXP(-LN(2)/2)*AB67+(1-EXP(-LN(2)/2))/(LN(2)/2)*V68*Y68*VLOOKUP('Données projet'!$B$9,Paramètres!$A$1:$I$89,3,0)*0.475*44/12</f>
        <v>4.2374650217108068E-7</v>
      </c>
      <c r="AC68" s="22">
        <f t="shared" ref="AC68:AC131" si="57">SUM(Z68:AB68)</f>
        <v>124.88745927506631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11.28875</v>
      </c>
      <c r="AI68" s="13">
        <f>IF('Données projet'!$A$62&gt;35,AI67+AH68-AQ67,IF(A68&lt;'Données projet'!$A$62,$AF$205^A68,IF(A68='Données projet'!$A$62,'Données projet'!$B$62,AI67+AH68-AQ67)))</f>
        <v>280.95750000000004</v>
      </c>
      <c r="AJ68" s="13">
        <f>AI68*VLOOKUP('Données projet'!$B$10,Paramètres!$A$1:$I$89,3,0)*VLOOKUP('Données projet'!$B$10,Paramètres!$A$1:$I$89,5,0)</f>
        <v>254.21034600000002</v>
      </c>
      <c r="AK68" s="13">
        <f t="shared" si="35"/>
        <v>61.486644866788161</v>
      </c>
      <c r="AL68" s="20">
        <f t="shared" ref="AL68:AL131" si="58">(AJ68+AK68)*0.475*44/12</f>
        <v>549.83892575965604</v>
      </c>
      <c r="AM68" s="59">
        <f t="shared" ref="AM68:AM131" si="59">AL68+(AD68+AE68)*44/12</f>
        <v>843.17225909298941</v>
      </c>
      <c r="AN68" s="59">
        <f ca="1">AVERAGE(OFFSET($AM$3,0,0,'Données projet'!$E$10+1,1))-AVERAGE(OFFSET($H$3,0,0,'Données projet'!$E$10+1,1))</f>
        <v>426.34811677569007</v>
      </c>
      <c r="AO68" s="59">
        <f t="shared" si="36"/>
        <v>209.65223938402107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90.929556955771304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90.929556955771304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11.28875</v>
      </c>
      <c r="BD68" s="12">
        <f>IF('Données projet'!$A$88&gt;35,BD67+BC68-BL67,IF(A68&lt;'Données projet'!$A$88,$BA$205^A68,IF(A68='Données projet'!$A$88,'Données projet'!$B$88,BD67+BC68-BL67)))</f>
        <v>280.95750000000004</v>
      </c>
      <c r="BE68" s="13">
        <f>BD68*VLOOKUP('Données projet'!$B$11,Paramètres!$A$1:$I$89,3,0)*VLOOKUP('Données projet'!$B$11,Paramètres!$A$1:$I$89,5,0)</f>
        <v>284.89090500000009</v>
      </c>
      <c r="BF68" s="13">
        <f t="shared" si="37"/>
        <v>67.99955371595675</v>
      </c>
      <c r="BG68" s="20">
        <f t="shared" ref="BG68:BG131" si="61">(BE68+BF68)*0.475*44/12</f>
        <v>614.61754893029149</v>
      </c>
      <c r="BH68" s="59">
        <f t="shared" ref="BH68:BH131" si="62">BG68+(AY68+AZ68)*44/12</f>
        <v>907.95088226362486</v>
      </c>
      <c r="BI68" s="59">
        <f ca="1">AVERAGE(OFFSET($BH$3,0,0,'Données projet'!$E$11+1,1))-AVERAGE(OFFSET($H$3,0,0,'Données projet'!$E$11+1,1))</f>
        <v>485.01379841128346</v>
      </c>
      <c r="BJ68" s="59">
        <f t="shared" si="38"/>
        <v>238.25679915866897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101.90381382974368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101.90381382974368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">
        <f t="shared" ref="D69:D132" si="86">IFERROR(EXP(-1.0587+0.8836*LN(C69)+0.284),0)</f>
        <v>9.7823787985981756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6">
        <f t="shared" si="56"/>
        <v>365.66192640755855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15</v>
      </c>
      <c r="N69" s="13">
        <f>IF('Données projet'!$A$36&gt;35,N68+M69-V68,IF(A69&lt;'Données projet'!$A$36,$K$205^A69,IF(A69='Données projet'!$A$36,'Données projet'!$B$36,N68+M69-V68)))</f>
        <v>673.00000000000023</v>
      </c>
      <c r="O69" s="13">
        <f>N69*VLOOKUP('Données projet'!$B$9,Paramètres!$A$1:$I$89,3,0)*VLOOKUP('Données projet'!$B$9,Paramètres!$A$1:$I$89,5,0)</f>
        <v>402.45400000000012</v>
      </c>
      <c r="P69" s="13">
        <f t="shared" ref="P69:P132" si="87">EXP(-1.0587+0.8836*LN(O69)+0.284)</f>
        <v>92.273998825389043</v>
      </c>
      <c r="Q69" s="20">
        <f t="shared" si="54"/>
        <v>861.65126462088608</v>
      </c>
      <c r="R69" s="59">
        <f t="shared" si="55"/>
        <v>1154.9845979542195</v>
      </c>
      <c r="S69" s="59">
        <f ca="1">AVERAGE(OFFSET($R$3,0,0,'Données projet'!$E$9+1,1))-AVERAGE(OFFSET($H$3,0,0,'Données projet'!$E$9+1,1))</f>
        <v>481.17250315093412</v>
      </c>
      <c r="T69" s="59">
        <f t="shared" ref="T69:T132" si="88">$T$3</f>
        <v>413.48123190206832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98.134545185328591</v>
      </c>
      <c r="AA69" s="21">
        <f>EXP(-LN(2)/25)*AA68+(1-EXP(-LN(2)/25))/(LN(2)/25)*Calculateur!V69*Calculateur!X69*VLOOKUP('Données projet'!$B$9,Paramètres!$A$1:$I$89,3,0)*0.475*44/12</f>
        <v>24.112179196244035</v>
      </c>
      <c r="AB69" s="21">
        <f>EXP(-LN(2)/2)*AB68+(1-EXP(-LN(2)/2))/(LN(2)/2)*V69*Y69*VLOOKUP('Données projet'!$B$9,Paramètres!$A$1:$I$89,3,0)*0.475*44/12</f>
        <v>2.9963402518925123E-7</v>
      </c>
      <c r="AC69" s="22">
        <f t="shared" si="57"/>
        <v>122.24672468120664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11.28875</v>
      </c>
      <c r="AI69" s="13">
        <f>IF('Données projet'!$A$62&gt;35,AI68+AH69-AQ68,IF(A69&lt;'Données projet'!$A$62,$AF$205^A69,IF(A69='Données projet'!$A$62,'Données projet'!$B$62,AI68+AH69-AQ68)))</f>
        <v>292.24625000000003</v>
      </c>
      <c r="AJ69" s="13">
        <f>AI69*VLOOKUP('Données projet'!$B$10,Paramètres!$A$1:$I$89,3,0)*VLOOKUP('Données projet'!$B$10,Paramètres!$A$1:$I$89,5,0)</f>
        <v>264.42440700000003</v>
      </c>
      <c r="AK69" s="13">
        <f t="shared" ref="AK69:AK132" si="89">EXP(-1.0587+0.8836*LN(AJ69)+0.284)</f>
        <v>63.664554558165378</v>
      </c>
      <c r="AL69" s="20">
        <f t="shared" si="58"/>
        <v>571.42160804713808</v>
      </c>
      <c r="AM69" s="59">
        <f t="shared" si="59"/>
        <v>864.75494138047134</v>
      </c>
      <c r="AN69" s="59">
        <f ca="1">AVERAGE(OFFSET($AM$3,0,0,'Données projet'!$E$10+1,1))-AVERAGE(OFFSET($H$3,0,0,'Données projet'!$E$10+1,1))</f>
        <v>426.34811677569007</v>
      </c>
      <c r="AO69" s="59">
        <f t="shared" ref="AO69:AO132" si="90">$AO$3</f>
        <v>209.65223938402107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89.146483805421994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89.146483805421994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11.28875</v>
      </c>
      <c r="BD69" s="12">
        <f>IF('Données projet'!$A$88&gt;35,BD68+BC69-BL68,IF(A69&lt;'Données projet'!$A$88,$BA$205^A69,IF(A69='Données projet'!$A$88,'Données projet'!$B$88,BD68+BC69-BL68)))</f>
        <v>292.24625000000003</v>
      </c>
      <c r="BE69" s="13">
        <f>BD69*VLOOKUP('Données projet'!$B$11,Paramètres!$A$1:$I$89,3,0)*VLOOKUP('Données projet'!$B$11,Paramètres!$A$1:$I$89,5,0)</f>
        <v>296.33769750000005</v>
      </c>
      <c r="BF69" s="13">
        <f t="shared" ref="BF69:BF132" si="91">EXP(-1.0587+0.8836*LN(BE69)+0.284)</f>
        <v>70.408156224162596</v>
      </c>
      <c r="BG69" s="20">
        <f t="shared" si="61"/>
        <v>638.74902856958317</v>
      </c>
      <c r="BH69" s="59">
        <f t="shared" si="62"/>
        <v>932.08236190291655</v>
      </c>
      <c r="BI69" s="59">
        <f ca="1">AVERAGE(OFFSET($BH$3,0,0,'Données projet'!$E$11+1,1))-AVERAGE(OFFSET($H$3,0,0,'Données projet'!$E$11+1,1))</f>
        <v>485.01379841128346</v>
      </c>
      <c r="BJ69" s="59">
        <f t="shared" ref="BJ69:BJ132" si="92">$BJ$3</f>
        <v>238.25679915866897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99.905542195731527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99.905542195731527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">
        <f t="shared" si="86"/>
        <v>9.9132292586187312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6">
        <f t="shared" si="56"/>
        <v>366.72756595876103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15</v>
      </c>
      <c r="N70" s="13">
        <f>IF('Données projet'!$A$36&gt;35,N69+M70-V69,IF(A70&lt;'Données projet'!$A$36,$K$205^A70,IF(A70='Données projet'!$A$36,'Données projet'!$B$36,N69+M70-V69)))</f>
        <v>688.00000000000023</v>
      </c>
      <c r="O70" s="13">
        <f>N70*VLOOKUP('Données projet'!$B$9,Paramètres!$A$1:$I$89,3,0)*VLOOKUP('Données projet'!$B$9,Paramètres!$A$1:$I$89,5,0)</f>
        <v>411.42400000000021</v>
      </c>
      <c r="P70" s="13">
        <f t="shared" si="87"/>
        <v>94.088896505909247</v>
      </c>
      <c r="Q70" s="20">
        <f t="shared" si="54"/>
        <v>880.43496141445894</v>
      </c>
      <c r="R70" s="59">
        <f t="shared" si="55"/>
        <v>1173.7682947477922</v>
      </c>
      <c r="S70" s="59">
        <f ca="1">AVERAGE(OFFSET($R$3,0,0,'Données projet'!$E$9+1,1))-AVERAGE(OFFSET($H$3,0,0,'Données projet'!$E$9+1,1))</f>
        <v>481.17250315093412</v>
      </c>
      <c r="T70" s="59">
        <f t="shared" si="88"/>
        <v>413.48123190206832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96.210186610406552</v>
      </c>
      <c r="AA70" s="21">
        <f>EXP(-LN(2)/25)*AA69+(1-EXP(-LN(2)/25))/(LN(2)/25)*Calculateur!V70*Calculateur!X70*VLOOKUP('Données projet'!$B$9,Paramètres!$A$1:$I$89,3,0)*0.475*44/12</f>
        <v>23.452830388118347</v>
      </c>
      <c r="AB70" s="21">
        <f>EXP(-LN(2)/2)*AB69+(1-EXP(-LN(2)/2))/(LN(2)/2)*V70*Y70*VLOOKUP('Données projet'!$B$9,Paramètres!$A$1:$I$89,3,0)*0.475*44/12</f>
        <v>2.1187325108554034E-7</v>
      </c>
      <c r="AC70" s="22">
        <f t="shared" si="57"/>
        <v>119.66301721039815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11.28875</v>
      </c>
      <c r="AI70" s="13">
        <f>IF('Données projet'!$A$62&gt;35,AI69+AH70-AQ69,IF(A70&lt;'Données projet'!$A$62,$AF$205^A70,IF(A70='Données projet'!$A$62,'Données projet'!$B$62,AI69+AH70-AQ69)))</f>
        <v>303.53500000000003</v>
      </c>
      <c r="AJ70" s="13">
        <f>AI70*VLOOKUP('Données projet'!$B$10,Paramètres!$A$1:$I$89,3,0)*VLOOKUP('Données projet'!$B$10,Paramètres!$A$1:$I$89,5,0)</f>
        <v>274.63846799999999</v>
      </c>
      <c r="AK70" s="13">
        <f t="shared" si="89"/>
        <v>65.832691250400728</v>
      </c>
      <c r="AL70" s="20">
        <f t="shared" si="58"/>
        <v>592.98726902778128</v>
      </c>
      <c r="AM70" s="59">
        <f t="shared" si="59"/>
        <v>886.32060236111465</v>
      </c>
      <c r="AN70" s="59">
        <f ca="1">AVERAGE(OFFSET($AM$3,0,0,'Données projet'!$E$10+1,1))-AVERAGE(OFFSET($H$3,0,0,'Données projet'!$E$10+1,1))</f>
        <v>426.34811677569007</v>
      </c>
      <c r="AO70" s="59">
        <f t="shared" si="90"/>
        <v>209.65223938402107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87.398375631983811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87.398375631983811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11.28875</v>
      </c>
      <c r="BD70" s="12">
        <f>IF('Données projet'!$A$88&gt;35,BD69+BC70-BL69,IF(A70&lt;'Données projet'!$A$88,$BA$205^A70,IF(A70='Données projet'!$A$88,'Données projet'!$B$88,BD69+BC70-BL69)))</f>
        <v>303.53500000000003</v>
      </c>
      <c r="BE70" s="13">
        <f>BD70*VLOOKUP('Données projet'!$B$11,Paramètres!$A$1:$I$89,3,0)*VLOOKUP('Données projet'!$B$11,Paramètres!$A$1:$I$89,5,0)</f>
        <v>307.78449000000006</v>
      </c>
      <c r="BF70" s="13">
        <f t="shared" si="91"/>
        <v>72.805950538466206</v>
      </c>
      <c r="BG70" s="20">
        <f t="shared" si="61"/>
        <v>662.86168393782884</v>
      </c>
      <c r="BH70" s="59">
        <f t="shared" si="62"/>
        <v>956.19501727116221</v>
      </c>
      <c r="BI70" s="59">
        <f ca="1">AVERAGE(OFFSET($BH$3,0,0,'Données projet'!$E$11+1,1))-AVERAGE(OFFSET($H$3,0,0,'Données projet'!$E$11+1,1))</f>
        <v>485.01379841128346</v>
      </c>
      <c r="BJ70" s="59">
        <f t="shared" si="92"/>
        <v>238.25679915866897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97.946455449637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97.946455449637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">
        <f t="shared" si="86"/>
        <v>10.043852578816578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6">
        <f t="shared" si="56"/>
        <v>367.7928099081056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15</v>
      </c>
      <c r="N71" s="13">
        <f>IF('Données projet'!$A$36&gt;35,N70+M71-V70,IF(A71&lt;'Données projet'!$A$36,$K$205^A71,IF(A71='Données projet'!$A$36,'Données projet'!$B$36,N70+M71-V70)))</f>
        <v>703.00000000000023</v>
      </c>
      <c r="O71" s="13">
        <f>N71*VLOOKUP('Données projet'!$B$9,Paramètres!$A$1:$I$89,3,0)*VLOOKUP('Données projet'!$B$9,Paramètres!$A$1:$I$89,5,0)</f>
        <v>420.39400000000018</v>
      </c>
      <c r="P71" s="13">
        <f t="shared" si="87"/>
        <v>95.899193810129589</v>
      </c>
      <c r="Q71" s="20">
        <f t="shared" si="54"/>
        <v>899.21064588597585</v>
      </c>
      <c r="R71" s="59">
        <f t="shared" si="55"/>
        <v>1192.5439792193092</v>
      </c>
      <c r="S71" s="59">
        <f ca="1">AVERAGE(OFFSET($R$3,0,0,'Données projet'!$E$9+1,1))-AVERAGE(OFFSET($H$3,0,0,'Données projet'!$E$9+1,1))</f>
        <v>481.17250315093412</v>
      </c>
      <c r="T71" s="59">
        <f t="shared" si="88"/>
        <v>413.48123190206832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94.323563533395898</v>
      </c>
      <c r="AA71" s="21">
        <f>EXP(-LN(2)/25)*AA70+(1-EXP(-LN(2)/25))/(LN(2)/25)*Calculateur!V71*Calculateur!X71*VLOOKUP('Données projet'!$B$9,Paramètres!$A$1:$I$89,3,0)*0.475*44/12</f>
        <v>22.811511507824502</v>
      </c>
      <c r="AB71" s="21">
        <f>EXP(-LN(2)/2)*AB70+(1-EXP(-LN(2)/2))/(LN(2)/2)*V71*Y71*VLOOKUP('Données projet'!$B$9,Paramètres!$A$1:$I$89,3,0)*0.475*44/12</f>
        <v>1.4981701259462561E-7</v>
      </c>
      <c r="AC71" s="22">
        <f t="shared" si="57"/>
        <v>117.13507519103742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11.28875</v>
      </c>
      <c r="AI71" s="13">
        <f>IF('Données projet'!$A$62&gt;35,AI70+AH71-AQ70,IF(A71&lt;'Données projet'!$A$62,$AF$205^A71,IF(A71='Données projet'!$A$62,'Données projet'!$B$62,AI70+AH71-AQ70)))</f>
        <v>314.82375000000002</v>
      </c>
      <c r="AJ71" s="13">
        <f>AI71*VLOOKUP('Données projet'!$B$10,Paramètres!$A$1:$I$89,3,0)*VLOOKUP('Données projet'!$B$10,Paramètres!$A$1:$I$89,5,0)</f>
        <v>284.852529</v>
      </c>
      <c r="AK71" s="13">
        <f t="shared" si="89"/>
        <v>67.991460031008771</v>
      </c>
      <c r="AL71" s="20">
        <f t="shared" si="58"/>
        <v>614.53661422900689</v>
      </c>
      <c r="AM71" s="59">
        <f t="shared" si="59"/>
        <v>907.86994756234026</v>
      </c>
      <c r="AN71" s="59">
        <f ca="1">AVERAGE(OFFSET($AM$3,0,0,'Données projet'!$E$10+1,1))-AVERAGE(OFFSET($H$3,0,0,'Données projet'!$E$10+1,1))</f>
        <v>426.34811677569007</v>
      </c>
      <c r="AO71" s="59">
        <f t="shared" si="90"/>
        <v>209.65223938402107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85.684546793586037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85.684546793586037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11.28875</v>
      </c>
      <c r="BD71" s="12">
        <f>IF('Données projet'!$A$88&gt;35,BD70+BC71-BL70,IF(A71&lt;'Données projet'!$A$88,$BA$205^A71,IF(A71='Données projet'!$A$88,'Données projet'!$B$88,BD70+BC71-BL70)))</f>
        <v>314.82375000000002</v>
      </c>
      <c r="BE71" s="13">
        <f>BD71*VLOOKUP('Données projet'!$B$11,Paramètres!$A$1:$I$89,3,0)*VLOOKUP('Données projet'!$B$11,Paramètres!$A$1:$I$89,5,0)</f>
        <v>319.23128250000002</v>
      </c>
      <c r="BF71" s="13">
        <f t="shared" si="91"/>
        <v>75.193384654855564</v>
      </c>
      <c r="BG71" s="20">
        <f t="shared" si="61"/>
        <v>686.95629529470671</v>
      </c>
      <c r="BH71" s="59">
        <f t="shared" si="62"/>
        <v>980.28962862803996</v>
      </c>
      <c r="BI71" s="59">
        <f ca="1">AVERAGE(OFFSET($BH$3,0,0,'Données projet'!$E$11+1,1))-AVERAGE(OFFSET($H$3,0,0,'Données projet'!$E$11+1,1))</f>
        <v>485.01379841128346</v>
      </c>
      <c r="BJ71" s="59">
        <f t="shared" si="92"/>
        <v>238.25679915866897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96.025785199708466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96.025785199708466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">
        <f t="shared" si="86"/>
        <v>10.174252485373691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6">
        <f t="shared" si="56"/>
        <v>368.85766474535927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15</v>
      </c>
      <c r="N72" s="13">
        <f>IF('Données projet'!$A$36&gt;35,N71+M72-V71,IF(A72&lt;'Données projet'!$A$36,$K$205^A72,IF(A72='Données projet'!$A$36,'Données projet'!$B$36,N71+M72-V71)))</f>
        <v>718.00000000000023</v>
      </c>
      <c r="O72" s="13">
        <f>N72*VLOOKUP('Données projet'!$B$9,Paramètres!$A$1:$I$89,3,0)*VLOOKUP('Données projet'!$B$9,Paramètres!$A$1:$I$89,5,0)</f>
        <v>429.3640000000002</v>
      </c>
      <c r="P72" s="13">
        <f t="shared" si="87"/>
        <v>97.705000203350153</v>
      </c>
      <c r="Q72" s="20">
        <f t="shared" si="54"/>
        <v>917.97850868750186</v>
      </c>
      <c r="R72" s="59">
        <f t="shared" si="55"/>
        <v>1211.3118420208352</v>
      </c>
      <c r="S72" s="59">
        <f ca="1">AVERAGE(OFFSET($R$3,0,0,'Données projet'!$E$9+1,1))-AVERAGE(OFFSET($H$3,0,0,'Données projet'!$E$9+1,1))</f>
        <v>481.17250315093412</v>
      </c>
      <c r="T72" s="59">
        <f t="shared" si="88"/>
        <v>413.48123190206832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92.473935984198974</v>
      </c>
      <c r="AA72" s="21">
        <f>EXP(-LN(2)/25)*AA71+(1-EXP(-LN(2)/25))/(LN(2)/25)*Calculateur!V72*Calculateur!X72*VLOOKUP('Données projet'!$B$9,Paramètres!$A$1:$I$89,3,0)*0.475*44/12</f>
        <v>22.187729526037788</v>
      </c>
      <c r="AB72" s="21">
        <f>EXP(-LN(2)/2)*AB71+(1-EXP(-LN(2)/2))/(LN(2)/2)*V72*Y72*VLOOKUP('Données projet'!$B$9,Paramètres!$A$1:$I$89,3,0)*0.475*44/12</f>
        <v>1.0593662554277017E-7</v>
      </c>
      <c r="AC72" s="22">
        <f t="shared" si="57"/>
        <v>114.66166561617338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11.28875</v>
      </c>
      <c r="AI72" s="13">
        <f>IF('Données projet'!$A$62&gt;35,AI71+AH72-AQ71,IF(A72&lt;'Données projet'!$A$62,$AF$205^A72,IF(A72='Données projet'!$A$62,'Données projet'!$B$62,AI71+AH72-AQ71)))</f>
        <v>326.11250000000001</v>
      </c>
      <c r="AJ72" s="13">
        <f>AI72*VLOOKUP('Données projet'!$B$10,Paramètres!$A$1:$I$89,3,0)*VLOOKUP('Données projet'!$B$10,Paramètres!$A$1:$I$89,5,0)</f>
        <v>295.06659000000002</v>
      </c>
      <c r="AK72" s="13">
        <f t="shared" si="89"/>
        <v>70.141235290018571</v>
      </c>
      <c r="AL72" s="20">
        <f t="shared" si="58"/>
        <v>636.07029571344913</v>
      </c>
      <c r="AM72" s="59">
        <f t="shared" si="59"/>
        <v>929.4036290467825</v>
      </c>
      <c r="AN72" s="59">
        <f ca="1">AVERAGE(OFFSET($AM$3,0,0,'Données projet'!$E$10+1,1))-AVERAGE(OFFSET($H$3,0,0,'Données projet'!$E$10+1,1))</f>
        <v>426.34811677569007</v>
      </c>
      <c r="AO72" s="59">
        <f t="shared" si="90"/>
        <v>209.65223938402107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84.004325093376877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84.004325093376877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11.28875</v>
      </c>
      <c r="BD72" s="12">
        <f>IF('Données projet'!$A$88&gt;35,BD71+BC72-BL71,IF(A72&lt;'Données projet'!$A$88,$BA$205^A72,IF(A72='Données projet'!$A$88,'Données projet'!$B$88,BD71+BC72-BL71)))</f>
        <v>326.11250000000001</v>
      </c>
      <c r="BE72" s="13">
        <f>BD72*VLOOKUP('Données projet'!$B$11,Paramètres!$A$1:$I$89,3,0)*VLOOKUP('Données projet'!$B$11,Paramètres!$A$1:$I$89,5,0)</f>
        <v>330.67807500000004</v>
      </c>
      <c r="BF72" s="13">
        <f t="shared" si="91"/>
        <v>77.570872620233771</v>
      </c>
      <c r="BG72" s="20">
        <f t="shared" si="61"/>
        <v>711.03358377190716</v>
      </c>
      <c r="BH72" s="59">
        <f t="shared" si="62"/>
        <v>1004.3669171052404</v>
      </c>
      <c r="BI72" s="59">
        <f ca="1">AVERAGE(OFFSET($BH$3,0,0,'Données projet'!$E$11+1,1))-AVERAGE(OFFSET($H$3,0,0,'Données projet'!$E$11+1,1))</f>
        <v>485.01379841128346</v>
      </c>
      <c r="BJ72" s="59">
        <f t="shared" si="92"/>
        <v>238.25679915866897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94.142778121887858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94.142778121887858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">
        <f t="shared" si="86"/>
        <v>10.304432590265302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6">
        <f t="shared" si="56"/>
        <v>369.92213676137879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733</v>
      </c>
      <c r="L73" s="12">
        <f>VLOOKUP(A73,'Données projet'!$A$35:$I$55,9,0)</f>
        <v>15</v>
      </c>
      <c r="M73" s="12">
        <f t="array" ref="M73">INDEX(L:L,MIN(IF(ISNUMBER(L73:L269),ROW(L73:L269),"")))</f>
        <v>15</v>
      </c>
      <c r="N73" s="13">
        <f>IF('Données projet'!$A$36&gt;35,N72+M73-V72,IF(A73&lt;'Données projet'!$A$36,$K$205^A73,IF(A73='Données projet'!$A$36,'Données projet'!$B$36,N72+M73-V72)))</f>
        <v>733.00000000000023</v>
      </c>
      <c r="O73" s="13">
        <f>N73*VLOOKUP('Données projet'!$B$9,Paramètres!$A$1:$I$89,3,0)*VLOOKUP('Données projet'!$B$9,Paramètres!$A$1:$I$89,5,0)</f>
        <v>438.33400000000017</v>
      </c>
      <c r="P73" s="13">
        <f t="shared" si="87"/>
        <v>99.506420315742801</v>
      </c>
      <c r="Q73" s="20">
        <f t="shared" si="54"/>
        <v>936.73873204991912</v>
      </c>
      <c r="R73" s="59">
        <f t="shared" si="55"/>
        <v>1230.0720653832525</v>
      </c>
      <c r="S73" s="59">
        <f ca="1">AVERAGE(OFFSET($R$3,0,0,'Données projet'!$E$9+1,1))-AVERAGE(OFFSET($H$3,0,0,'Données projet'!$E$9+1,1))</f>
        <v>481.17250315093412</v>
      </c>
      <c r="T73" s="59">
        <f t="shared" si="88"/>
        <v>413.48123190206832</v>
      </c>
      <c r="U73" s="15">
        <f>IF(ISNA(VLOOKUP(A73,'Données projet'!$A$35:$I$55,3,0)),0,VLOOKUP(A73,'Données projet'!$A$35:$I$55,3,0))</f>
        <v>12</v>
      </c>
      <c r="V73" s="15">
        <f>IF(ISNA(VLOOKUP(A73,'Données projet'!$A$35:$I$55,4,0)),0,VLOOKUP(A73,'Données projet'!$A$35:$I$55,4,0))</f>
        <v>34</v>
      </c>
      <c r="W73" s="16">
        <f>IF(ISNA(VLOOKUP(A73,'Données projet'!$A$35:$I$55,5,0)),0%,VLOOKUP(A73,'Données projet'!$A$35:$I$55,5,0)*VLOOKUP('Données projet'!$B$9,Paramètres!$A$1:$I$89,7,0))</f>
        <v>0.45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102.79784733167892</v>
      </c>
      <c r="AA73" s="21">
        <f>EXP(-LN(2)/25)*AA72+(1-EXP(-LN(2)/25))/(LN(2)/25)*Calculateur!V73*Calculateur!X73*VLOOKUP('Données projet'!$B$9,Paramètres!$A$1:$I$89,3,0)*0.475*44/12</f>
        <v>21.5810048953463</v>
      </c>
      <c r="AB73" s="21">
        <f>EXP(-LN(2)/2)*AB72+(1-EXP(-LN(2)/2))/(LN(2)/2)*V73*Y73*VLOOKUP('Données projet'!$B$9,Paramètres!$A$1:$I$89,3,0)*0.475*44/12</f>
        <v>7.4908506297312807E-8</v>
      </c>
      <c r="AC73" s="22">
        <f t="shared" si="57"/>
        <v>124.37885230193373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11.28875</v>
      </c>
      <c r="AI73" s="13">
        <f>IF('Données projet'!$A$62&gt;35,AI72+AH73-AQ72,IF(A73&lt;'Données projet'!$A$62,$AF$205^A73,IF(A73='Données projet'!$A$62,'Données projet'!$B$62,AI72+AH73-AQ72)))</f>
        <v>337.40125</v>
      </c>
      <c r="AJ73" s="13">
        <f>AI73*VLOOKUP('Données projet'!$B$10,Paramètres!$A$1:$I$89,3,0)*VLOOKUP('Données projet'!$B$10,Paramètres!$A$1:$I$89,5,0)</f>
        <v>305.28065099999998</v>
      </c>
      <c r="AK73" s="13">
        <f t="shared" si="89"/>
        <v>72.282364027590162</v>
      </c>
      <c r="AL73" s="20">
        <f t="shared" si="58"/>
        <v>657.58891783971956</v>
      </c>
      <c r="AM73" s="59">
        <f t="shared" si="59"/>
        <v>950.92225117305293</v>
      </c>
      <c r="AN73" s="59">
        <f ca="1">AVERAGE(OFFSET($AM$3,0,0,'Données projet'!$E$10+1,1))-AVERAGE(OFFSET($H$3,0,0,'Données projet'!$E$10+1,1))</f>
        <v>426.34811677569007</v>
      </c>
      <c r="AO73" s="59">
        <f t="shared" si="90"/>
        <v>209.65223938402107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82.357051515874772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82.357051515874772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11.28875</v>
      </c>
      <c r="BD73" s="12">
        <f>IF('Données projet'!$A$88&gt;35,BD72+BC73-BL72,IF(A73&lt;'Données projet'!$A$88,$BA$205^A73,IF(A73='Données projet'!$A$88,'Données projet'!$B$88,BD72+BC73-BL72)))</f>
        <v>337.40125</v>
      </c>
      <c r="BE73" s="13">
        <f>BD73*VLOOKUP('Données projet'!$B$11,Paramètres!$A$1:$I$89,3,0)*VLOOKUP('Données projet'!$B$11,Paramètres!$A$1:$I$89,5,0)</f>
        <v>342.12486749999999</v>
      </c>
      <c r="BF73" s="13">
        <f t="shared" si="91"/>
        <v>79.938798190391537</v>
      </c>
      <c r="BG73" s="20">
        <f t="shared" si="61"/>
        <v>735.0942177440985</v>
      </c>
      <c r="BH73" s="59">
        <f t="shared" si="62"/>
        <v>1028.4275510774319</v>
      </c>
      <c r="BI73" s="59">
        <f ca="1">AVERAGE(OFFSET($BH$3,0,0,'Données projet'!$E$11+1,1))-AVERAGE(OFFSET($H$3,0,0,'Données projet'!$E$11+1,1))</f>
        <v>485.01379841128346</v>
      </c>
      <c r="BJ73" s="59">
        <f t="shared" si="92"/>
        <v>238.25679915866897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92.296695664342394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92.296695664342394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">
        <f t="shared" si="86"/>
        <v>10.434396396340826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6">
        <f t="shared" si="56"/>
        <v>370.98623205696038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13.6</v>
      </c>
      <c r="N74" s="13">
        <f>IF('Données projet'!$A$36&gt;35,N73+M74-V73,IF(A74&lt;'Données projet'!$A$36,$K$205^A74,IF(A74='Données projet'!$A$36,'Données projet'!$B$36,N73+M74-V73)))</f>
        <v>712.60000000000025</v>
      </c>
      <c r="O74" s="13">
        <f>N74*VLOOKUP('Données projet'!$B$9,Paramètres!$A$1:$I$89,3,0)*VLOOKUP('Données projet'!$B$9,Paramètres!$A$1:$I$89,5,0)</f>
        <v>426.13480000000015</v>
      </c>
      <c r="P74" s="13">
        <f t="shared" si="87"/>
        <v>97.055420565620963</v>
      </c>
      <c r="Q74" s="20">
        <f t="shared" si="54"/>
        <v>911.22296748512326</v>
      </c>
      <c r="R74" s="59">
        <f t="shared" si="55"/>
        <v>1204.5563008184565</v>
      </c>
      <c r="S74" s="59">
        <f ca="1">AVERAGE(OFFSET($R$3,0,0,'Données projet'!$E$9+1,1))-AVERAGE(OFFSET($H$3,0,0,'Données projet'!$E$9+1,1))</f>
        <v>481.17250315093412</v>
      </c>
      <c r="T74" s="59">
        <f t="shared" si="88"/>
        <v>413.48123190206832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100.78204424600041</v>
      </c>
      <c r="AA74" s="21">
        <f>EXP(-LN(2)/25)*AA73+(1-EXP(-LN(2)/25))/(LN(2)/25)*Calculateur!V74*Calculateur!X74*VLOOKUP('Données projet'!$B$9,Paramètres!$A$1:$I$89,3,0)*0.475*44/12</f>
        <v>20.990871181587334</v>
      </c>
      <c r="AB74" s="21">
        <f>EXP(-LN(2)/2)*AB73+(1-EXP(-LN(2)/2))/(LN(2)/2)*V74*Y74*VLOOKUP('Données projet'!$B$9,Paramètres!$A$1:$I$89,3,0)*0.475*44/12</f>
        <v>5.2968312771385085E-8</v>
      </c>
      <c r="AC74" s="22">
        <f t="shared" si="57"/>
        <v>121.77291548055607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>
        <f>VLOOKUP(A74,'Données projet'!$A$61:$I$81,2,0)</f>
        <v>348.69</v>
      </c>
      <c r="AG74" s="12">
        <f>VLOOKUP(A74,'Données projet'!$A$61:$I$81,9,0)</f>
        <v>11.28875</v>
      </c>
      <c r="AH74" s="12">
        <f t="array" ref="AH74">INDEX(AG:AG,MIN(IF(ISNUMBER(AG74:AG270),ROW(AG74:AG270),"")))</f>
        <v>11.28875</v>
      </c>
      <c r="AI74" s="13">
        <f>IF('Données projet'!$A$62&gt;35,AI73+AH74-AQ73,IF(A74&lt;'Données projet'!$A$62,$AF$205^A74,IF(A74='Données projet'!$A$62,'Données projet'!$B$62,AI73+AH74-AQ73)))</f>
        <v>348.69</v>
      </c>
      <c r="AJ74" s="13">
        <f>AI74*VLOOKUP('Données projet'!$B$10,Paramètres!$A$1:$I$89,3,0)*VLOOKUP('Données projet'!$B$10,Paramètres!$A$1:$I$89,5,0)</f>
        <v>315.49471199999999</v>
      </c>
      <c r="AK74" s="13">
        <f t="shared" si="89"/>
        <v>74.415168706532612</v>
      </c>
      <c r="AL74" s="20">
        <f t="shared" si="58"/>
        <v>679.09304223054426</v>
      </c>
      <c r="AM74" s="59">
        <f t="shared" si="59"/>
        <v>972.42637556387763</v>
      </c>
      <c r="AN74" s="59">
        <f ca="1">AVERAGE(OFFSET($AM$3,0,0,'Données projet'!$E$10+1,1))-AVERAGE(OFFSET($H$3,0,0,'Données projet'!$E$10+1,1))</f>
        <v>426.34811677569007</v>
      </c>
      <c r="AO74" s="59">
        <f t="shared" si="90"/>
        <v>209.65223938402107</v>
      </c>
      <c r="AP74" s="15">
        <f>IF(ISNA(VLOOKUP(A74,'Données projet'!$A$61:$I$81,3,0)),0,VLOOKUP(A74,'Données projet'!$A$61:$I$81,3,0))</f>
        <v>6</v>
      </c>
      <c r="AQ74" s="15">
        <f>IF(ISNA(VLOOKUP(A74,'Données projet'!$A$61:$I$81,4,0)),0,VLOOKUP(A74,'Données projet'!$A$61:$I$81,4,0))</f>
        <v>52.07</v>
      </c>
      <c r="AR74" s="16">
        <f>IF(ISNA(VLOOKUP(A74,'Données projet'!$A$61:$I$81,5,0)),0%,VLOOKUP(A74,'Données projet'!$A$61:$I$81,5,0)*VLOOKUP('Données projet'!$B$10,Paramètres!$A$1:$I$89,7,0))</f>
        <v>0.43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103.13732072204741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103.13732072204741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>
        <f>VLOOKUP(A74,'Données projet'!$A$87:$I$107,2,0)</f>
        <v>348.69</v>
      </c>
      <c r="BB74" s="12">
        <f>VLOOKUP(A74,'Données projet'!$A$87:$I$107,9,0)</f>
        <v>11.28875</v>
      </c>
      <c r="BC74" s="12">
        <f t="array" ref="BC74">INDEX(BB:BB,MIN(IF(ISNUMBER(BB74:BB270),ROW(BB74:BB270),"")))</f>
        <v>11.28875</v>
      </c>
      <c r="BD74" s="12">
        <f>IF('Données projet'!$A$88&gt;35,BD73+BC74-BL73,IF(A74&lt;'Données projet'!$A$88,$BA$205^A74,IF(A74='Données projet'!$A$88,'Données projet'!$B$88,BD73+BC74-BL73)))</f>
        <v>348.69</v>
      </c>
      <c r="BE74" s="13">
        <f>BD74*VLOOKUP('Données projet'!$B$11,Paramètres!$A$1:$I$89,3,0)*VLOOKUP('Données projet'!$B$11,Paramètres!$A$1:$I$89,5,0)</f>
        <v>353.57166000000001</v>
      </c>
      <c r="BF74" s="13">
        <f t="shared" si="91"/>
        <v>82.297517984675324</v>
      </c>
      <c r="BG74" s="20">
        <f t="shared" si="61"/>
        <v>759.13881832330947</v>
      </c>
      <c r="BH74" s="59">
        <f t="shared" si="62"/>
        <v>1052.4721516566428</v>
      </c>
      <c r="BI74" s="59">
        <f ca="1">AVERAGE(OFFSET($BH$3,0,0,'Données projet'!$E$11+1,1))-AVERAGE(OFFSET($H$3,0,0,'Données projet'!$E$11+1,1))</f>
        <v>485.01379841128346</v>
      </c>
      <c r="BJ74" s="59">
        <f t="shared" si="92"/>
        <v>238.25679915866897</v>
      </c>
      <c r="BK74" s="15">
        <f>IF(ISNA(VLOOKUP(A74,'Données projet'!$A$87:$I$107,3,0)),0,VLOOKUP(A74,'Données projet'!$A$87:$I$107,3,0))</f>
        <v>6</v>
      </c>
      <c r="BL74" s="15">
        <f>IF(ISNA(VLOOKUP(A74,'Données projet'!$A$87:$I$107,4,0)),0,VLOOKUP(A74,'Données projet'!$A$87:$I$107,4,0))</f>
        <v>52.07</v>
      </c>
      <c r="BM74" s="16">
        <f>IF(ISNA(VLOOKUP(A74,'Données projet'!$A$87:$I$107,5,0)),0%,VLOOKUP(A74,'Données projet'!$A$87:$I$107,5,0)*VLOOKUP('Données projet'!$B$11,Paramètres!$A$1:$I$89,7,0))</f>
        <v>0.43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115.58492839539792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115.58492839539792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">
        <f t="shared" si="86"/>
        <v>10.564147302110412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6">
        <f t="shared" si="56"/>
        <v>372.04995655117574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13.6</v>
      </c>
      <c r="N75" s="13">
        <f>IF('Données projet'!$A$36&gt;35,N74+M75-V74,IF(A75&lt;'Données projet'!$A$36,$K$205^A75,IF(A75='Données projet'!$A$36,'Données projet'!$B$36,N74+M75-V74)))</f>
        <v>726.20000000000027</v>
      </c>
      <c r="O75" s="13">
        <f>N75*VLOOKUP('Données projet'!$B$9,Paramètres!$A$1:$I$89,3,0)*VLOOKUP('Données projet'!$B$9,Paramètres!$A$1:$I$89,5,0)</f>
        <v>434.26760000000019</v>
      </c>
      <c r="P75" s="13">
        <f t="shared" si="87"/>
        <v>98.690313543876655</v>
      </c>
      <c r="Q75" s="20">
        <f t="shared" si="54"/>
        <v>928.23503275558551</v>
      </c>
      <c r="R75" s="59">
        <f t="shared" si="55"/>
        <v>1221.5683660889188</v>
      </c>
      <c r="S75" s="59">
        <f ca="1">AVERAGE(OFFSET($R$3,0,0,'Données projet'!$E$9+1,1))-AVERAGE(OFFSET($H$3,0,0,'Données projet'!$E$9+1,1))</f>
        <v>481.17250315093412</v>
      </c>
      <c r="T75" s="59">
        <f t="shared" si="88"/>
        <v>413.48123190206832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98.805769829313576</v>
      </c>
      <c r="AA75" s="21">
        <f>EXP(-LN(2)/25)*AA74+(1-EXP(-LN(2)/25))/(LN(2)/25)*Calculateur!V75*Calculateur!X75*VLOOKUP('Données projet'!$B$9,Paramètres!$A$1:$I$89,3,0)*0.475*44/12</f>
        <v>20.416874705264888</v>
      </c>
      <c r="AB75" s="21">
        <f>EXP(-LN(2)/2)*AB74+(1-EXP(-LN(2)/2))/(LN(2)/2)*V75*Y75*VLOOKUP('Données projet'!$B$9,Paramètres!$A$1:$I$89,3,0)*0.475*44/12</f>
        <v>3.7454253148656403E-8</v>
      </c>
      <c r="AC75" s="22">
        <f t="shared" si="57"/>
        <v>119.22264457203272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11.009999999999998</v>
      </c>
      <c r="AI75" s="13">
        <f>IF('Données projet'!$A$62&gt;35,AI74+AH75-AQ74,IF(A75&lt;'Données projet'!$A$62,$AF$205^A75,IF(A75='Données projet'!$A$62,'Données projet'!$B$62,AI74+AH75-AQ74)))</f>
        <v>307.63</v>
      </c>
      <c r="AJ75" s="13">
        <f>AI75*VLOOKUP('Données projet'!$B$10,Paramètres!$A$1:$I$89,3,0)*VLOOKUP('Données projet'!$B$10,Paramètres!$A$1:$I$89,5,0)</f>
        <v>278.34362399999998</v>
      </c>
      <c r="AK75" s="13">
        <f t="shared" si="89"/>
        <v>66.616848235919136</v>
      </c>
      <c r="AL75" s="20">
        <f t="shared" si="58"/>
        <v>600.80615581089239</v>
      </c>
      <c r="AM75" s="59">
        <f t="shared" si="59"/>
        <v>894.13948914422576</v>
      </c>
      <c r="AN75" s="59">
        <f ca="1">AVERAGE(OFFSET($AM$3,0,0,'Données projet'!$E$10+1,1))-AVERAGE(OFFSET($H$3,0,0,'Données projet'!$E$10+1,1))</f>
        <v>426.34811677569007</v>
      </c>
      <c r="AO75" s="59">
        <f t="shared" si="90"/>
        <v>209.65223938402107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101.11486077024209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101.11486077024209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11.009999999999998</v>
      </c>
      <c r="BD75" s="12">
        <f>IF('Données projet'!$A$88&gt;35,BD74+BC75-BL74,IF(A75&lt;'Données projet'!$A$88,$BA$205^A75,IF(A75='Données projet'!$A$88,'Données projet'!$B$88,BD74+BC75-BL74)))</f>
        <v>307.63</v>
      </c>
      <c r="BE75" s="13">
        <f>BD75*VLOOKUP('Données projet'!$B$11,Paramètres!$A$1:$I$89,3,0)*VLOOKUP('Données projet'!$B$11,Paramètres!$A$1:$I$89,5,0)</f>
        <v>311.93682000000001</v>
      </c>
      <c r="BF75" s="13">
        <f t="shared" si="91"/>
        <v>73.673168536358688</v>
      </c>
      <c r="BG75" s="20">
        <f t="shared" si="61"/>
        <v>671.60406336749145</v>
      </c>
      <c r="BH75" s="59">
        <f t="shared" si="62"/>
        <v>964.93739670082482</v>
      </c>
      <c r="BI75" s="59">
        <f ca="1">AVERAGE(OFFSET($BH$3,0,0,'Données projet'!$E$11+1,1))-AVERAGE(OFFSET($H$3,0,0,'Données projet'!$E$11+1,1))</f>
        <v>485.01379841128346</v>
      </c>
      <c r="BJ75" s="59">
        <f t="shared" si="92"/>
        <v>238.25679915866897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113.31837844940921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113.31837844940921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">
        <f t="shared" si="86"/>
        <v>10.693688606258034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6">
        <f t="shared" si="56"/>
        <v>373.11331598923283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13.6</v>
      </c>
      <c r="N76" s="13">
        <f>IF('Données projet'!$A$36&gt;35,N75+M76-V75,IF(A76&lt;'Données projet'!$A$36,$K$205^A76,IF(A76='Données projet'!$A$36,'Données projet'!$B$36,N75+M76-V75)))</f>
        <v>739.8000000000003</v>
      </c>
      <c r="O76" s="13">
        <f>N76*VLOOKUP('Données projet'!$B$9,Paramètres!$A$1:$I$89,3,0)*VLOOKUP('Données projet'!$B$9,Paramètres!$A$1:$I$89,5,0)</f>
        <v>442.40040000000022</v>
      </c>
      <c r="P76" s="13">
        <f t="shared" si="87"/>
        <v>100.32164628817654</v>
      </c>
      <c r="Q76" s="20">
        <f t="shared" si="54"/>
        <v>945.2408972852412</v>
      </c>
      <c r="R76" s="59">
        <f t="shared" si="55"/>
        <v>1238.5742306185746</v>
      </c>
      <c r="S76" s="59">
        <f ca="1">AVERAGE(OFFSET($R$3,0,0,'Données projet'!$E$9+1,1))-AVERAGE(OFFSET($H$3,0,0,'Données projet'!$E$9+1,1))</f>
        <v>481.17250315093412</v>
      </c>
      <c r="T76" s="59">
        <f t="shared" si="88"/>
        <v>413.48123190206832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96.868248948529597</v>
      </c>
      <c r="AA76" s="21">
        <f>EXP(-LN(2)/25)*AA75+(1-EXP(-LN(2)/25))/(LN(2)/25)*Calculateur!V76*Calculateur!X76*VLOOKUP('Données projet'!$B$9,Paramètres!$A$1:$I$89,3,0)*0.475*44/12</f>
        <v>19.858574192772643</v>
      </c>
      <c r="AB76" s="21">
        <f>EXP(-LN(2)/2)*AB75+(1-EXP(-LN(2)/2))/(LN(2)/2)*V76*Y76*VLOOKUP('Données projet'!$B$9,Paramètres!$A$1:$I$89,3,0)*0.475*44/12</f>
        <v>2.6484156385692542E-8</v>
      </c>
      <c r="AC76" s="22">
        <f t="shared" si="57"/>
        <v>116.72682316778641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11.009999999999998</v>
      </c>
      <c r="AI76" s="13">
        <f>IF('Données projet'!$A$62&gt;35,AI75+AH76-AQ75,IF(A76&lt;'Données projet'!$A$62,$AF$205^A76,IF(A76='Données projet'!$A$62,'Données projet'!$B$62,AI75+AH76-AQ75)))</f>
        <v>318.64</v>
      </c>
      <c r="AJ76" s="13">
        <f>AI76*VLOOKUP('Données projet'!$B$10,Paramètres!$A$1:$I$89,3,0)*VLOOKUP('Données projet'!$B$10,Paramètres!$A$1:$I$89,5,0)</f>
        <v>288.30547200000001</v>
      </c>
      <c r="AK76" s="13">
        <f t="shared" si="89"/>
        <v>68.719196733788849</v>
      </c>
      <c r="AL76" s="20">
        <f t="shared" si="58"/>
        <v>621.81796471134885</v>
      </c>
      <c r="AM76" s="59">
        <f t="shared" si="59"/>
        <v>915.15129804468211</v>
      </c>
      <c r="AN76" s="59">
        <f ca="1">AVERAGE(OFFSET($AM$3,0,0,'Données projet'!$E$10+1,1))-AVERAGE(OFFSET($H$3,0,0,'Données projet'!$E$10+1,1))</f>
        <v>426.34811677569007</v>
      </c>
      <c r="AO76" s="59">
        <f t="shared" si="90"/>
        <v>209.65223938402107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99.13206002451291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99.13206002451291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11.009999999999998</v>
      </c>
      <c r="BD76" s="12">
        <f>IF('Données projet'!$A$88&gt;35,BD75+BC76-BL75,IF(A76&lt;'Données projet'!$A$88,$BA$205^A76,IF(A76='Données projet'!$A$88,'Données projet'!$B$88,BD75+BC76-BL75)))</f>
        <v>318.64</v>
      </c>
      <c r="BE76" s="13">
        <f>BD76*VLOOKUP('Données projet'!$B$11,Paramètres!$A$1:$I$89,3,0)*VLOOKUP('Données projet'!$B$11,Paramètres!$A$1:$I$89,5,0)</f>
        <v>323.10095999999999</v>
      </c>
      <c r="BF76" s="13">
        <f t="shared" si="91"/>
        <v>75.998206110294873</v>
      </c>
      <c r="BG76" s="20">
        <f t="shared" si="61"/>
        <v>695.09771430876344</v>
      </c>
      <c r="BH76" s="59">
        <f t="shared" si="62"/>
        <v>988.4310476420967</v>
      </c>
      <c r="BI76" s="59">
        <f ca="1">AVERAGE(OFFSET($BH$3,0,0,'Données projet'!$E$11+1,1))-AVERAGE(OFFSET($H$3,0,0,'Données projet'!$E$11+1,1))</f>
        <v>485.01379841128346</v>
      </c>
      <c r="BJ76" s="59">
        <f t="shared" si="92"/>
        <v>238.25679915866897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111.09627416540238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111.09627416540238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">
        <f t="shared" si="86"/>
        <v>10.823023511900249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6">
        <f t="shared" si="56"/>
        <v>374.17631594989302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13.6</v>
      </c>
      <c r="N77" s="13">
        <f>IF('Données projet'!$A$36&gt;35,N76+M77-V76,IF(A77&lt;'Données projet'!$A$36,$K$205^A77,IF(A77='Données projet'!$A$36,'Données projet'!$B$36,N76+M77-V76)))</f>
        <v>753.40000000000032</v>
      </c>
      <c r="O77" s="13">
        <f>N77*VLOOKUP('Données projet'!$B$9,Paramètres!$A$1:$I$89,3,0)*VLOOKUP('Données projet'!$B$9,Paramètres!$A$1:$I$89,5,0)</f>
        <v>450.53320000000019</v>
      </c>
      <c r="P77" s="13">
        <f t="shared" si="87"/>
        <v>101.94949179597376</v>
      </c>
      <c r="Q77" s="20">
        <f t="shared" si="54"/>
        <v>962.24068821132141</v>
      </c>
      <c r="R77" s="59">
        <f t="shared" si="55"/>
        <v>1255.5740215446547</v>
      </c>
      <c r="S77" s="59">
        <f ca="1">AVERAGE(OFFSET($R$3,0,0,'Données projet'!$E$9+1,1))-AVERAGE(OFFSET($H$3,0,0,'Données projet'!$E$9+1,1))</f>
        <v>481.17250315093412</v>
      </c>
      <c r="T77" s="59">
        <f t="shared" si="88"/>
        <v>413.48123190206832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94.968721670446755</v>
      </c>
      <c r="AA77" s="21">
        <f>EXP(-LN(2)/25)*AA76+(1-EXP(-LN(2)/25))/(LN(2)/25)*Calculateur!V77*Calculateur!X77*VLOOKUP('Données projet'!$B$9,Paramètres!$A$1:$I$89,3,0)*0.475*44/12</f>
        <v>19.315540437154247</v>
      </c>
      <c r="AB77" s="21">
        <f>EXP(-LN(2)/2)*AB76+(1-EXP(-LN(2)/2))/(LN(2)/2)*V77*Y77*VLOOKUP('Données projet'!$B$9,Paramètres!$A$1:$I$89,3,0)*0.475*44/12</f>
        <v>1.8727126574328202E-8</v>
      </c>
      <c r="AC77" s="22">
        <f t="shared" si="57"/>
        <v>114.28426212632812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11.009999999999998</v>
      </c>
      <c r="AI77" s="13">
        <f>IF('Données projet'!$A$62&gt;35,AI76+AH77-AQ76,IF(A77&lt;'Données projet'!$A$62,$AF$205^A77,IF(A77='Données projet'!$A$62,'Données projet'!$B$62,AI76+AH77-AQ76)))</f>
        <v>329.65</v>
      </c>
      <c r="AJ77" s="13">
        <f>AI77*VLOOKUP('Données projet'!$B$10,Paramètres!$A$1:$I$89,3,0)*VLOOKUP('Données projet'!$B$10,Paramètres!$A$1:$I$89,5,0)</f>
        <v>298.26731999999998</v>
      </c>
      <c r="AK77" s="13">
        <f t="shared" si="89"/>
        <v>70.813104833271197</v>
      </c>
      <c r="AL77" s="20">
        <f t="shared" si="58"/>
        <v>642.81507325128075</v>
      </c>
      <c r="AM77" s="59">
        <f t="shared" si="59"/>
        <v>936.14840658461412</v>
      </c>
      <c r="AN77" s="59">
        <f ca="1">AVERAGE(OFFSET($AM$3,0,0,'Données projet'!$E$10+1,1))-AVERAGE(OFFSET($H$3,0,0,'Données projet'!$E$10+1,1))</f>
        <v>426.34811677569007</v>
      </c>
      <c r="AO77" s="59">
        <f t="shared" si="90"/>
        <v>209.65223938402107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97.188140792018444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97.188140792018444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11.009999999999998</v>
      </c>
      <c r="BD77" s="12">
        <f>IF('Données projet'!$A$88&gt;35,BD76+BC77-BL76,IF(A77&lt;'Données projet'!$A$88,$BA$205^A77,IF(A77='Données projet'!$A$88,'Données projet'!$B$88,BD76+BC77-BL76)))</f>
        <v>329.65</v>
      </c>
      <c r="BE77" s="13">
        <f>BD77*VLOOKUP('Données projet'!$B$11,Paramètres!$A$1:$I$89,3,0)*VLOOKUP('Données projet'!$B$11,Paramètres!$A$1:$I$89,5,0)</f>
        <v>334.26509999999996</v>
      </c>
      <c r="BF77" s="13">
        <f t="shared" si="91"/>
        <v>78.313909245431049</v>
      </c>
      <c r="BG77" s="20">
        <f t="shared" si="61"/>
        <v>718.57510776912568</v>
      </c>
      <c r="BH77" s="59">
        <f t="shared" si="62"/>
        <v>1011.9084411024589</v>
      </c>
      <c r="BI77" s="59">
        <f ca="1">AVERAGE(OFFSET($BH$3,0,0,'Données projet'!$E$11+1,1))-AVERAGE(OFFSET($H$3,0,0,'Données projet'!$E$11+1,1))</f>
        <v>485.01379841128346</v>
      </c>
      <c r="BJ77" s="59">
        <f t="shared" si="92"/>
        <v>238.25679915866897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108.91774399105513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108.91774399105513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">
        <f t="shared" si="86"/>
        <v>10.952155130608178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6">
        <f t="shared" si="56"/>
        <v>375.238961852476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767</v>
      </c>
      <c r="L78" s="12">
        <f>VLOOKUP(A78,'Données projet'!$A$35:$I$55,9,0)</f>
        <v>13.6</v>
      </c>
      <c r="M78" s="12">
        <f t="array" ref="M78">INDEX(L:L,MIN(IF(ISNUMBER(L78:L274),ROW(L78:L274),"")))</f>
        <v>13.6</v>
      </c>
      <c r="N78" s="13">
        <f>IF('Données projet'!$A$36&gt;35,N77+M78-V77,IF(A78&lt;'Données projet'!$A$36,$K$205^A78,IF(A78='Données projet'!$A$36,'Données projet'!$B$36,N77+M78-V77)))</f>
        <v>767.00000000000034</v>
      </c>
      <c r="O78" s="13">
        <f>N78*VLOOKUP('Données projet'!$B$9,Paramètres!$A$1:$I$89,3,0)*VLOOKUP('Données projet'!$B$9,Paramètres!$A$1:$I$89,5,0)</f>
        <v>458.66600000000022</v>
      </c>
      <c r="P78" s="13">
        <f t="shared" si="87"/>
        <v>103.57392027838762</v>
      </c>
      <c r="Q78" s="20">
        <f t="shared" si="54"/>
        <v>979.23452781819208</v>
      </c>
      <c r="R78" s="59">
        <f t="shared" si="55"/>
        <v>1272.5678611515254</v>
      </c>
      <c r="S78" s="59">
        <f ca="1">AVERAGE(OFFSET($R$3,0,0,'Données projet'!$E$9+1,1))-AVERAGE(OFFSET($H$3,0,0,'Données projet'!$E$9+1,1))</f>
        <v>481.17250315093412</v>
      </c>
      <c r="T78" s="59">
        <f t="shared" si="88"/>
        <v>413.48123190206832</v>
      </c>
      <c r="U78" s="15">
        <f>IF(ISNA(VLOOKUP(A78,'Données projet'!$A$35:$I$55,3,0)),0,VLOOKUP(A78,'Données projet'!$A$35:$I$55,3,0))</f>
        <v>13</v>
      </c>
      <c r="V78" s="15">
        <f>IF(ISNA(VLOOKUP(A78,'Données projet'!$A$35:$I$55,4,0)),0,VLOOKUP(A78,'Données projet'!$A$35:$I$55,4,0))</f>
        <v>33</v>
      </c>
      <c r="W78" s="16">
        <f>IF(ISNA(VLOOKUP(A78,'Données projet'!$A$35:$I$55,5,0)),0%,VLOOKUP(A78,'Données projet'!$A$35:$I$55,5,0)*VLOOKUP('Données projet'!$B$9,Paramètres!$A$1:$I$89,7,0))</f>
        <v>0.45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104.88673329732963</v>
      </c>
      <c r="AA78" s="21">
        <f>EXP(-LN(2)/25)*AA77+(1-EXP(-LN(2)/25))/(LN(2)/25)*Calculateur!V78*Calculateur!X78*VLOOKUP('Données projet'!$B$9,Paramètres!$A$1:$I$89,3,0)*0.475*44/12</f>
        <v>18.78735596814014</v>
      </c>
      <c r="AB78" s="21">
        <f>EXP(-LN(2)/2)*AB77+(1-EXP(-LN(2)/2))/(LN(2)/2)*V78*Y78*VLOOKUP('Données projet'!$B$9,Paramètres!$A$1:$I$89,3,0)*0.475*44/12</f>
        <v>1.3242078192846271E-8</v>
      </c>
      <c r="AC78" s="22">
        <f t="shared" si="57"/>
        <v>123.67408927871185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11.009999999999998</v>
      </c>
      <c r="AI78" s="13">
        <f>IF('Données projet'!$A$62&gt;35,AI77+AH78-AQ77,IF(A78&lt;'Données projet'!$A$62,$AF$205^A78,IF(A78='Données projet'!$A$62,'Données projet'!$B$62,AI77+AH78-AQ77)))</f>
        <v>340.65999999999997</v>
      </c>
      <c r="AJ78" s="13">
        <f>AI78*VLOOKUP('Données projet'!$B$10,Paramètres!$A$1:$I$89,3,0)*VLOOKUP('Données projet'!$B$10,Paramètres!$A$1:$I$89,5,0)</f>
        <v>308.22916799999996</v>
      </c>
      <c r="AK78" s="13">
        <f t="shared" si="89"/>
        <v>72.898886756758046</v>
      </c>
      <c r="AL78" s="20">
        <f t="shared" si="58"/>
        <v>663.79802870135347</v>
      </c>
      <c r="AM78" s="59">
        <f t="shared" si="59"/>
        <v>957.13136203468684</v>
      </c>
      <c r="AN78" s="59">
        <f ca="1">AVERAGE(OFFSET($AM$3,0,0,'Données projet'!$E$10+1,1))-AVERAGE(OFFSET($H$3,0,0,'Données projet'!$E$10+1,1))</f>
        <v>426.34811677569007</v>
      </c>
      <c r="AO78" s="59">
        <f t="shared" si="90"/>
        <v>209.65223938402107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95.282340629999538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95.282340629999538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11.009999999999998</v>
      </c>
      <c r="BD78" s="12">
        <f>IF('Données projet'!$A$88&gt;35,BD77+BC78-BL77,IF(A78&lt;'Données projet'!$A$88,$BA$205^A78,IF(A78='Données projet'!$A$88,'Données projet'!$B$88,BD77+BC78-BL77)))</f>
        <v>340.65999999999997</v>
      </c>
      <c r="BE78" s="13">
        <f>BD78*VLOOKUP('Données projet'!$B$11,Paramètres!$A$1:$I$89,3,0)*VLOOKUP('Données projet'!$B$11,Paramètres!$A$1:$I$89,5,0)</f>
        <v>345.42923999999999</v>
      </c>
      <c r="BF78" s="13">
        <f t="shared" si="91"/>
        <v>80.620625447838862</v>
      </c>
      <c r="BG78" s="20">
        <f t="shared" si="61"/>
        <v>742.03684898831932</v>
      </c>
      <c r="BH78" s="59">
        <f t="shared" si="62"/>
        <v>1035.3701823216527</v>
      </c>
      <c r="BI78" s="59">
        <f ca="1">AVERAGE(OFFSET($BH$3,0,0,'Données projet'!$E$11+1,1))-AVERAGE(OFFSET($H$3,0,0,'Données projet'!$E$11+1,1))</f>
        <v>485.01379841128346</v>
      </c>
      <c r="BJ78" s="59">
        <f t="shared" si="92"/>
        <v>238.25679915866897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106.78193346465464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106.78193346465464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">
        <f t="shared" si="86"/>
        <v>11.081086486208905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6">
        <f t="shared" si="56"/>
        <v>376.30125896348062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12.2</v>
      </c>
      <c r="N79" s="13">
        <f>IF('Données projet'!$A$36&gt;35,N78+M79-V78,IF(A79&lt;'Données projet'!$A$36,$K$205^A79,IF(A79='Données projet'!$A$36,'Données projet'!$B$36,N78+M79-V78)))</f>
        <v>746.20000000000039</v>
      </c>
      <c r="O79" s="13">
        <f>N79*VLOOKUP('Données projet'!$B$9,Paramètres!$A$1:$I$89,3,0)*VLOOKUP('Données projet'!$B$9,Paramètres!$A$1:$I$89,5,0)</f>
        <v>446.22760000000022</v>
      </c>
      <c r="P79" s="13">
        <f t="shared" si="87"/>
        <v>101.08812127877644</v>
      </c>
      <c r="Q79" s="20">
        <f t="shared" si="54"/>
        <v>953.24154789386921</v>
      </c>
      <c r="R79" s="59">
        <f t="shared" si="55"/>
        <v>1246.5748812272025</v>
      </c>
      <c r="S79" s="59">
        <f ca="1">AVERAGE(OFFSET($R$3,0,0,'Données projet'!$E$9+1,1))-AVERAGE(OFFSET($H$3,0,0,'Données projet'!$E$9+1,1))</f>
        <v>481.17250315093412</v>
      </c>
      <c r="T79" s="59">
        <f t="shared" si="88"/>
        <v>413.48123190206832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102.82996843195934</v>
      </c>
      <c r="AA79" s="21">
        <f>EXP(-LN(2)/25)*AA78+(1-EXP(-LN(2)/25))/(LN(2)/25)*Calculateur!V79*Calculateur!X79*VLOOKUP('Données projet'!$B$9,Paramètres!$A$1:$I$89,3,0)*0.475*44/12</f>
        <v>18.273614731207235</v>
      </c>
      <c r="AB79" s="21">
        <f>EXP(-LN(2)/2)*AB78+(1-EXP(-LN(2)/2))/(LN(2)/2)*V79*Y79*VLOOKUP('Données projet'!$B$9,Paramètres!$A$1:$I$89,3,0)*0.475*44/12</f>
        <v>9.3635632871641009E-9</v>
      </c>
      <c r="AC79" s="22">
        <f t="shared" si="57"/>
        <v>121.10358317253014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11.009999999999998</v>
      </c>
      <c r="AI79" s="13">
        <f>IF('Données projet'!$A$62&gt;35,AI78+AH79-AQ78,IF(A79&lt;'Données projet'!$A$62,$AF$205^A79,IF(A79='Données projet'!$A$62,'Données projet'!$B$62,AI78+AH79-AQ78)))</f>
        <v>351.66999999999996</v>
      </c>
      <c r="AJ79" s="13">
        <f>AI79*VLOOKUP('Données projet'!$B$10,Paramètres!$A$1:$I$89,3,0)*VLOOKUP('Données projet'!$B$10,Paramètres!$A$1:$I$89,5,0)</f>
        <v>318.19101599999993</v>
      </c>
      <c r="AK79" s="13">
        <f t="shared" si="89"/>
        <v>74.976835262469947</v>
      </c>
      <c r="AL79" s="20">
        <f t="shared" si="58"/>
        <v>684.76734094880157</v>
      </c>
      <c r="AM79" s="59">
        <f t="shared" si="59"/>
        <v>978.10067428213483</v>
      </c>
      <c r="AN79" s="59">
        <f ca="1">AVERAGE(OFFSET($AM$3,0,0,'Données projet'!$E$10+1,1))-AVERAGE(OFFSET($H$3,0,0,'Données projet'!$E$10+1,1))</f>
        <v>426.34811677569007</v>
      </c>
      <c r="AO79" s="59">
        <f t="shared" si="90"/>
        <v>209.65223938402107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93.413912046734509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93.413912046734509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11.009999999999998</v>
      </c>
      <c r="BD79" s="12">
        <f>IF('Données projet'!$A$88&gt;35,BD78+BC79-BL78,IF(A79&lt;'Données projet'!$A$88,$BA$205^A79,IF(A79='Données projet'!$A$88,'Données projet'!$B$88,BD78+BC79-BL78)))</f>
        <v>351.66999999999996</v>
      </c>
      <c r="BE79" s="13">
        <f>BD79*VLOOKUP('Données projet'!$B$11,Paramètres!$A$1:$I$89,3,0)*VLOOKUP('Données projet'!$B$11,Paramètres!$A$1:$I$89,5,0)</f>
        <v>356.59337999999997</v>
      </c>
      <c r="BF79" s="13">
        <f t="shared" si="91"/>
        <v>82.918678485848602</v>
      </c>
      <c r="BG79" s="20">
        <f t="shared" si="61"/>
        <v>765.4835018628529</v>
      </c>
      <c r="BH79" s="59">
        <f t="shared" si="62"/>
        <v>1058.8168351961863</v>
      </c>
      <c r="BI79" s="59">
        <f ca="1">AVERAGE(OFFSET($BH$3,0,0,'Données projet'!$E$11+1,1))-AVERAGE(OFFSET($H$3,0,0,'Données projet'!$E$11+1,1))</f>
        <v>485.01379841128346</v>
      </c>
      <c r="BJ79" s="59">
        <f t="shared" si="92"/>
        <v>238.25679915866897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104.68800487996107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104.68800487996107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">
        <f t="shared" si="86"/>
        <v>11.209820518381111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6">
        <f t="shared" si="56"/>
        <v>377.36321240284718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12.2</v>
      </c>
      <c r="N80" s="13">
        <f>IF('Données projet'!$A$36&gt;35,N79+M80-V79,IF(A80&lt;'Données projet'!$A$36,$K$205^A80,IF(A80='Données projet'!$A$36,'Données projet'!$B$36,N79+M80-V79)))</f>
        <v>758.40000000000043</v>
      </c>
      <c r="O80" s="13">
        <f>N80*VLOOKUP('Données projet'!$B$9,Paramètres!$A$1:$I$89,3,0)*VLOOKUP('Données projet'!$B$9,Paramètres!$A$1:$I$89,5,0)</f>
        <v>453.52320000000026</v>
      </c>
      <c r="P80" s="13">
        <f t="shared" si="87"/>
        <v>102.54710171287262</v>
      </c>
      <c r="Q80" s="20">
        <f t="shared" si="54"/>
        <v>968.48910881658685</v>
      </c>
      <c r="R80" s="59">
        <f t="shared" si="55"/>
        <v>1261.8224421499201</v>
      </c>
      <c r="S80" s="59">
        <f ca="1">AVERAGE(OFFSET($R$3,0,0,'Données projet'!$E$9+1,1))-AVERAGE(OFFSET($H$3,0,0,'Données projet'!$E$9+1,1))</f>
        <v>481.17250315093412</v>
      </c>
      <c r="T80" s="59">
        <f t="shared" si="88"/>
        <v>413.48123190206832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100.81353547109627</v>
      </c>
      <c r="AA80" s="21">
        <f>EXP(-LN(2)/25)*AA79+(1-EXP(-LN(2)/25))/(LN(2)/25)*Calculateur!V80*Calculateur!X80*VLOOKUP('Données projet'!$B$9,Paramètres!$A$1:$I$89,3,0)*0.475*44/12</f>
        <v>17.773921775414738</v>
      </c>
      <c r="AB80" s="21">
        <f>EXP(-LN(2)/2)*AB79+(1-EXP(-LN(2)/2))/(LN(2)/2)*V80*Y80*VLOOKUP('Données projet'!$B$9,Paramètres!$A$1:$I$89,3,0)*0.475*44/12</f>
        <v>6.6210390964231356E-9</v>
      </c>
      <c r="AC80" s="22">
        <f t="shared" si="57"/>
        <v>118.58745725313204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11.009999999999998</v>
      </c>
      <c r="AI80" s="13">
        <f>IF('Données projet'!$A$62&gt;35,AI79+AH80-AQ79,IF(A80&lt;'Données projet'!$A$62,$AF$205^A80,IF(A80='Données projet'!$A$62,'Données projet'!$B$62,AI79+AH80-AQ79)))</f>
        <v>362.67999999999995</v>
      </c>
      <c r="AJ80" s="13">
        <f>AI80*VLOOKUP('Données projet'!$B$10,Paramètres!$A$1:$I$89,3,0)*VLOOKUP('Données projet'!$B$10,Paramètres!$A$1:$I$89,5,0)</f>
        <v>328.15286399999997</v>
      </c>
      <c r="AK80" s="13">
        <f t="shared" si="89"/>
        <v>77.047223736242103</v>
      </c>
      <c r="AL80" s="20">
        <f t="shared" si="58"/>
        <v>705.7234861406215</v>
      </c>
      <c r="AM80" s="59">
        <f t="shared" si="59"/>
        <v>999.05681947395487</v>
      </c>
      <c r="AN80" s="59">
        <f ca="1">AVERAGE(OFFSET($AM$3,0,0,'Données projet'!$E$10+1,1))-AVERAGE(OFFSET($H$3,0,0,'Données projet'!$E$10+1,1))</f>
        <v>426.34811677569007</v>
      </c>
      <c r="AO80" s="59">
        <f t="shared" si="90"/>
        <v>209.65223938402107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91.582122208358399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91.582122208358399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11.009999999999998</v>
      </c>
      <c r="BD80" s="12">
        <f>IF('Données projet'!$A$88&gt;35,BD79+BC80-BL79,IF(A80&lt;'Données projet'!$A$88,$BA$205^A80,IF(A80='Données projet'!$A$88,'Données projet'!$B$88,BD79+BC80-BL79)))</f>
        <v>362.67999999999995</v>
      </c>
      <c r="BE80" s="13">
        <f>BD80*VLOOKUP('Données projet'!$B$11,Paramètres!$A$1:$I$89,3,0)*VLOOKUP('Données projet'!$B$11,Paramètres!$A$1:$I$89,5,0)</f>
        <v>367.75751999999994</v>
      </c>
      <c r="BF80" s="13">
        <f t="shared" si="91"/>
        <v>85.208370703405464</v>
      </c>
      <c r="BG80" s="20">
        <f t="shared" si="61"/>
        <v>788.91559297509775</v>
      </c>
      <c r="BH80" s="59">
        <f t="shared" si="62"/>
        <v>1082.248926308431</v>
      </c>
      <c r="BI80" s="59">
        <f ca="1">AVERAGE(OFFSET($BH$3,0,0,'Données projet'!$E$11+1,1))-AVERAGE(OFFSET($H$3,0,0,'Données projet'!$E$11+1,1))</f>
        <v>485.01379841128346</v>
      </c>
      <c r="BJ80" s="59">
        <f t="shared" si="92"/>
        <v>238.25679915866897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102.63513695764301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102.63513695764301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">
        <f t="shared" si="86"/>
        <v>11.338360086058589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6">
        <f t="shared" si="56"/>
        <v>378.42482714988546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12.2</v>
      </c>
      <c r="N81" s="13">
        <f>IF('Données projet'!$A$36&gt;35,N80+M81-V80,IF(A81&lt;'Données projet'!$A$36,$K$205^A81,IF(A81='Données projet'!$A$36,'Données projet'!$B$36,N80+M81-V80)))</f>
        <v>770.60000000000048</v>
      </c>
      <c r="O81" s="13">
        <f>N81*VLOOKUP('Données projet'!$B$9,Paramètres!$A$1:$I$89,3,0)*VLOOKUP('Données projet'!$B$9,Paramètres!$A$1:$I$89,5,0)</f>
        <v>460.81880000000029</v>
      </c>
      <c r="P81" s="13">
        <f t="shared" si="87"/>
        <v>104.00335268391156</v>
      </c>
      <c r="Q81" s="20">
        <f t="shared" si="54"/>
        <v>983.73191592447984</v>
      </c>
      <c r="R81" s="59">
        <f t="shared" si="55"/>
        <v>1277.0652492578131</v>
      </c>
      <c r="S81" s="59">
        <f ca="1">AVERAGE(OFFSET($R$3,0,0,'Données projet'!$E$9+1,1))-AVERAGE(OFFSET($H$3,0,0,'Données projet'!$E$9+1,1))</f>
        <v>481.17250315093412</v>
      </c>
      <c r="T81" s="59">
        <f t="shared" si="88"/>
        <v>413.48123190206832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98.836643530693067</v>
      </c>
      <c r="AA81" s="21">
        <f>EXP(-LN(2)/25)*AA80+(1-EXP(-LN(2)/25))/(LN(2)/25)*Calculateur!V81*Calculateur!X81*VLOOKUP('Données projet'!$B$9,Paramètres!$A$1:$I$89,3,0)*0.475*44/12</f>
        <v>17.287892949776101</v>
      </c>
      <c r="AB81" s="21">
        <f>EXP(-LN(2)/2)*AB80+(1-EXP(-LN(2)/2))/(LN(2)/2)*V81*Y81*VLOOKUP('Données projet'!$B$9,Paramètres!$A$1:$I$89,3,0)*0.475*44/12</f>
        <v>4.6817816435820504E-9</v>
      </c>
      <c r="AC81" s="22">
        <f t="shared" si="57"/>
        <v>116.12453648515095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11.009999999999998</v>
      </c>
      <c r="AI81" s="13">
        <f>IF('Données projet'!$A$62&gt;35,AI80+AH81-AQ80,IF(A81&lt;'Données projet'!$A$62,$AF$205^A81,IF(A81='Données projet'!$A$62,'Données projet'!$B$62,AI80+AH81-AQ80)))</f>
        <v>373.68999999999994</v>
      </c>
      <c r="AJ81" s="13">
        <f>AI81*VLOOKUP('Données projet'!$B$10,Paramètres!$A$1:$I$89,3,0)*VLOOKUP('Données projet'!$B$10,Paramètres!$A$1:$I$89,5,0)</f>
        <v>338.11471199999994</v>
      </c>
      <c r="AK81" s="13">
        <f t="shared" si="89"/>
        <v>79.110308022170997</v>
      </c>
      <c r="AL81" s="20">
        <f t="shared" si="58"/>
        <v>726.66690987194772</v>
      </c>
      <c r="AM81" s="59">
        <f t="shared" si="59"/>
        <v>1020.0002432052811</v>
      </c>
      <c r="AN81" s="59">
        <f ca="1">AVERAGE(OFFSET($AM$3,0,0,'Données projet'!$E$10+1,1))-AVERAGE(OFFSET($H$3,0,0,'Données projet'!$E$10+1,1))</f>
        <v>426.34811677569007</v>
      </c>
      <c r="AO81" s="59">
        <f t="shared" si="90"/>
        <v>209.65223938402107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89.786252651431369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89.786252651431369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11.009999999999998</v>
      </c>
      <c r="BD81" s="12">
        <f>IF('Données projet'!$A$88&gt;35,BD80+BC81-BL80,IF(A81&lt;'Données projet'!$A$88,$BA$205^A81,IF(A81='Données projet'!$A$88,'Données projet'!$B$88,BD80+BC81-BL80)))</f>
        <v>373.68999999999994</v>
      </c>
      <c r="BE81" s="13">
        <f>BD81*VLOOKUP('Données projet'!$B$11,Paramètres!$A$1:$I$89,3,0)*VLOOKUP('Données projet'!$B$11,Paramètres!$A$1:$I$89,5,0)</f>
        <v>378.92165999999992</v>
      </c>
      <c r="BF81" s="13">
        <f t="shared" si="91"/>
        <v>87.489985044625499</v>
      </c>
      <c r="BG81" s="20">
        <f t="shared" si="61"/>
        <v>812.33361511938926</v>
      </c>
      <c r="BH81" s="59">
        <f t="shared" si="62"/>
        <v>1105.6669484527226</v>
      </c>
      <c r="BI81" s="59">
        <f ca="1">AVERAGE(OFFSET($BH$3,0,0,'Données projet'!$E$11+1,1))-AVERAGE(OFFSET($H$3,0,0,'Données projet'!$E$11+1,1))</f>
        <v>485.01379841128346</v>
      </c>
      <c r="BJ81" s="59">
        <f t="shared" si="92"/>
        <v>238.25679915866897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100.62252452315582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100.62252452315582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">
        <f t="shared" si="86"/>
        <v>11.466707970654253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6">
        <f t="shared" si="56"/>
        <v>379.48610804888961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12.2</v>
      </c>
      <c r="N82" s="13">
        <f>IF('Données projet'!$A$36&gt;35,N81+M82-V81,IF(A82&lt;'Données projet'!$A$36,$K$205^A82,IF(A82='Données projet'!$A$36,'Données projet'!$B$36,N81+M82-V81)))</f>
        <v>782.80000000000052</v>
      </c>
      <c r="O82" s="13">
        <f>N82*VLOOKUP('Données projet'!$B$9,Paramètres!$A$1:$I$89,3,0)*VLOOKUP('Données projet'!$B$9,Paramètres!$A$1:$I$89,5,0)</f>
        <v>468.11440000000033</v>
      </c>
      <c r="P82" s="13">
        <f t="shared" si="87"/>
        <v>105.45692239381121</v>
      </c>
      <c r="Q82" s="20">
        <f t="shared" si="54"/>
        <v>998.97005316922184</v>
      </c>
      <c r="R82" s="59">
        <f t="shared" si="55"/>
        <v>1292.3033865025552</v>
      </c>
      <c r="S82" s="59">
        <f ca="1">AVERAGE(OFFSET($R$3,0,0,'Données projet'!$E$9+1,1))-AVERAGE(OFFSET($H$3,0,0,'Données projet'!$E$9+1,1))</f>
        <v>481.17250315093412</v>
      </c>
      <c r="T82" s="59">
        <f t="shared" si="88"/>
        <v>413.48123190206832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96.89851723545614</v>
      </c>
      <c r="AA82" s="21">
        <f>EXP(-LN(2)/25)*AA81+(1-EXP(-LN(2)/25))/(LN(2)/25)*Calculateur!V82*Calculateur!X82*VLOOKUP('Données projet'!$B$9,Paramètres!$A$1:$I$89,3,0)*0.475*44/12</f>
        <v>16.815154607933696</v>
      </c>
      <c r="AB82" s="21">
        <f>EXP(-LN(2)/2)*AB81+(1-EXP(-LN(2)/2))/(LN(2)/2)*V82*Y82*VLOOKUP('Données projet'!$B$9,Paramètres!$A$1:$I$89,3,0)*0.475*44/12</f>
        <v>3.3105195482115678E-9</v>
      </c>
      <c r="AC82" s="22">
        <f t="shared" si="57"/>
        <v>113.71367184670035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11.009999999999998</v>
      </c>
      <c r="AI82" s="13">
        <f>IF('Données projet'!$A$62&gt;35,AI81+AH82-AQ81,IF(A82&lt;'Données projet'!$A$62,$AF$205^A82,IF(A82='Données projet'!$A$62,'Données projet'!$B$62,AI81+AH82-AQ81)))</f>
        <v>384.69999999999993</v>
      </c>
      <c r="AJ82" s="13">
        <f>AI82*VLOOKUP('Données projet'!$B$10,Paramètres!$A$1:$I$89,3,0)*VLOOKUP('Données projet'!$B$10,Paramètres!$A$1:$I$89,5,0)</f>
        <v>348.07655999999992</v>
      </c>
      <c r="AK82" s="13">
        <f t="shared" si="89"/>
        <v>81.166328031452807</v>
      </c>
      <c r="AL82" s="20">
        <f t="shared" si="58"/>
        <v>747.59802998811347</v>
      </c>
      <c r="AM82" s="59">
        <f t="shared" si="59"/>
        <v>1040.9313633214467</v>
      </c>
      <c r="AN82" s="59">
        <f ca="1">AVERAGE(OFFSET($AM$3,0,0,'Données projet'!$E$10+1,1))-AVERAGE(OFFSET($H$3,0,0,'Données projet'!$E$10+1,1))</f>
        <v>426.34811677569007</v>
      </c>
      <c r="AO82" s="59">
        <f t="shared" si="90"/>
        <v>209.65223938402107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88.025599001143405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88.025599001143405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11.009999999999998</v>
      </c>
      <c r="BD82" s="12">
        <f>IF('Données projet'!$A$88&gt;35,BD81+BC82-BL81,IF(A82&lt;'Données projet'!$A$88,$BA$205^A82,IF(A82='Données projet'!$A$88,'Données projet'!$B$88,BD81+BC82-BL81)))</f>
        <v>384.69999999999993</v>
      </c>
      <c r="BE82" s="13">
        <f>BD82*VLOOKUP('Données projet'!$B$11,Paramètres!$A$1:$I$89,3,0)*VLOOKUP('Données projet'!$B$11,Paramètres!$A$1:$I$89,5,0)</f>
        <v>390.08580000000001</v>
      </c>
      <c r="BF82" s="13">
        <f t="shared" si="91"/>
        <v>89.763786833048727</v>
      </c>
      <c r="BG82" s="20">
        <f t="shared" si="61"/>
        <v>835.73803040089308</v>
      </c>
      <c r="BH82" s="59">
        <f t="shared" si="62"/>
        <v>1129.0713637342265</v>
      </c>
      <c r="BI82" s="59">
        <f ca="1">AVERAGE(OFFSET($BH$3,0,0,'Données projet'!$E$11+1,1))-AVERAGE(OFFSET($H$3,0,0,'Données projet'!$E$11+1,1))</f>
        <v>485.01379841128346</v>
      </c>
      <c r="BJ82" s="59">
        <f t="shared" si="92"/>
        <v>238.25679915866897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98.649378190936545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98.649378190936545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">
        <f t="shared" si="86"/>
        <v>11.594866879116264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6">
        <f t="shared" si="56"/>
        <v>380.54705981446097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795</v>
      </c>
      <c r="L83" s="12">
        <f>VLOOKUP(A83,'Données projet'!$A$35:$I$55,9,0)</f>
        <v>12.2</v>
      </c>
      <c r="M83" s="12">
        <f t="array" ref="M83">INDEX(L:L,MIN(IF(ISNUMBER(L83:L279),ROW(L83:L279),"")))</f>
        <v>12.2</v>
      </c>
      <c r="N83" s="13">
        <f>IF('Données projet'!$A$36&gt;35,N82+M83-V82,IF(A83&lt;'Données projet'!$A$36,$K$205^A83,IF(A83='Données projet'!$A$36,'Données projet'!$B$36,N82+M83-V82)))</f>
        <v>795.00000000000057</v>
      </c>
      <c r="O83" s="13">
        <f>N83*VLOOKUP('Données projet'!$B$9,Paramètres!$A$1:$I$89,3,0)*VLOOKUP('Données projet'!$B$9,Paramètres!$A$1:$I$89,5,0)</f>
        <v>475.41000000000037</v>
      </c>
      <c r="P83" s="13">
        <f t="shared" si="87"/>
        <v>106.90785745583379</v>
      </c>
      <c r="Q83" s="20">
        <f t="shared" si="54"/>
        <v>1014.2036017355778</v>
      </c>
      <c r="R83" s="59">
        <f t="shared" si="55"/>
        <v>1307.5369350689111</v>
      </c>
      <c r="S83" s="59">
        <f ca="1">AVERAGE(OFFSET($R$3,0,0,'Données projet'!$E$9+1,1))-AVERAGE(OFFSET($H$3,0,0,'Données projet'!$E$9+1,1))</f>
        <v>481.17250315093412</v>
      </c>
      <c r="T83" s="59">
        <f t="shared" si="88"/>
        <v>413.48123190206832</v>
      </c>
      <c r="U83" s="15">
        <f>IF(ISNA(VLOOKUP(A83,'Données projet'!$A$35:$I$55,3,0)),0,VLOOKUP(A83,'Données projet'!$A$35:$I$55,3,0))</f>
        <v>14</v>
      </c>
      <c r="V83" s="15">
        <f>IF(ISNA(VLOOKUP(A83,'Données projet'!$A$35:$I$55,4,0)),0,VLOOKUP(A83,'Données projet'!$A$35:$I$55,4,0))</f>
        <v>32</v>
      </c>
      <c r="W83" s="16">
        <f>IF(ISNA(VLOOKUP(A83,'Données projet'!$A$35:$I$55,5,0)),0%,VLOOKUP(A83,'Données projet'!$A$35:$I$55,5,0)*VLOOKUP('Données projet'!$B$9,Paramètres!$A$1:$I$89,7,0))</f>
        <v>0.45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106.42170825340946</v>
      </c>
      <c r="AA83" s="21">
        <f>EXP(-LN(2)/25)*AA82+(1-EXP(-LN(2)/25))/(LN(2)/25)*Calculateur!V83*Calculateur!X83*VLOOKUP('Données projet'!$B$9,Paramètres!$A$1:$I$89,3,0)*0.475*44/12</f>
        <v>16.355343320909199</v>
      </c>
      <c r="AB83" s="21">
        <f>EXP(-LN(2)/2)*AB82+(1-EXP(-LN(2)/2))/(LN(2)/2)*V83*Y83*VLOOKUP('Données projet'!$B$9,Paramètres!$A$1:$I$89,3,0)*0.475*44/12</f>
        <v>2.3408908217910252E-9</v>
      </c>
      <c r="AC83" s="22">
        <f t="shared" si="57"/>
        <v>122.77705157665956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395.71</v>
      </c>
      <c r="AG83" s="12">
        <f>VLOOKUP(A83,'Données projet'!$A$61:$I$81,9,0)</f>
        <v>11.009999999999998</v>
      </c>
      <c r="AH83" s="12">
        <f t="array" ref="AH83">INDEX(AG:AG,MIN(IF(ISNUMBER(AG83:AG279),ROW(AG83:AG279),"")))</f>
        <v>11.009999999999998</v>
      </c>
      <c r="AI83" s="13">
        <f>IF('Données projet'!$A$62&gt;35,AI82+AH83-AQ82,IF(A83&lt;'Données projet'!$A$62,$AF$205^A83,IF(A83='Données projet'!$A$62,'Données projet'!$B$62,AI82+AH83-AQ82)))</f>
        <v>395.70999999999992</v>
      </c>
      <c r="AJ83" s="13">
        <f>AI83*VLOOKUP('Données projet'!$B$10,Paramètres!$A$1:$I$89,3,0)*VLOOKUP('Données projet'!$B$10,Paramètres!$A$1:$I$89,5,0)</f>
        <v>358.03840799999989</v>
      </c>
      <c r="AK83" s="13">
        <f t="shared" si="89"/>
        <v>83.215509161867502</v>
      </c>
      <c r="AL83" s="20">
        <f t="shared" si="58"/>
        <v>768.51723905691904</v>
      </c>
      <c r="AM83" s="59">
        <f t="shared" si="59"/>
        <v>1061.8505723902524</v>
      </c>
      <c r="AN83" s="59">
        <f ca="1">AVERAGE(OFFSET($AM$3,0,0,'Données projet'!$E$10+1,1))-AVERAGE(OFFSET($H$3,0,0,'Données projet'!$E$10+1,1))</f>
        <v>426.34811677569007</v>
      </c>
      <c r="AO83" s="59">
        <f t="shared" si="90"/>
        <v>209.65223938402107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59.57</v>
      </c>
      <c r="AR83" s="16">
        <f>IF(ISNA(VLOOKUP(A83,'Données projet'!$A$61:$I$81,5,0)),0%,VLOOKUP(A83,'Données projet'!$A$61:$I$81,5,0)*VLOOKUP('Données projet'!$B$10,Paramètres!$A$1:$I$89,7,0))</f>
        <v>0.43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111.92045190667203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111.92045190667203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395.71</v>
      </c>
      <c r="BB83" s="12">
        <f>VLOOKUP(A83,'Données projet'!$A$87:$I$107,9,0)</f>
        <v>11.009999999999998</v>
      </c>
      <c r="BC83" s="12">
        <f t="array" ref="BC83">INDEX(BB:BB,MIN(IF(ISNUMBER(BB83:BB279),ROW(BB83:BB279),"")))</f>
        <v>11.009999999999998</v>
      </c>
      <c r="BD83" s="12">
        <f>IF('Données projet'!$A$88&gt;35,BD82+BC83-BL82,IF(A83&lt;'Données projet'!$A$88,$BA$205^A83,IF(A83='Données projet'!$A$88,'Données projet'!$B$88,BD82+BC83-BL82)))</f>
        <v>395.70999999999992</v>
      </c>
      <c r="BE83" s="13">
        <f>BD83*VLOOKUP('Données projet'!$B$11,Paramètres!$A$1:$I$89,3,0)*VLOOKUP('Données projet'!$B$11,Paramètres!$A$1:$I$89,5,0)</f>
        <v>401.24993999999992</v>
      </c>
      <c r="BF83" s="13">
        <f t="shared" si="91"/>
        <v>92.030025341479998</v>
      </c>
      <c r="BG83" s="20">
        <f t="shared" si="61"/>
        <v>859.12927296974419</v>
      </c>
      <c r="BH83" s="59">
        <f t="shared" si="62"/>
        <v>1152.4626063030776</v>
      </c>
      <c r="BI83" s="59">
        <f ca="1">AVERAGE(OFFSET($BH$3,0,0,'Données projet'!$E$11+1,1))-AVERAGE(OFFSET($H$3,0,0,'Données projet'!$E$11+1,1))</f>
        <v>485.01379841128346</v>
      </c>
      <c r="BJ83" s="59">
        <f t="shared" si="92"/>
        <v>238.25679915866897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59.57</v>
      </c>
      <c r="BM83" s="16">
        <f>IF(ISNA(VLOOKUP(A83,'Données projet'!$A$87:$I$107,5,0)),0%,VLOOKUP(A83,'Données projet'!$A$87:$I$107,5,0)*VLOOKUP('Données projet'!$B$11,Paramètres!$A$1:$I$89,7,0))</f>
        <v>0.43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125.42809265402899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125.42809265402899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">
        <f t="shared" si="86"/>
        <v>11.722839446826988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6">
        <f t="shared" si="56"/>
        <v>381.60768703655714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763.00000000000057</v>
      </c>
      <c r="O84" s="13">
        <f>N84*VLOOKUP('Données projet'!$B$9,Paramètres!$A$1:$I$89,3,0)*VLOOKUP('Données projet'!$B$9,Paramètres!$A$1:$I$89,5,0)</f>
        <v>456.2740000000004</v>
      </c>
      <c r="P84" s="13">
        <f t="shared" si="87"/>
        <v>103.09649786611838</v>
      </c>
      <c r="Q84" s="20">
        <f t="shared" si="54"/>
        <v>974.23695045015677</v>
      </c>
      <c r="R84" s="59">
        <f t="shared" si="55"/>
        <v>1267.5702837834901</v>
      </c>
      <c r="S84" s="59">
        <f ca="1">AVERAGE(OFFSET($R$3,0,0,'Données projet'!$E$9+1,1))-AVERAGE(OFFSET($H$3,0,0,'Données projet'!$E$9+1,1))</f>
        <v>481.17250315093412</v>
      </c>
      <c r="T84" s="59">
        <f t="shared" si="88"/>
        <v>413.48123190206832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104.33484346539272</v>
      </c>
      <c r="AA84" s="21">
        <f>EXP(-LN(2)/25)*AA83+(1-EXP(-LN(2)/25))/(LN(2)/25)*Calculateur!V84*Calculateur!X84*VLOOKUP('Données projet'!$B$9,Paramètres!$A$1:$I$89,3,0)*0.475*44/12</f>
        <v>15.908105597708813</v>
      </c>
      <c r="AB84" s="21">
        <f>EXP(-LN(2)/2)*AB83+(1-EXP(-LN(2)/2))/(LN(2)/2)*V84*Y84*VLOOKUP('Données projet'!$B$9,Paramètres!$A$1:$I$89,3,0)*0.475*44/12</f>
        <v>1.6552597741057839E-9</v>
      </c>
      <c r="AC84" s="22">
        <f t="shared" si="57"/>
        <v>120.2429490647568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10.41</v>
      </c>
      <c r="AI84" s="13">
        <f>IF('Données projet'!$A$62&gt;35,AI83+AH84-AQ83,IF(A84&lt;'Données projet'!$A$62,$AF$205^A84,IF(A84='Données projet'!$A$62,'Données projet'!$B$62,AI83+AH84-AQ83)))</f>
        <v>346.54999999999995</v>
      </c>
      <c r="AJ84" s="13">
        <f>AI84*VLOOKUP('Données projet'!$B$10,Paramètres!$A$1:$I$89,3,0)*VLOOKUP('Données projet'!$B$10,Paramètres!$A$1:$I$89,5,0)</f>
        <v>313.55843999999996</v>
      </c>
      <c r="AK84" s="13">
        <f t="shared" si="89"/>
        <v>74.011479710591601</v>
      </c>
      <c r="AL84" s="20">
        <f t="shared" si="58"/>
        <v>675.01761016261355</v>
      </c>
      <c r="AM84" s="59">
        <f t="shared" si="59"/>
        <v>968.35094349594692</v>
      </c>
      <c r="AN84" s="59">
        <f ca="1">AVERAGE(OFFSET($AM$3,0,0,'Données projet'!$E$10+1,1))-AVERAGE(OFFSET($H$3,0,0,'Données projet'!$E$10+1,1))</f>
        <v>426.34811677569007</v>
      </c>
      <c r="AO84" s="59">
        <f t="shared" si="90"/>
        <v>209.65223938402107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109.72576010951727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109.72576010951727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10.41</v>
      </c>
      <c r="BD84" s="12">
        <f>IF('Données projet'!$A$88&gt;35,BD83+BC84-BL83,IF(A84&lt;'Données projet'!$A$88,$BA$205^A84,IF(A84='Données projet'!$A$88,'Données projet'!$B$88,BD83+BC84-BL83)))</f>
        <v>346.54999999999995</v>
      </c>
      <c r="BE84" s="13">
        <f>BD84*VLOOKUP('Données projet'!$B$11,Paramètres!$A$1:$I$89,3,0)*VLOOKUP('Données projet'!$B$11,Paramètres!$A$1:$I$89,5,0)</f>
        <v>351.40169999999995</v>
      </c>
      <c r="BF84" s="13">
        <f t="shared" si="91"/>
        <v>81.851068652084436</v>
      </c>
      <c r="BG84" s="20">
        <f t="shared" si="61"/>
        <v>754.58190540238036</v>
      </c>
      <c r="BH84" s="59">
        <f t="shared" si="62"/>
        <v>1047.9152387357137</v>
      </c>
      <c r="BI84" s="59">
        <f ca="1">AVERAGE(OFFSET($BH$3,0,0,'Données projet'!$E$11+1,1))-AVERAGE(OFFSET($H$3,0,0,'Données projet'!$E$11+1,1))</f>
        <v>485.01379841128346</v>
      </c>
      <c r="BJ84" s="59">
        <f t="shared" si="92"/>
        <v>238.25679915866897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122.9685242606659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122.9685242606659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">
        <f t="shared" si="86"/>
        <v>11.850628240354748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6">
        <f t="shared" si="56"/>
        <v>382.66799418528461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763.00000000000057</v>
      </c>
      <c r="O85" s="13">
        <f>N85*VLOOKUP('Données projet'!$B$9,Paramètres!$A$1:$I$89,3,0)*VLOOKUP('Données projet'!$B$9,Paramètres!$A$1:$I$89,5,0)</f>
        <v>456.2740000000004</v>
      </c>
      <c r="P85" s="13">
        <f t="shared" si="87"/>
        <v>103.09649786611838</v>
      </c>
      <c r="Q85" s="20">
        <f t="shared" si="54"/>
        <v>974.23695045015677</v>
      </c>
      <c r="R85" s="59">
        <f t="shared" si="55"/>
        <v>1267.5702837834901</v>
      </c>
      <c r="S85" s="59">
        <f ca="1">AVERAGE(OFFSET($R$3,0,0,'Données projet'!$E$9+1,1))-AVERAGE(OFFSET($H$3,0,0,'Données projet'!$E$9+1,1))</f>
        <v>481.17250315093412</v>
      </c>
      <c r="T85" s="59">
        <f t="shared" si="88"/>
        <v>413.48123190206832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102.28890082300715</v>
      </c>
      <c r="AA85" s="21">
        <f>EXP(-LN(2)/25)*AA84+(1-EXP(-LN(2)/25))/(LN(2)/25)*Calculateur!V85*Calculateur!X85*VLOOKUP('Données projet'!$B$9,Paramètres!$A$1:$I$89,3,0)*0.475*44/12</f>
        <v>15.47309761356855</v>
      </c>
      <c r="AB85" s="21">
        <f>EXP(-LN(2)/2)*AB84+(1-EXP(-LN(2)/2))/(LN(2)/2)*V85*Y85*VLOOKUP('Données projet'!$B$9,Paramètres!$A$1:$I$89,3,0)*0.475*44/12</f>
        <v>1.1704454108955126E-9</v>
      </c>
      <c r="AC85" s="22">
        <f t="shared" si="57"/>
        <v>117.76199843774616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10.41</v>
      </c>
      <c r="AI85" s="13">
        <f>IF('Données projet'!$A$62&gt;35,AI84+AH85-AQ84,IF(A85&lt;'Données projet'!$A$62,$AF$205^A85,IF(A85='Données projet'!$A$62,'Données projet'!$B$62,AI84+AH85-AQ84)))</f>
        <v>356.96</v>
      </c>
      <c r="AJ85" s="13">
        <f>AI85*VLOOKUP('Données projet'!$B$10,Paramètres!$A$1:$I$89,3,0)*VLOOKUP('Données projet'!$B$10,Paramètres!$A$1:$I$89,5,0)</f>
        <v>322.97740799999997</v>
      </c>
      <c r="AK85" s="13">
        <f t="shared" si="89"/>
        <v>75.9725269838044</v>
      </c>
      <c r="AL85" s="20">
        <f t="shared" si="58"/>
        <v>694.83780343012586</v>
      </c>
      <c r="AM85" s="59">
        <f t="shared" si="59"/>
        <v>988.17113676345912</v>
      </c>
      <c r="AN85" s="59">
        <f ca="1">AVERAGE(OFFSET($AM$3,0,0,'Données projet'!$E$10+1,1))-AVERAGE(OFFSET($H$3,0,0,'Données projet'!$E$10+1,1))</f>
        <v>426.34811677569007</v>
      </c>
      <c r="AO85" s="59">
        <f t="shared" si="90"/>
        <v>209.65223938402107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107.57410487987489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107.57410487987489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10.41</v>
      </c>
      <c r="BD85" s="12">
        <f>IF('Données projet'!$A$88&gt;35,BD84+BC85-BL84,IF(A85&lt;'Données projet'!$A$88,$BA$205^A85,IF(A85='Données projet'!$A$88,'Données projet'!$B$88,BD84+BC85-BL84)))</f>
        <v>356.96</v>
      </c>
      <c r="BE85" s="13">
        <f>BD85*VLOOKUP('Données projet'!$B$11,Paramètres!$A$1:$I$89,3,0)*VLOOKUP('Données projet'!$B$11,Paramètres!$A$1:$I$89,5,0)</f>
        <v>361.95744000000002</v>
      </c>
      <c r="BF85" s="13">
        <f t="shared" si="91"/>
        <v>84.01983781623828</v>
      </c>
      <c r="BG85" s="20">
        <f t="shared" si="61"/>
        <v>776.74375886328164</v>
      </c>
      <c r="BH85" s="59">
        <f t="shared" si="62"/>
        <v>1070.077092196615</v>
      </c>
      <c r="BI85" s="59">
        <f ca="1">AVERAGE(OFFSET($BH$3,0,0,'Données projet'!$E$11+1,1))-AVERAGE(OFFSET($H$3,0,0,'Données projet'!$E$11+1,1))</f>
        <v>485.01379841128346</v>
      </c>
      <c r="BJ85" s="59">
        <f t="shared" si="92"/>
        <v>238.25679915866897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120.55718650330807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120.55718650330807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">
        <f t="shared" si="86"/>
        <v>11.978235760067443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6">
        <f t="shared" si="56"/>
        <v>383.7279856154509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763.00000000000057</v>
      </c>
      <c r="O86" s="13">
        <f>N86*VLOOKUP('Données projet'!$B$9,Paramètres!$A$1:$I$89,3,0)*VLOOKUP('Données projet'!$B$9,Paramètres!$A$1:$I$89,5,0)</f>
        <v>456.2740000000004</v>
      </c>
      <c r="P86" s="13">
        <f t="shared" si="87"/>
        <v>103.09649786611838</v>
      </c>
      <c r="Q86" s="20">
        <f t="shared" si="54"/>
        <v>974.23695045015677</v>
      </c>
      <c r="R86" s="59">
        <f t="shared" si="55"/>
        <v>1267.5702837834901</v>
      </c>
      <c r="S86" s="59">
        <f ca="1">AVERAGE(OFFSET($R$3,0,0,'Données projet'!$E$9+1,1))-AVERAGE(OFFSET($H$3,0,0,'Données projet'!$E$9+1,1))</f>
        <v>481.17250315093412</v>
      </c>
      <c r="T86" s="59">
        <f t="shared" si="88"/>
        <v>413.48123190206832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100.28307786793698</v>
      </c>
      <c r="AA86" s="21">
        <f>EXP(-LN(2)/25)*AA85+(1-EXP(-LN(2)/25))/(LN(2)/25)*Calculateur!V86*Calculateur!X86*VLOOKUP('Données projet'!$B$9,Paramètres!$A$1:$I$89,3,0)*0.475*44/12</f>
        <v>15.049984945630678</v>
      </c>
      <c r="AB86" s="21">
        <f>EXP(-LN(2)/2)*AB85+(1-EXP(-LN(2)/2))/(LN(2)/2)*V86*Y86*VLOOKUP('Données projet'!$B$9,Paramètres!$A$1:$I$89,3,0)*0.475*44/12</f>
        <v>8.2762988705289195E-10</v>
      </c>
      <c r="AC86" s="22">
        <f t="shared" si="57"/>
        <v>115.33306281439529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10.41</v>
      </c>
      <c r="AI86" s="13">
        <f>IF('Données projet'!$A$62&gt;35,AI85+AH86-AQ85,IF(A86&lt;'Données projet'!$A$62,$AF$205^A86,IF(A86='Données projet'!$A$62,'Données projet'!$B$62,AI85+AH86-AQ85)))</f>
        <v>367.37</v>
      </c>
      <c r="AJ86" s="13">
        <f>AI86*VLOOKUP('Données projet'!$B$10,Paramètres!$A$1:$I$89,3,0)*VLOOKUP('Données projet'!$B$10,Paramètres!$A$1:$I$89,5,0)</f>
        <v>332.39637599999998</v>
      </c>
      <c r="AK86" s="13">
        <f t="shared" si="89"/>
        <v>77.926927644548115</v>
      </c>
      <c r="AL86" s="20">
        <f t="shared" si="58"/>
        <v>714.6464205142546</v>
      </c>
      <c r="AM86" s="59">
        <f t="shared" si="59"/>
        <v>1007.979753847588</v>
      </c>
      <c r="AN86" s="59">
        <f ca="1">AVERAGE(OFFSET($AM$3,0,0,'Données projet'!$E$10+1,1))-AVERAGE(OFFSET($H$3,0,0,'Données projet'!$E$10+1,1))</f>
        <v>426.34811677569007</v>
      </c>
      <c r="AO86" s="59">
        <f t="shared" si="90"/>
        <v>209.65223938402107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105.46464229690571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105.46464229690571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10.41</v>
      </c>
      <c r="BD86" s="12">
        <f>IF('Données projet'!$A$88&gt;35,BD85+BC86-BL85,IF(A86&lt;'Données projet'!$A$88,$BA$205^A86,IF(A86='Données projet'!$A$88,'Données projet'!$B$88,BD85+BC86-BL85)))</f>
        <v>367.37</v>
      </c>
      <c r="BE86" s="13">
        <f>BD86*VLOOKUP('Données projet'!$B$11,Paramètres!$A$1:$I$89,3,0)*VLOOKUP('Données projet'!$B$11,Paramètres!$A$1:$I$89,5,0)</f>
        <v>372.51318000000003</v>
      </c>
      <c r="BF86" s="13">
        <f t="shared" si="91"/>
        <v>86.181256332416311</v>
      </c>
      <c r="BG86" s="20">
        <f t="shared" si="61"/>
        <v>798.89280994562512</v>
      </c>
      <c r="BH86" s="59">
        <f t="shared" si="62"/>
        <v>1092.2261432789585</v>
      </c>
      <c r="BI86" s="59">
        <f ca="1">AVERAGE(OFFSET($BH$3,0,0,'Données projet'!$E$11+1,1))-AVERAGE(OFFSET($H$3,0,0,'Données projet'!$E$11+1,1))</f>
        <v>485.01379841128346</v>
      </c>
      <c r="BJ86" s="59">
        <f t="shared" si="92"/>
        <v>238.25679915866897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118.19313360860123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118.19313360860123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">
        <f t="shared" si="86"/>
        <v>12.105664442616733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6">
        <f t="shared" si="56"/>
        <v>384.78766557089091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763.00000000000057</v>
      </c>
      <c r="O87" s="13">
        <f>N87*VLOOKUP('Données projet'!$B$9,Paramètres!$A$1:$I$89,3,0)*VLOOKUP('Données projet'!$B$9,Paramètres!$A$1:$I$89,5,0)</f>
        <v>456.2740000000004</v>
      </c>
      <c r="P87" s="13">
        <f t="shared" si="87"/>
        <v>103.09649786611838</v>
      </c>
      <c r="Q87" s="20">
        <f t="shared" si="54"/>
        <v>974.23695045015677</v>
      </c>
      <c r="R87" s="59">
        <f t="shared" si="55"/>
        <v>1267.5702837834901</v>
      </c>
      <c r="S87" s="59">
        <f ca="1">AVERAGE(OFFSET($R$3,0,0,'Données projet'!$E$9+1,1))-AVERAGE(OFFSET($H$3,0,0,'Données projet'!$E$9+1,1))</f>
        <v>481.17250315093412</v>
      </c>
      <c r="T87" s="59">
        <f t="shared" si="88"/>
        <v>413.48123190206832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98.316587877584539</v>
      </c>
      <c r="AA87" s="21">
        <f>EXP(-LN(2)/25)*AA86+(1-EXP(-LN(2)/25))/(LN(2)/25)*Calculateur!V87*Calculateur!X87*VLOOKUP('Données projet'!$B$9,Paramètres!$A$1:$I$89,3,0)*0.475*44/12</f>
        <v>14.638442315848096</v>
      </c>
      <c r="AB87" s="21">
        <f>EXP(-LN(2)/2)*AB86+(1-EXP(-LN(2)/2))/(LN(2)/2)*V87*Y87*VLOOKUP('Données projet'!$B$9,Paramètres!$A$1:$I$89,3,0)*0.475*44/12</f>
        <v>5.852227054477563E-10</v>
      </c>
      <c r="AC87" s="22">
        <f t="shared" si="57"/>
        <v>112.95503019401785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10.41</v>
      </c>
      <c r="AI87" s="13">
        <f>IF('Données projet'!$A$62&gt;35,AI86+AH87-AQ86,IF(A87&lt;'Données projet'!$A$62,$AF$205^A87,IF(A87='Données projet'!$A$62,'Données projet'!$B$62,AI86+AH87-AQ86)))</f>
        <v>377.78000000000003</v>
      </c>
      <c r="AJ87" s="13">
        <f>AI87*VLOOKUP('Données projet'!$B$10,Paramètres!$A$1:$I$89,3,0)*VLOOKUP('Données projet'!$B$10,Paramètres!$A$1:$I$89,5,0)</f>
        <v>341.81534400000004</v>
      </c>
      <c r="AK87" s="13">
        <f t="shared" si="89"/>
        <v>79.874891668491202</v>
      </c>
      <c r="AL87" s="20">
        <f t="shared" si="58"/>
        <v>734.44382712262222</v>
      </c>
      <c r="AM87" s="59">
        <f t="shared" si="59"/>
        <v>1027.7771604559555</v>
      </c>
      <c r="AN87" s="59">
        <f ca="1">AVERAGE(OFFSET($AM$3,0,0,'Données projet'!$E$10+1,1))-AVERAGE(OFFSET($H$3,0,0,'Données projet'!$E$10+1,1))</f>
        <v>426.34811677569007</v>
      </c>
      <c r="AO87" s="59">
        <f t="shared" si="90"/>
        <v>209.65223938402107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103.39654498854341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103.39654498854341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10.41</v>
      </c>
      <c r="BD87" s="12">
        <f>IF('Données projet'!$A$88&gt;35,BD86+BC87-BL86,IF(A87&lt;'Données projet'!$A$88,$BA$205^A87,IF(A87='Données projet'!$A$88,'Données projet'!$B$88,BD86+BC87-BL86)))</f>
        <v>377.78000000000003</v>
      </c>
      <c r="BE87" s="13">
        <f>BD87*VLOOKUP('Données projet'!$B$11,Paramètres!$A$1:$I$89,3,0)*VLOOKUP('Données projet'!$B$11,Paramètres!$A$1:$I$89,5,0)</f>
        <v>383.06892000000005</v>
      </c>
      <c r="BF87" s="13">
        <f t="shared" si="91"/>
        <v>88.335556417741373</v>
      </c>
      <c r="BG87" s="20">
        <f t="shared" si="61"/>
        <v>821.02946309423305</v>
      </c>
      <c r="BH87" s="59">
        <f t="shared" si="62"/>
        <v>1114.3627964275663</v>
      </c>
      <c r="BI87" s="59">
        <f ca="1">AVERAGE(OFFSET($BH$3,0,0,'Données projet'!$E$11+1,1))-AVERAGE(OFFSET($H$3,0,0,'Données projet'!$E$11+1,1))</f>
        <v>485.01379841128346</v>
      </c>
      <c r="BJ87" s="59">
        <f t="shared" si="92"/>
        <v>238.25679915866897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115.8754383492297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115.8754383492297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">
        <f t="shared" si="86"/>
        <v>12.232916663300438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6">
        <f t="shared" si="56"/>
        <v>385.84703818858173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763.00000000000057</v>
      </c>
      <c r="O88" s="13">
        <f>N88*VLOOKUP('Données projet'!$B$9,Paramètres!$A$1:$I$89,3,0)*VLOOKUP('Données projet'!$B$9,Paramètres!$A$1:$I$89,5,0)</f>
        <v>456.2740000000004</v>
      </c>
      <c r="P88" s="13">
        <f t="shared" si="87"/>
        <v>103.09649786611838</v>
      </c>
      <c r="Q88" s="20">
        <f t="shared" si="54"/>
        <v>974.23695045015677</v>
      </c>
      <c r="R88" s="59">
        <f t="shared" si="55"/>
        <v>1267.5702837834901</v>
      </c>
      <c r="S88" s="59">
        <f ca="1">AVERAGE(OFFSET($R$3,0,0,'Données projet'!$E$9+1,1))-AVERAGE(OFFSET($H$3,0,0,'Données projet'!$E$9+1,1))</f>
        <v>481.17250315093412</v>
      </c>
      <c r="T88" s="59">
        <f t="shared" si="88"/>
        <v>413.48123190206832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96.388659556502446</v>
      </c>
      <c r="AA88" s="21">
        <f>EXP(-LN(2)/25)*AA87+(1-EXP(-LN(2)/25))/(LN(2)/25)*Calculateur!V88*Calculateur!X88*VLOOKUP('Données projet'!$B$9,Paramètres!$A$1:$I$89,3,0)*0.475*44/12</f>
        <v>14.238153340919006</v>
      </c>
      <c r="AB88" s="21">
        <f>EXP(-LN(2)/2)*AB87+(1-EXP(-LN(2)/2))/(LN(2)/2)*V88*Y88*VLOOKUP('Données projet'!$B$9,Paramètres!$A$1:$I$89,3,0)*0.475*44/12</f>
        <v>4.1381494352644598E-10</v>
      </c>
      <c r="AC88" s="22">
        <f t="shared" si="57"/>
        <v>110.62681289783526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10.41</v>
      </c>
      <c r="AI88" s="13">
        <f>IF('Données projet'!$A$62&gt;35,AI87+AH88-AQ87,IF(A88&lt;'Données projet'!$A$62,$AF$205^A88,IF(A88='Données projet'!$A$62,'Données projet'!$B$62,AI87+AH88-AQ87)))</f>
        <v>388.19000000000005</v>
      </c>
      <c r="AJ88" s="13">
        <f>AI88*VLOOKUP('Données projet'!$B$10,Paramètres!$A$1:$I$89,3,0)*VLOOKUP('Données projet'!$B$10,Paramètres!$A$1:$I$89,5,0)</f>
        <v>351.23431200000005</v>
      </c>
      <c r="AK88" s="13">
        <f t="shared" si="89"/>
        <v>81.816616800686063</v>
      </c>
      <c r="AL88" s="20">
        <f t="shared" si="58"/>
        <v>754.23036766119492</v>
      </c>
      <c r="AM88" s="59">
        <f t="shared" si="59"/>
        <v>1047.5637009945283</v>
      </c>
      <c r="AN88" s="59">
        <f ca="1">AVERAGE(OFFSET($AM$3,0,0,'Données projet'!$E$10+1,1))-AVERAGE(OFFSET($H$3,0,0,'Données projet'!$E$10+1,1))</f>
        <v>426.34811677569007</v>
      </c>
      <c r="AO88" s="59">
        <f t="shared" si="90"/>
        <v>209.65223938402107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101.36900180698331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101.36900180698331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10.41</v>
      </c>
      <c r="BD88" s="12">
        <f>IF('Données projet'!$A$88&gt;35,BD87+BC88-BL87,IF(A88&lt;'Données projet'!$A$88,$BA$205^A88,IF(A88='Données projet'!$A$88,'Données projet'!$B$88,BD87+BC88-BL87)))</f>
        <v>388.19000000000005</v>
      </c>
      <c r="BE88" s="13">
        <f>BD88*VLOOKUP('Données projet'!$B$11,Paramètres!$A$1:$I$89,3,0)*VLOOKUP('Données projet'!$B$11,Paramètres!$A$1:$I$89,5,0)</f>
        <v>393.62466000000012</v>
      </c>
      <c r="BF88" s="13">
        <f t="shared" si="91"/>
        <v>90.48295676320447</v>
      </c>
      <c r="BG88" s="20">
        <f t="shared" si="61"/>
        <v>843.15409919591457</v>
      </c>
      <c r="BH88" s="59">
        <f t="shared" si="62"/>
        <v>1136.4874325292478</v>
      </c>
      <c r="BI88" s="59">
        <f ca="1">AVERAGE(OFFSET($BH$3,0,0,'Données projet'!$E$11+1,1))-AVERAGE(OFFSET($H$3,0,0,'Données projet'!$E$11+1,1))</f>
        <v>485.01379841128346</v>
      </c>
      <c r="BJ88" s="59">
        <f t="shared" si="92"/>
        <v>238.25679915866897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113.60319168023992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113.60319168023992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">
        <f t="shared" si="86"/>
        <v>12.359994738310691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6">
        <f t="shared" si="56"/>
        <v>386.90610750255792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763.00000000000057</v>
      </c>
      <c r="O89" s="13">
        <f>N89*VLOOKUP('Données projet'!$B$9,Paramètres!$A$1:$I$89,3,0)*VLOOKUP('Données projet'!$B$9,Paramètres!$A$1:$I$89,5,0)</f>
        <v>456.2740000000004</v>
      </c>
      <c r="P89" s="13">
        <f t="shared" si="87"/>
        <v>103.09649786611838</v>
      </c>
      <c r="Q89" s="20">
        <f t="shared" si="54"/>
        <v>974.23695045015677</v>
      </c>
      <c r="R89" s="59">
        <f t="shared" si="55"/>
        <v>1267.5702837834901</v>
      </c>
      <c r="S89" s="59">
        <f ca="1">AVERAGE(OFFSET($R$3,0,0,'Données projet'!$E$9+1,1))-AVERAGE(OFFSET($H$3,0,0,'Données projet'!$E$9+1,1))</f>
        <v>481.17250315093412</v>
      </c>
      <c r="T89" s="59">
        <f t="shared" si="88"/>
        <v>413.48123190206832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94.498536733876605</v>
      </c>
      <c r="AA89" s="21">
        <f>EXP(-LN(2)/25)*AA88+(1-EXP(-LN(2)/25))/(LN(2)/25)*Calculateur!V89*Calculateur!X89*VLOOKUP('Données projet'!$B$9,Paramètres!$A$1:$I$89,3,0)*0.475*44/12</f>
        <v>13.848810289059633</v>
      </c>
      <c r="AB89" s="21">
        <f>EXP(-LN(2)/2)*AB88+(1-EXP(-LN(2)/2))/(LN(2)/2)*V89*Y89*VLOOKUP('Données projet'!$B$9,Paramètres!$A$1:$I$89,3,0)*0.475*44/12</f>
        <v>2.9261135272387815E-10</v>
      </c>
      <c r="AC89" s="22">
        <f t="shared" si="57"/>
        <v>108.34734702322885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10.41</v>
      </c>
      <c r="AI89" s="13">
        <f>IF('Données projet'!$A$62&gt;35,AI88+AH89-AQ88,IF(A89&lt;'Données projet'!$A$62,$AF$205^A89,IF(A89='Données projet'!$A$62,'Données projet'!$B$62,AI88+AH89-AQ88)))</f>
        <v>398.60000000000008</v>
      </c>
      <c r="AJ89" s="13">
        <f>AI89*VLOOKUP('Données projet'!$B$10,Paramètres!$A$1:$I$89,3,0)*VLOOKUP('Données projet'!$B$10,Paramètres!$A$1:$I$89,5,0)</f>
        <v>360.65328000000005</v>
      </c>
      <c r="AK89" s="13">
        <f t="shared" si="89"/>
        <v>83.752289576604468</v>
      </c>
      <c r="AL89" s="20">
        <f t="shared" si="58"/>
        <v>774.00636701258611</v>
      </c>
      <c r="AM89" s="59">
        <f t="shared" si="59"/>
        <v>1067.3397003459195</v>
      </c>
      <c r="AN89" s="59">
        <f ca="1">AVERAGE(OFFSET($AM$3,0,0,'Données projet'!$E$10+1,1))-AVERAGE(OFFSET($H$3,0,0,'Données projet'!$E$10+1,1))</f>
        <v>426.34811677569007</v>
      </c>
      <c r="AO89" s="59">
        <f t="shared" si="90"/>
        <v>209.65223938402107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99.381217510534356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99.381217510534356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10.41</v>
      </c>
      <c r="BD89" s="12">
        <f>IF('Données projet'!$A$88&gt;35,BD88+BC89-BL88,IF(A89&lt;'Données projet'!$A$88,$BA$205^A89,IF(A89='Données projet'!$A$88,'Données projet'!$B$88,BD88+BC89-BL88)))</f>
        <v>398.60000000000008</v>
      </c>
      <c r="BE89" s="13">
        <f>BD89*VLOOKUP('Données projet'!$B$11,Paramètres!$A$1:$I$89,3,0)*VLOOKUP('Données projet'!$B$11,Paramètres!$A$1:$I$89,5,0)</f>
        <v>404.18040000000013</v>
      </c>
      <c r="BF89" s="13">
        <f t="shared" si="91"/>
        <v>92.623663662853104</v>
      </c>
      <c r="BG89" s="20">
        <f t="shared" si="61"/>
        <v>865.26707754613597</v>
      </c>
      <c r="BH89" s="59">
        <f t="shared" si="62"/>
        <v>1158.6004108794693</v>
      </c>
      <c r="BI89" s="59">
        <f ca="1">AVERAGE(OFFSET($BH$3,0,0,'Données projet'!$E$11+1,1))-AVERAGE(OFFSET($H$3,0,0,'Données projet'!$E$11+1,1))</f>
        <v>485.01379841128346</v>
      </c>
      <c r="BJ89" s="59">
        <f t="shared" si="92"/>
        <v>238.25679915866897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111.37550238249541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111.37550238249541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">
        <f t="shared" si="86"/>
        <v>12.486900926874483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6">
        <f t="shared" si="56"/>
        <v>387.96487744763988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763.00000000000057</v>
      </c>
      <c r="O90" s="13">
        <f>N90*VLOOKUP('Données projet'!$B$9,Paramètres!$A$1:$I$89,3,0)*VLOOKUP('Données projet'!$B$9,Paramètres!$A$1:$I$89,5,0)</f>
        <v>456.2740000000004</v>
      </c>
      <c r="P90" s="13">
        <f t="shared" si="87"/>
        <v>103.09649786611838</v>
      </c>
      <c r="Q90" s="20">
        <f t="shared" si="54"/>
        <v>974.23695045015677</v>
      </c>
      <c r="R90" s="59">
        <f t="shared" si="55"/>
        <v>1267.5702837834901</v>
      </c>
      <c r="S90" s="59">
        <f ca="1">AVERAGE(OFFSET($R$3,0,0,'Données projet'!$E$9+1,1))-AVERAGE(OFFSET($H$3,0,0,'Données projet'!$E$9+1,1))</f>
        <v>481.17250315093412</v>
      </c>
      <c r="T90" s="59">
        <f t="shared" si="88"/>
        <v>413.48123190206832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92.645478066941365</v>
      </c>
      <c r="AA90" s="21">
        <f>EXP(-LN(2)/25)*AA89+(1-EXP(-LN(2)/25))/(LN(2)/25)*Calculateur!V90*Calculateur!X90*VLOOKUP('Données projet'!$B$9,Paramètres!$A$1:$I$89,3,0)*0.475*44/12</f>
        <v>13.470113843428017</v>
      </c>
      <c r="AB90" s="21">
        <f>EXP(-LN(2)/2)*AB89+(1-EXP(-LN(2)/2))/(LN(2)/2)*V90*Y90*VLOOKUP('Données projet'!$B$9,Paramètres!$A$1:$I$89,3,0)*0.475*44/12</f>
        <v>2.0690747176322299E-10</v>
      </c>
      <c r="AC90" s="22">
        <f t="shared" si="57"/>
        <v>106.11559191057628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10.41</v>
      </c>
      <c r="AI90" s="13">
        <f>IF('Données projet'!$A$62&gt;35,AI89+AH90-AQ89,IF(A90&lt;'Données projet'!$A$62,$AF$205^A90,IF(A90='Données projet'!$A$62,'Données projet'!$B$62,AI89+AH90-AQ89)))</f>
        <v>409.0100000000001</v>
      </c>
      <c r="AJ90" s="13">
        <f>AI90*VLOOKUP('Données projet'!$B$10,Paramètres!$A$1:$I$89,3,0)*VLOOKUP('Données projet'!$B$10,Paramètres!$A$1:$I$89,5,0)</f>
        <v>370.07224800000012</v>
      </c>
      <c r="AK90" s="13">
        <f t="shared" si="89"/>
        <v>85.682086233509125</v>
      </c>
      <c r="AL90" s="20">
        <f t="shared" si="58"/>
        <v>793.77213212336176</v>
      </c>
      <c r="AM90" s="59">
        <f t="shared" si="59"/>
        <v>1087.1054654566951</v>
      </c>
      <c r="AN90" s="59">
        <f ca="1">AVERAGE(OFFSET($AM$3,0,0,'Données projet'!$E$10+1,1))-AVERAGE(OFFSET($H$3,0,0,'Données projet'!$E$10+1,1))</f>
        <v>426.34811677569007</v>
      </c>
      <c r="AO90" s="59">
        <f t="shared" si="90"/>
        <v>209.65223938402107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97.432412451710064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97.432412451710064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10.41</v>
      </c>
      <c r="BD90" s="12">
        <f>IF('Données projet'!$A$88&gt;35,BD89+BC90-BL89,IF(A90&lt;'Données projet'!$A$88,$BA$205^A90,IF(A90='Données projet'!$A$88,'Données projet'!$B$88,BD89+BC90-BL89)))</f>
        <v>409.0100000000001</v>
      </c>
      <c r="BE90" s="13">
        <f>BD90*VLOOKUP('Données projet'!$B$11,Paramètres!$A$1:$I$89,3,0)*VLOOKUP('Données projet'!$B$11,Paramètres!$A$1:$I$89,5,0)</f>
        <v>414.73614000000015</v>
      </c>
      <c r="BF90" s="13">
        <f t="shared" si="91"/>
        <v>94.757872021698574</v>
      </c>
      <c r="BG90" s="20">
        <f t="shared" si="61"/>
        <v>887.3687376044586</v>
      </c>
      <c r="BH90" s="59">
        <f t="shared" si="62"/>
        <v>1180.7020709377919</v>
      </c>
      <c r="BI90" s="59">
        <f ca="1">AVERAGE(OFFSET($BH$3,0,0,'Données projet'!$E$11+1,1))-AVERAGE(OFFSET($H$3,0,0,'Données projet'!$E$11+1,1))</f>
        <v>485.01379841128346</v>
      </c>
      <c r="BJ90" s="59">
        <f t="shared" si="92"/>
        <v>238.25679915866897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109.19149671312337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109.19149671312337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">
        <f t="shared" si="86"/>
        <v>12.613637433293027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6">
        <f t="shared" si="56"/>
        <v>389.02335186298552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763.00000000000057</v>
      </c>
      <c r="O91" s="13">
        <f>N91*VLOOKUP('Données projet'!$B$9,Paramètres!$A$1:$I$89,3,0)*VLOOKUP('Données projet'!$B$9,Paramètres!$A$1:$I$89,5,0)</f>
        <v>456.2740000000004</v>
      </c>
      <c r="P91" s="13">
        <f t="shared" si="87"/>
        <v>103.09649786611838</v>
      </c>
      <c r="Q91" s="20">
        <f t="shared" si="54"/>
        <v>974.23695045015677</v>
      </c>
      <c r="R91" s="59">
        <f t="shared" si="55"/>
        <v>1267.5702837834901</v>
      </c>
      <c r="S91" s="59">
        <f ca="1">AVERAGE(OFFSET($R$3,0,0,'Données projet'!$E$9+1,1))-AVERAGE(OFFSET($H$3,0,0,'Données projet'!$E$9+1,1))</f>
        <v>481.17250315093412</v>
      </c>
      <c r="T91" s="59">
        <f t="shared" si="88"/>
        <v>413.48123190206832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90.828756750210545</v>
      </c>
      <c r="AA91" s="21">
        <f>EXP(-LN(2)/25)*AA90+(1-EXP(-LN(2)/25))/(LN(2)/25)*Calculateur!V91*Calculateur!X91*VLOOKUP('Données projet'!$B$9,Paramètres!$A$1:$I$89,3,0)*0.475*44/12</f>
        <v>13.101772872016976</v>
      </c>
      <c r="AB91" s="21">
        <f>EXP(-LN(2)/2)*AB90+(1-EXP(-LN(2)/2))/(LN(2)/2)*V91*Y91*VLOOKUP('Données projet'!$B$9,Paramètres!$A$1:$I$89,3,0)*0.475*44/12</f>
        <v>1.4630567636193908E-10</v>
      </c>
      <c r="AC91" s="22">
        <f t="shared" si="57"/>
        <v>103.93052962237383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10.41</v>
      </c>
      <c r="AI91" s="13">
        <f>IF('Données projet'!$A$62&gt;35,AI90+AH91-AQ90,IF(A91&lt;'Données projet'!$A$62,$AF$205^A91,IF(A91='Données projet'!$A$62,'Données projet'!$B$62,AI90+AH91-AQ90)))</f>
        <v>419.42000000000013</v>
      </c>
      <c r="AJ91" s="13">
        <f>AI91*VLOOKUP('Données projet'!$B$10,Paramètres!$A$1:$I$89,3,0)*VLOOKUP('Données projet'!$B$10,Paramètres!$A$1:$I$89,5,0)</f>
        <v>379.49121600000012</v>
      </c>
      <c r="AK91" s="13">
        <f t="shared" si="89"/>
        <v>87.606173526430752</v>
      </c>
      <c r="AL91" s="20">
        <f t="shared" si="58"/>
        <v>813.52795342520051</v>
      </c>
      <c r="AM91" s="59">
        <f t="shared" si="59"/>
        <v>1106.8612867585339</v>
      </c>
      <c r="AN91" s="59">
        <f ca="1">AVERAGE(OFFSET($AM$3,0,0,'Données projet'!$E$10+1,1))-AVERAGE(OFFSET($H$3,0,0,'Données projet'!$E$10+1,1))</f>
        <v>426.34811677569007</v>
      </c>
      <c r="AO91" s="59">
        <f t="shared" si="90"/>
        <v>209.65223938402107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95.52182227143561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95.52182227143561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10.41</v>
      </c>
      <c r="BD91" s="12">
        <f>IF('Données projet'!$A$88&gt;35,BD90+BC91-BL90,IF(A91&lt;'Données projet'!$A$88,$BA$205^A91,IF(A91='Données projet'!$A$88,'Données projet'!$B$88,BD90+BC91-BL90)))</f>
        <v>419.42000000000013</v>
      </c>
      <c r="BE91" s="13">
        <f>BD91*VLOOKUP('Données projet'!$B$11,Paramètres!$A$1:$I$89,3,0)*VLOOKUP('Données projet'!$B$11,Paramètres!$A$1:$I$89,5,0)</f>
        <v>425.29188000000016</v>
      </c>
      <c r="BF91" s="13">
        <f t="shared" si="91"/>
        <v>96.885766258124534</v>
      </c>
      <c r="BG91" s="20">
        <f t="shared" si="61"/>
        <v>909.45940056623385</v>
      </c>
      <c r="BH91" s="59">
        <f t="shared" si="62"/>
        <v>1202.7927338995671</v>
      </c>
      <c r="BI91" s="59">
        <f ca="1">AVERAGE(OFFSET($BH$3,0,0,'Données projet'!$E$11+1,1))-AVERAGE(OFFSET($H$3,0,0,'Données projet'!$E$11+1,1))</f>
        <v>485.01379841128346</v>
      </c>
      <c r="BJ91" s="59">
        <f t="shared" si="92"/>
        <v>238.25679915866897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107.05031806281579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107.05031806281579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">
        <f t="shared" si="86"/>
        <v>12.740206408885738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6">
        <f t="shared" si="56"/>
        <v>390.08153449547615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763.00000000000057</v>
      </c>
      <c r="O92" s="13">
        <f>N92*VLOOKUP('Données projet'!$B$9,Paramètres!$A$1:$I$89,3,0)*VLOOKUP('Données projet'!$B$9,Paramètres!$A$1:$I$89,5,0)</f>
        <v>456.2740000000004</v>
      </c>
      <c r="P92" s="13">
        <f t="shared" si="87"/>
        <v>103.09649786611838</v>
      </c>
      <c r="Q92" s="20">
        <f t="shared" si="54"/>
        <v>974.23695045015677</v>
      </c>
      <c r="R92" s="59">
        <f t="shared" si="55"/>
        <v>1267.5702837834901</v>
      </c>
      <c r="S92" s="59">
        <f ca="1">AVERAGE(OFFSET($R$3,0,0,'Données projet'!$E$9+1,1))-AVERAGE(OFFSET($H$3,0,0,'Données projet'!$E$9+1,1))</f>
        <v>481.17250315093412</v>
      </c>
      <c r="T92" s="59">
        <f t="shared" si="88"/>
        <v>413.48123190206832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89.04766023041023</v>
      </c>
      <c r="AA92" s="21">
        <f>EXP(-LN(2)/25)*AA91+(1-EXP(-LN(2)/25))/(LN(2)/25)*Calculateur!V92*Calculateur!X92*VLOOKUP('Données projet'!$B$9,Paramètres!$A$1:$I$89,3,0)*0.475*44/12</f>
        <v>12.743504203839381</v>
      </c>
      <c r="AB92" s="21">
        <f>EXP(-LN(2)/2)*AB91+(1-EXP(-LN(2)/2))/(LN(2)/2)*V92*Y92*VLOOKUP('Données projet'!$B$9,Paramètres!$A$1:$I$89,3,0)*0.475*44/12</f>
        <v>1.0345373588161149E-10</v>
      </c>
      <c r="AC92" s="22">
        <f t="shared" si="57"/>
        <v>101.79116443435306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>
        <f>VLOOKUP(A92,'Données projet'!$A$61:$I$81,2,0)</f>
        <v>429.83</v>
      </c>
      <c r="AG92" s="12">
        <f>VLOOKUP(A92,'Données projet'!$A$61:$I$81,9,0)</f>
        <v>10.41</v>
      </c>
      <c r="AH92" s="12">
        <f t="array" ref="AH92">INDEX(AG:AG,MIN(IF(ISNUMBER(AG92:AG288),ROW(AG92:AG288),"")))</f>
        <v>10.41</v>
      </c>
      <c r="AI92" s="13">
        <f>IF('Données projet'!$A$62&gt;35,AI91+AH92-AQ91,IF(A92&lt;'Données projet'!$A$62,$AF$205^A92,IF(A92='Données projet'!$A$62,'Données projet'!$B$62,AI91+AH92-AQ91)))</f>
        <v>429.83000000000015</v>
      </c>
      <c r="AJ92" s="13">
        <f>AI92*VLOOKUP('Données projet'!$B$10,Paramètres!$A$1:$I$89,3,0)*VLOOKUP('Données projet'!$B$10,Paramètres!$A$1:$I$89,5,0)</f>
        <v>388.91018400000013</v>
      </c>
      <c r="AK92" s="13">
        <f t="shared" si="89"/>
        <v>89.524709460853941</v>
      </c>
      <c r="AL92" s="20">
        <f t="shared" si="58"/>
        <v>833.27410611098742</v>
      </c>
      <c r="AM92" s="59">
        <f t="shared" si="59"/>
        <v>1126.6074394443208</v>
      </c>
      <c r="AN92" s="59">
        <f ca="1">AVERAGE(OFFSET($AM$3,0,0,'Données projet'!$E$10+1,1))-AVERAGE(OFFSET($H$3,0,0,'Données projet'!$E$10+1,1))</f>
        <v>426.34811677569007</v>
      </c>
      <c r="AO92" s="59">
        <f t="shared" si="90"/>
        <v>209.65223938402107</v>
      </c>
      <c r="AP92" s="15">
        <f>IF(ISNA(VLOOKUP(A92,'Données projet'!$A$61:$I$81,3,0)),0,VLOOKUP(A92,'Données projet'!$A$61:$I$81,3,0))</f>
        <v>8</v>
      </c>
      <c r="AQ92" s="15">
        <f>IF(ISNA(VLOOKUP(A92,'Données projet'!$A$61:$I$81,4,0)),0,VLOOKUP(A92,'Données projet'!$A$61:$I$81,4,0))</f>
        <v>64.5</v>
      </c>
      <c r="AR92" s="16">
        <f>IF(ISNA(VLOOKUP(A92,'Données projet'!$A$61:$I$81,5,0)),0%,VLOOKUP(A92,'Données projet'!$A$61:$I$81,5,0)*VLOOKUP('Données projet'!$B$10,Paramètres!$A$1:$I$89,7,0))</f>
        <v>0.43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121.39006553864958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121.39006553864958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>
        <f>VLOOKUP(A92,'Données projet'!$A$87:$I$107,2,0)</f>
        <v>429.83</v>
      </c>
      <c r="BB92" s="12">
        <f>VLOOKUP(A92,'Données projet'!$A$87:$I$107,9,0)</f>
        <v>10.41</v>
      </c>
      <c r="BC92" s="12">
        <f t="array" ref="BC92">INDEX(BB:BB,MIN(IF(ISNUMBER(BB92:BB288),ROW(BB92:BB288),"")))</f>
        <v>10.41</v>
      </c>
      <c r="BD92" s="12">
        <f>IF('Données projet'!$A$88&gt;35,BD91+BC92-BL91,IF(A92&lt;'Données projet'!$A$88,$BA$205^A92,IF(A92='Données projet'!$A$88,'Données projet'!$B$88,BD91+BC92-BL91)))</f>
        <v>429.83000000000015</v>
      </c>
      <c r="BE92" s="13">
        <f>BD92*VLOOKUP('Données projet'!$B$11,Paramètres!$A$1:$I$89,3,0)*VLOOKUP('Données projet'!$B$11,Paramètres!$A$1:$I$89,5,0)</f>
        <v>435.84762000000018</v>
      </c>
      <c r="BF92" s="13">
        <f t="shared" si="91"/>
        <v>99.007521114182325</v>
      </c>
      <c r="BG92" s="20">
        <f t="shared" si="61"/>
        <v>931.53937077386774</v>
      </c>
      <c r="BH92" s="59">
        <f t="shared" si="62"/>
        <v>1224.8727041072011</v>
      </c>
      <c r="BI92" s="59">
        <f ca="1">AVERAGE(OFFSET($BH$3,0,0,'Données projet'!$E$11+1,1))-AVERAGE(OFFSET($H$3,0,0,'Données projet'!$E$11+1,1))</f>
        <v>485.01379841128346</v>
      </c>
      <c r="BJ92" s="59">
        <f t="shared" si="92"/>
        <v>238.25679915866897</v>
      </c>
      <c r="BK92" s="15">
        <f>IF(ISNA(VLOOKUP(A92,'Données projet'!$A$87:$I$107,3,0)),0,VLOOKUP(A92,'Données projet'!$A$87:$I$107,3,0))</f>
        <v>8</v>
      </c>
      <c r="BL92" s="15">
        <f>IF(ISNA(VLOOKUP(A92,'Données projet'!$A$87:$I$107,4,0)),0,VLOOKUP(A92,'Données projet'!$A$87:$I$107,4,0))</f>
        <v>64.5</v>
      </c>
      <c r="BM92" s="16">
        <f>IF(ISNA(VLOOKUP(A92,'Données projet'!$A$87:$I$107,5,0)),0%,VLOOKUP(A92,'Données projet'!$A$87:$I$107,5,0)*VLOOKUP('Données projet'!$B$11,Paramètres!$A$1:$I$89,7,0))</f>
        <v>0.43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136.04059068986595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136.04059068986595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">
        <f t="shared" si="86"/>
        <v>12.866609953844367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6">
        <f t="shared" si="56"/>
        <v>391.13942900294575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763.00000000000057</v>
      </c>
      <c r="O93" s="13">
        <f>N93*VLOOKUP('Données projet'!$B$9,Paramètres!$A$1:$I$89,3,0)*VLOOKUP('Données projet'!$B$9,Paramètres!$A$1:$I$89,5,0)</f>
        <v>456.2740000000004</v>
      </c>
      <c r="P93" s="13">
        <f t="shared" si="87"/>
        <v>103.09649786611838</v>
      </c>
      <c r="Q93" s="20">
        <f t="shared" si="54"/>
        <v>974.23695045015677</v>
      </c>
      <c r="R93" s="59">
        <f t="shared" si="55"/>
        <v>1267.5702837834901</v>
      </c>
      <c r="S93" s="59">
        <f ca="1">AVERAGE(OFFSET($R$3,0,0,'Données projet'!$E$9+1,1))-AVERAGE(OFFSET($H$3,0,0,'Données projet'!$E$9+1,1))</f>
        <v>481.17250315093412</v>
      </c>
      <c r="T93" s="59">
        <f t="shared" si="88"/>
        <v>413.48123190206832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87.301489927001597</v>
      </c>
      <c r="AA93" s="21">
        <f>EXP(-LN(2)/25)*AA92+(1-EXP(-LN(2)/25))/(LN(2)/25)*Calculateur!V93*Calculateur!X93*VLOOKUP('Données projet'!$B$9,Paramètres!$A$1:$I$89,3,0)*0.475*44/12</f>
        <v>12.395032411233633</v>
      </c>
      <c r="AB93" s="21">
        <f>EXP(-LN(2)/2)*AB92+(1-EXP(-LN(2)/2))/(LN(2)/2)*V93*Y93*VLOOKUP('Données projet'!$B$9,Paramètres!$A$1:$I$89,3,0)*0.475*44/12</f>
        <v>7.3152838180969538E-11</v>
      </c>
      <c r="AC93" s="22">
        <f t="shared" si="57"/>
        <v>99.696522338308384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9.9470000000000027</v>
      </c>
      <c r="AI93" s="13">
        <f>IF('Données projet'!$A$62&gt;35,AI92+AH93-AQ92,IF(A93&lt;'Données projet'!$A$62,$AF$205^A93,IF(A93='Données projet'!$A$62,'Données projet'!$B$62,AI92+AH93-AQ92)))</f>
        <v>375.27700000000016</v>
      </c>
      <c r="AJ93" s="13">
        <f>AI93*VLOOKUP('Données projet'!$B$10,Paramètres!$A$1:$I$89,3,0)*VLOOKUP('Données projet'!$B$10,Paramètres!$A$1:$I$89,5,0)</f>
        <v>339.55062960000009</v>
      </c>
      <c r="AK93" s="13">
        <f t="shared" si="89"/>
        <v>79.407096506902036</v>
      </c>
      <c r="AL93" s="20">
        <f t="shared" si="58"/>
        <v>729.68470630285447</v>
      </c>
      <c r="AM93" s="59">
        <f t="shared" si="59"/>
        <v>1023.0180396361877</v>
      </c>
      <c r="AN93" s="59">
        <f ca="1">AVERAGE(OFFSET($AM$3,0,0,'Données projet'!$E$10+1,1))-AVERAGE(OFFSET($H$3,0,0,'Données projet'!$E$10+1,1))</f>
        <v>426.34811677569007</v>
      </c>
      <c r="AO93" s="59">
        <f t="shared" si="90"/>
        <v>209.65223938402107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119.00968039406574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119.00968039406574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9.9470000000000027</v>
      </c>
      <c r="BD93" s="12">
        <f>IF('Données projet'!$A$88&gt;35,BD92+BC93-BL92,IF(A93&lt;'Données projet'!$A$88,$BA$205^A93,IF(A93='Données projet'!$A$88,'Données projet'!$B$88,BD92+BC93-BL92)))</f>
        <v>375.27700000000016</v>
      </c>
      <c r="BE93" s="13">
        <f>BD93*VLOOKUP('Données projet'!$B$11,Paramètres!$A$1:$I$89,3,0)*VLOOKUP('Données projet'!$B$11,Paramètres!$A$1:$I$89,5,0)</f>
        <v>380.5308780000002</v>
      </c>
      <c r="BF93" s="13">
        <f t="shared" si="91"/>
        <v>87.818210540641346</v>
      </c>
      <c r="BG93" s="20">
        <f t="shared" si="61"/>
        <v>815.7079958749506</v>
      </c>
      <c r="BH93" s="59">
        <f t="shared" si="62"/>
        <v>1109.041329208284</v>
      </c>
      <c r="BI93" s="59">
        <f ca="1">AVERAGE(OFFSET($BH$3,0,0,'Données projet'!$E$11+1,1))-AVERAGE(OFFSET($H$3,0,0,'Données projet'!$E$11+1,1))</f>
        <v>485.01379841128346</v>
      </c>
      <c r="BJ93" s="59">
        <f t="shared" si="92"/>
        <v>238.25679915866897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133.37291768300474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133.37291768300474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">
        <f t="shared" si="86"/>
        <v>12.992850119002412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6">
        <f t="shared" si="56"/>
        <v>392.19703895726269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763.00000000000057</v>
      </c>
      <c r="O94" s="13">
        <f>N94*VLOOKUP('Données projet'!$B$9,Paramètres!$A$1:$I$89,3,0)*VLOOKUP('Données projet'!$B$9,Paramètres!$A$1:$I$89,5,0)</f>
        <v>456.2740000000004</v>
      </c>
      <c r="P94" s="13">
        <f t="shared" si="87"/>
        <v>103.09649786611838</v>
      </c>
      <c r="Q94" s="20">
        <f t="shared" si="54"/>
        <v>974.23695045015677</v>
      </c>
      <c r="R94" s="59">
        <f t="shared" si="55"/>
        <v>1267.5702837834901</v>
      </c>
      <c r="S94" s="59">
        <f ca="1">AVERAGE(OFFSET($R$3,0,0,'Données projet'!$E$9+1,1))-AVERAGE(OFFSET($H$3,0,0,'Données projet'!$E$9+1,1))</f>
        <v>481.17250315093412</v>
      </c>
      <c r="T94" s="59">
        <f t="shared" si="88"/>
        <v>413.48123190206832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85.58956095818408</v>
      </c>
      <c r="AA94" s="21">
        <f>EXP(-LN(2)/25)*AA93+(1-EXP(-LN(2)/25))/(LN(2)/25)*Calculateur!V94*Calculateur!X94*VLOOKUP('Données projet'!$B$9,Paramètres!$A$1:$I$89,3,0)*0.475*44/12</f>
        <v>12.056089598122023</v>
      </c>
      <c r="AB94" s="21">
        <f>EXP(-LN(2)/2)*AB93+(1-EXP(-LN(2)/2))/(LN(2)/2)*V94*Y94*VLOOKUP('Données projet'!$B$9,Paramètres!$A$1:$I$89,3,0)*0.475*44/12</f>
        <v>5.1726867940805747E-11</v>
      </c>
      <c r="AC94" s="22">
        <f t="shared" si="57"/>
        <v>97.645650556357836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9.9470000000000027</v>
      </c>
      <c r="AI94" s="13">
        <f>IF('Données projet'!$A$62&gt;35,AI93+AH94-AQ93,IF(A94&lt;'Données projet'!$A$62,$AF$205^A94,IF(A94='Données projet'!$A$62,'Données projet'!$B$62,AI93+AH94-AQ93)))</f>
        <v>385.22400000000016</v>
      </c>
      <c r="AJ94" s="13">
        <f>AI94*VLOOKUP('Données projet'!$B$10,Paramètres!$A$1:$I$89,3,0)*VLOOKUP('Données projet'!$B$10,Paramètres!$A$1:$I$89,5,0)</f>
        <v>348.55067520000011</v>
      </c>
      <c r="AK94" s="13">
        <f t="shared" si="89"/>
        <v>81.264008176199866</v>
      </c>
      <c r="AL94" s="20">
        <f t="shared" si="58"/>
        <v>748.59390688021494</v>
      </c>
      <c r="AM94" s="59">
        <f t="shared" si="59"/>
        <v>1041.9272402135482</v>
      </c>
      <c r="AN94" s="59">
        <f ca="1">AVERAGE(OFFSET($AM$3,0,0,'Données projet'!$E$10+1,1))-AVERAGE(OFFSET($H$3,0,0,'Données projet'!$E$10+1,1))</f>
        <v>426.34811677569007</v>
      </c>
      <c r="AO94" s="59">
        <f t="shared" si="90"/>
        <v>209.65223938402107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116.67597315027561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116.67597315027561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9.9470000000000027</v>
      </c>
      <c r="BD94" s="12">
        <f>IF('Données projet'!$A$88&gt;35,BD93+BC94-BL93,IF(A94&lt;'Données projet'!$A$88,$BA$205^A94,IF(A94='Données projet'!$A$88,'Données projet'!$B$88,BD93+BC94-BL93)))</f>
        <v>385.22400000000016</v>
      </c>
      <c r="BE94" s="13">
        <f>BD94*VLOOKUP('Données projet'!$B$11,Paramètres!$A$1:$I$89,3,0)*VLOOKUP('Données projet'!$B$11,Paramètres!$A$1:$I$89,5,0)</f>
        <v>390.61713600000019</v>
      </c>
      <c r="BF94" s="13">
        <f t="shared" si="91"/>
        <v>89.871813645441875</v>
      </c>
      <c r="BG94" s="20">
        <f t="shared" si="61"/>
        <v>836.85158729914485</v>
      </c>
      <c r="BH94" s="59">
        <f t="shared" si="62"/>
        <v>1130.1849206324782</v>
      </c>
      <c r="BI94" s="59">
        <f ca="1">AVERAGE(OFFSET($BH$3,0,0,'Données projet'!$E$11+1,1))-AVERAGE(OFFSET($H$3,0,0,'Données projet'!$E$11+1,1))</f>
        <v>485.01379841128346</v>
      </c>
      <c r="BJ94" s="59">
        <f t="shared" si="92"/>
        <v>238.25679915866897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130.75755611668822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130.75755611668822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">
        <f t="shared" si="86"/>
        <v>13.118928907524481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6">
        <f t="shared" si="56"/>
        <v>393.25436784727196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763.00000000000057</v>
      </c>
      <c r="O95" s="13">
        <f>N95*VLOOKUP('Données projet'!$B$9,Paramètres!$A$1:$I$89,3,0)*VLOOKUP('Données projet'!$B$9,Paramètres!$A$1:$I$89,5,0)</f>
        <v>456.2740000000004</v>
      </c>
      <c r="P95" s="13">
        <f t="shared" si="87"/>
        <v>103.09649786611838</v>
      </c>
      <c r="Q95" s="20">
        <f t="shared" si="54"/>
        <v>974.23695045015677</v>
      </c>
      <c r="R95" s="59">
        <f t="shared" si="55"/>
        <v>1267.5702837834901</v>
      </c>
      <c r="S95" s="59">
        <f ca="1">AVERAGE(OFFSET($R$3,0,0,'Données projet'!$E$9+1,1))-AVERAGE(OFFSET($H$3,0,0,'Données projet'!$E$9+1,1))</f>
        <v>481.17250315093412</v>
      </c>
      <c r="T95" s="59">
        <f t="shared" si="88"/>
        <v>413.48123190206832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83.911201872271505</v>
      </c>
      <c r="AA95" s="21">
        <f>EXP(-LN(2)/25)*AA94+(1-EXP(-LN(2)/25))/(LN(2)/25)*Calculateur!V95*Calculateur!X95*VLOOKUP('Données projet'!$B$9,Paramètres!$A$1:$I$89,3,0)*0.475*44/12</f>
        <v>11.726415194059179</v>
      </c>
      <c r="AB95" s="21">
        <f>EXP(-LN(2)/2)*AB94+(1-EXP(-LN(2)/2))/(LN(2)/2)*V95*Y95*VLOOKUP('Données projet'!$B$9,Paramètres!$A$1:$I$89,3,0)*0.475*44/12</f>
        <v>3.6576419090484769E-11</v>
      </c>
      <c r="AC95" s="22">
        <f t="shared" si="57"/>
        <v>95.637617066367255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9.9470000000000027</v>
      </c>
      <c r="AI95" s="13">
        <f>IF('Données projet'!$A$62&gt;35,AI94+AH95-AQ94,IF(A95&lt;'Données projet'!$A$62,$AF$205^A95,IF(A95='Données projet'!$A$62,'Données projet'!$B$62,AI94+AH95-AQ94)))</f>
        <v>395.17100000000016</v>
      </c>
      <c r="AJ95" s="13">
        <f>AI95*VLOOKUP('Données projet'!$B$10,Paramètres!$A$1:$I$89,3,0)*VLOOKUP('Données projet'!$B$10,Paramètres!$A$1:$I$89,5,0)</f>
        <v>357.55072080000014</v>
      </c>
      <c r="AK95" s="13">
        <f t="shared" si="89"/>
        <v>83.115346428782544</v>
      </c>
      <c r="AL95" s="20">
        <f t="shared" si="58"/>
        <v>767.49340042346319</v>
      </c>
      <c r="AM95" s="59">
        <f t="shared" si="59"/>
        <v>1060.8267337567966</v>
      </c>
      <c r="AN95" s="59">
        <f ca="1">AVERAGE(OFFSET($AM$3,0,0,'Données projet'!$E$10+1,1))-AVERAGE(OFFSET($H$3,0,0,'Données projet'!$E$10+1,1))</f>
        <v>426.34811677569007</v>
      </c>
      <c r="AO95" s="59">
        <f t="shared" si="90"/>
        <v>209.65223938402107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114.38802848211533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114.38802848211533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9.9470000000000027</v>
      </c>
      <c r="BD95" s="12">
        <f>IF('Données projet'!$A$88&gt;35,BD94+BC95-BL94,IF(A95&lt;'Données projet'!$A$88,$BA$205^A95,IF(A95='Données projet'!$A$88,'Données projet'!$B$88,BD94+BC95-BL94)))</f>
        <v>395.17100000000016</v>
      </c>
      <c r="BE95" s="13">
        <f>BD95*VLOOKUP('Données projet'!$B$11,Paramètres!$A$1:$I$89,3,0)*VLOOKUP('Données projet'!$B$11,Paramètres!$A$1:$I$89,5,0)</f>
        <v>400.70339400000023</v>
      </c>
      <c r="BF95" s="13">
        <f t="shared" si="91"/>
        <v>91.919252975163644</v>
      </c>
      <c r="BG95" s="20">
        <f t="shared" si="61"/>
        <v>857.98444348174371</v>
      </c>
      <c r="BH95" s="59">
        <f t="shared" si="62"/>
        <v>1151.317776815077</v>
      </c>
      <c r="BI95" s="59">
        <f ca="1">AVERAGE(OFFSET($BH$3,0,0,'Données projet'!$E$11+1,1))-AVERAGE(OFFSET($H$3,0,0,'Données projet'!$E$11+1,1))</f>
        <v>485.01379841128346</v>
      </c>
      <c r="BJ95" s="59">
        <f t="shared" si="92"/>
        <v>238.25679915866897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128.19348019547411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128.19348019547411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">
        <f t="shared" si="86"/>
        <v>13.244848276520115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6">
        <f t="shared" si="56"/>
        <v>394.311419081606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763.00000000000057</v>
      </c>
      <c r="O96" s="13">
        <f>N96*VLOOKUP('Données projet'!$B$9,Paramètres!$A$1:$I$89,3,0)*VLOOKUP('Données projet'!$B$9,Paramètres!$A$1:$I$89,5,0)</f>
        <v>456.2740000000004</v>
      </c>
      <c r="P96" s="13">
        <f t="shared" si="87"/>
        <v>103.09649786611838</v>
      </c>
      <c r="Q96" s="20">
        <f t="shared" si="54"/>
        <v>974.23695045015677</v>
      </c>
      <c r="R96" s="59">
        <f t="shared" si="55"/>
        <v>1267.5702837834901</v>
      </c>
      <c r="S96" s="59">
        <f ca="1">AVERAGE(OFFSET($R$3,0,0,'Données projet'!$E$9+1,1))-AVERAGE(OFFSET($H$3,0,0,'Données projet'!$E$9+1,1))</f>
        <v>481.17250315093412</v>
      </c>
      <c r="T96" s="59">
        <f t="shared" si="88"/>
        <v>413.48123190206832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82.265754384335722</v>
      </c>
      <c r="AA96" s="21">
        <f>EXP(-LN(2)/25)*AA95+(1-EXP(-LN(2)/25))/(LN(2)/25)*Calculateur!V96*Calculateur!X96*VLOOKUP('Données projet'!$B$9,Paramètres!$A$1:$I$89,3,0)*0.475*44/12</f>
        <v>11.405755753912256</v>
      </c>
      <c r="AB96" s="21">
        <f>EXP(-LN(2)/2)*AB95+(1-EXP(-LN(2)/2))/(LN(2)/2)*V96*Y96*VLOOKUP('Données projet'!$B$9,Paramètres!$A$1:$I$89,3,0)*0.475*44/12</f>
        <v>2.5863433970402874E-11</v>
      </c>
      <c r="AC96" s="22">
        <f t="shared" si="57"/>
        <v>93.671510138273845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9.9470000000000027</v>
      </c>
      <c r="AI96" s="13">
        <f>IF('Données projet'!$A$62&gt;35,AI95+AH96-AQ95,IF(A96&lt;'Données projet'!$A$62,$AF$205^A96,IF(A96='Données projet'!$A$62,'Données projet'!$B$62,AI95+AH96-AQ95)))</f>
        <v>405.11800000000017</v>
      </c>
      <c r="AJ96" s="13">
        <f>AI96*VLOOKUP('Données projet'!$B$10,Paramètres!$A$1:$I$89,3,0)*VLOOKUP('Données projet'!$B$10,Paramètres!$A$1:$I$89,5,0)</f>
        <v>366.5507664000001</v>
      </c>
      <c r="AK96" s="13">
        <f t="shared" si="89"/>
        <v>84.961267689272873</v>
      </c>
      <c r="AL96" s="20">
        <f t="shared" si="58"/>
        <v>786.38345937215036</v>
      </c>
      <c r="AM96" s="59">
        <f t="shared" si="59"/>
        <v>1079.7167927054836</v>
      </c>
      <c r="AN96" s="59">
        <f ca="1">AVERAGE(OFFSET($AM$3,0,0,'Données projet'!$E$10+1,1))-AVERAGE(OFFSET($H$3,0,0,'Données projet'!$E$10+1,1))</f>
        <v>426.34811677569007</v>
      </c>
      <c r="AO96" s="59">
        <f t="shared" si="90"/>
        <v>209.65223938402107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112.14494901338922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112.14494901338922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9.9470000000000027</v>
      </c>
      <c r="BD96" s="12">
        <f>IF('Données projet'!$A$88&gt;35,BD95+BC96-BL95,IF(A96&lt;'Données projet'!$A$88,$BA$205^A96,IF(A96='Données projet'!$A$88,'Données projet'!$B$88,BD95+BC96-BL95)))</f>
        <v>405.11800000000017</v>
      </c>
      <c r="BE96" s="13">
        <f>BD96*VLOOKUP('Données projet'!$B$11,Paramètres!$A$1:$I$89,3,0)*VLOOKUP('Données projet'!$B$11,Paramètres!$A$1:$I$89,5,0)</f>
        <v>410.78965200000022</v>
      </c>
      <c r="BF96" s="13">
        <f t="shared" si="91"/>
        <v>93.960701523544898</v>
      </c>
      <c r="BG96" s="20">
        <f t="shared" si="61"/>
        <v>879.10686572017437</v>
      </c>
      <c r="BH96" s="59">
        <f t="shared" si="62"/>
        <v>1172.4401990535077</v>
      </c>
      <c r="BI96" s="59">
        <f ca="1">AVERAGE(OFFSET($BH$3,0,0,'Données projet'!$E$11+1,1))-AVERAGE(OFFSET($H$3,0,0,'Données projet'!$E$11+1,1))</f>
        <v>485.01379841128346</v>
      </c>
      <c r="BJ96" s="59">
        <f t="shared" si="92"/>
        <v>238.25679915866897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125.67968423914313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125.67968423914313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">
        <f t="shared" si="86"/>
        <v>13.37061013858626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6">
        <f t="shared" si="56"/>
        <v>395.36819599137124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763.00000000000057</v>
      </c>
      <c r="O97" s="13">
        <f>N97*VLOOKUP('Données projet'!$B$9,Paramètres!$A$1:$I$89,3,0)*VLOOKUP('Données projet'!$B$9,Paramètres!$A$1:$I$89,5,0)</f>
        <v>456.2740000000004</v>
      </c>
      <c r="P97" s="13">
        <f t="shared" si="87"/>
        <v>103.09649786611838</v>
      </c>
      <c r="Q97" s="20">
        <f t="shared" si="54"/>
        <v>974.23695045015677</v>
      </c>
      <c r="R97" s="59">
        <f t="shared" si="55"/>
        <v>1267.5702837834901</v>
      </c>
      <c r="S97" s="59">
        <f ca="1">AVERAGE(OFFSET($R$3,0,0,'Données projet'!$E$9+1,1))-AVERAGE(OFFSET($H$3,0,0,'Données projet'!$E$9+1,1))</f>
        <v>481.17250315093412</v>
      </c>
      <c r="T97" s="59">
        <f t="shared" si="88"/>
        <v>413.48123190206832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80.652573118014487</v>
      </c>
      <c r="AA97" s="21">
        <f>EXP(-LN(2)/25)*AA96+(1-EXP(-LN(2)/25))/(LN(2)/25)*Calculateur!V97*Calculateur!X97*VLOOKUP('Données projet'!$B$9,Paramètres!$A$1:$I$89,3,0)*0.475*44/12</f>
        <v>11.0938647630189</v>
      </c>
      <c r="AB97" s="21">
        <f>EXP(-LN(2)/2)*AB96+(1-EXP(-LN(2)/2))/(LN(2)/2)*V97*Y97*VLOOKUP('Données projet'!$B$9,Paramètres!$A$1:$I$89,3,0)*0.475*44/12</f>
        <v>1.8288209545242385E-11</v>
      </c>
      <c r="AC97" s="22">
        <f t="shared" si="57"/>
        <v>91.746437881051676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9.9470000000000027</v>
      </c>
      <c r="AI97" s="13">
        <f>IF('Données projet'!$A$62&gt;35,AI96+AH97-AQ96,IF(A97&lt;'Données projet'!$A$62,$AF$205^A97,IF(A97='Données projet'!$A$62,'Données projet'!$B$62,AI96+AH97-AQ96)))</f>
        <v>415.06500000000017</v>
      </c>
      <c r="AJ97" s="13">
        <f>AI97*VLOOKUP('Données projet'!$B$10,Paramètres!$A$1:$I$89,3,0)*VLOOKUP('Données projet'!$B$10,Paramètres!$A$1:$I$89,5,0)</f>
        <v>375.55081200000012</v>
      </c>
      <c r="AK97" s="13">
        <f t="shared" si="89"/>
        <v>86.801920262883286</v>
      </c>
      <c r="AL97" s="20">
        <f t="shared" si="58"/>
        <v>805.26434202452185</v>
      </c>
      <c r="AM97" s="59">
        <f t="shared" si="59"/>
        <v>1098.5976753578552</v>
      </c>
      <c r="AN97" s="59">
        <f ca="1">AVERAGE(OFFSET($AM$3,0,0,'Données projet'!$E$10+1,1))-AVERAGE(OFFSET($H$3,0,0,'Données projet'!$E$10+1,1))</f>
        <v>426.34811677569007</v>
      </c>
      <c r="AO97" s="59">
        <f t="shared" si="90"/>
        <v>209.65223938402107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109.94585496490146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109.94585496490146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9.9470000000000027</v>
      </c>
      <c r="BD97" s="12">
        <f>IF('Données projet'!$A$88&gt;35,BD96+BC97-BL96,IF(A97&lt;'Données projet'!$A$88,$BA$205^A97,IF(A97='Données projet'!$A$88,'Données projet'!$B$88,BD96+BC97-BL96)))</f>
        <v>415.06500000000017</v>
      </c>
      <c r="BE97" s="13">
        <f>BD97*VLOOKUP('Données projet'!$B$11,Paramètres!$A$1:$I$89,3,0)*VLOOKUP('Données projet'!$B$11,Paramètres!$A$1:$I$89,5,0)</f>
        <v>420.8759100000002</v>
      </c>
      <c r="BF97" s="13">
        <f t="shared" si="91"/>
        <v>95.996323304873258</v>
      </c>
      <c r="BG97" s="20">
        <f t="shared" si="61"/>
        <v>900.21913967265448</v>
      </c>
      <c r="BH97" s="59">
        <f t="shared" si="62"/>
        <v>1193.5524730059878</v>
      </c>
      <c r="BI97" s="59">
        <f ca="1">AVERAGE(OFFSET($BH$3,0,0,'Données projet'!$E$11+1,1))-AVERAGE(OFFSET($H$3,0,0,'Données projet'!$E$11+1,1))</f>
        <v>485.01379841128346</v>
      </c>
      <c r="BJ97" s="59">
        <f t="shared" si="92"/>
        <v>238.25679915866897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123.21518228825167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123.21518228825167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">
        <f t="shared" si="86"/>
        <v>13.49621636328218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6">
        <f t="shared" si="56"/>
        <v>396.42470183271661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763.00000000000057</v>
      </c>
      <c r="O98" s="13">
        <f>N98*VLOOKUP('Données projet'!$B$9,Paramètres!$A$1:$I$89,3,0)*VLOOKUP('Données projet'!$B$9,Paramètres!$A$1:$I$89,5,0)</f>
        <v>456.2740000000004</v>
      </c>
      <c r="P98" s="13">
        <f t="shared" si="87"/>
        <v>103.09649786611838</v>
      </c>
      <c r="Q98" s="20">
        <f t="shared" si="54"/>
        <v>974.23695045015677</v>
      </c>
      <c r="R98" s="59">
        <f t="shared" si="55"/>
        <v>1267.5702837834901</v>
      </c>
      <c r="S98" s="59">
        <f ca="1">AVERAGE(OFFSET($R$3,0,0,'Données projet'!$E$9+1,1))-AVERAGE(OFFSET($H$3,0,0,'Données projet'!$E$9+1,1))</f>
        <v>481.17250315093412</v>
      </c>
      <c r="T98" s="59">
        <f t="shared" si="88"/>
        <v>413.48123190206832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79.071025352382392</v>
      </c>
      <c r="AA98" s="21">
        <f>EXP(-LN(2)/25)*AA97+(1-EXP(-LN(2)/25))/(LN(2)/25)*Calculateur!V98*Calculateur!X98*VLOOKUP('Données projet'!$B$9,Paramètres!$A$1:$I$89,3,0)*0.475*44/12</f>
        <v>10.790502447673155</v>
      </c>
      <c r="AB98" s="21">
        <f>EXP(-LN(2)/2)*AB97+(1-EXP(-LN(2)/2))/(LN(2)/2)*V98*Y98*VLOOKUP('Données projet'!$B$9,Paramètres!$A$1:$I$89,3,0)*0.475*44/12</f>
        <v>1.2931716985201437E-11</v>
      </c>
      <c r="AC98" s="22">
        <f t="shared" si="57"/>
        <v>89.861527800068473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9.9470000000000027</v>
      </c>
      <c r="AI98" s="13">
        <f>IF('Données projet'!$A$62&gt;35,AI97+AH98-AQ97,IF(A98&lt;'Données projet'!$A$62,$AF$205^A98,IF(A98='Données projet'!$A$62,'Données projet'!$B$62,AI97+AH98-AQ97)))</f>
        <v>425.01200000000017</v>
      </c>
      <c r="AJ98" s="13">
        <f>AI98*VLOOKUP('Données projet'!$B$10,Paramètres!$A$1:$I$89,3,0)*VLOOKUP('Données projet'!$B$10,Paramètres!$A$1:$I$89,5,0)</f>
        <v>384.55085760000014</v>
      </c>
      <c r="AK98" s="13">
        <f t="shared" si="89"/>
        <v>88.637444941196293</v>
      </c>
      <c r="AL98" s="20">
        <f t="shared" si="58"/>
        <v>824.13629359258368</v>
      </c>
      <c r="AM98" s="59">
        <f t="shared" si="59"/>
        <v>1117.4696269259171</v>
      </c>
      <c r="AN98" s="59">
        <f ca="1">AVERAGE(OFFSET($AM$3,0,0,'Données projet'!$E$10+1,1))-AVERAGE(OFFSET($H$3,0,0,'Données projet'!$E$10+1,1))</f>
        <v>426.34811677569007</v>
      </c>
      <c r="AO98" s="59">
        <f t="shared" si="90"/>
        <v>209.65223938402107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107.78988380938961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107.78988380938961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9.9470000000000027</v>
      </c>
      <c r="BD98" s="12">
        <f>IF('Données projet'!$A$88&gt;35,BD97+BC98-BL97,IF(A98&lt;'Données projet'!$A$88,$BA$205^A98,IF(A98='Données projet'!$A$88,'Données projet'!$B$88,BD97+BC98-BL97)))</f>
        <v>425.01200000000017</v>
      </c>
      <c r="BE98" s="13">
        <f>BD98*VLOOKUP('Données projet'!$B$11,Paramètres!$A$1:$I$89,3,0)*VLOOKUP('Données projet'!$B$11,Paramètres!$A$1:$I$89,5,0)</f>
        <v>430.96216800000025</v>
      </c>
      <c r="BF98" s="13">
        <f t="shared" si="91"/>
        <v>98.026274023933112</v>
      </c>
      <c r="BG98" s="20">
        <f t="shared" si="61"/>
        <v>921.32153652501711</v>
      </c>
      <c r="BH98" s="59">
        <f t="shared" si="62"/>
        <v>1214.6548698583504</v>
      </c>
      <c r="BI98" s="59">
        <f ca="1">AVERAGE(OFFSET($BH$3,0,0,'Données projet'!$E$11+1,1))-AVERAGE(OFFSET($H$3,0,0,'Données projet'!$E$11+1,1))</f>
        <v>485.01379841128346</v>
      </c>
      <c r="BJ98" s="59">
        <f t="shared" si="92"/>
        <v>238.25679915866897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120.79900771741943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120.79900771741943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">
        <f t="shared" si="86"/>
        <v>13.621668778540512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6">
        <f t="shared" si="56"/>
        <v>397.48093978929154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763.00000000000057</v>
      </c>
      <c r="O99" s="13">
        <f>N99*VLOOKUP('Données projet'!$B$9,Paramètres!$A$1:$I$89,3,0)*VLOOKUP('Données projet'!$B$9,Paramètres!$A$1:$I$89,5,0)</f>
        <v>456.2740000000004</v>
      </c>
      <c r="P99" s="13">
        <f t="shared" si="87"/>
        <v>103.09649786611838</v>
      </c>
      <c r="Q99" s="20">
        <f t="shared" ref="Q99:Q130" si="107">(O99+P99)*0.475*44/12</f>
        <v>974.23695045015677</v>
      </c>
      <c r="R99" s="59">
        <f t="shared" si="55"/>
        <v>1267.5702837834901</v>
      </c>
      <c r="S99" s="59">
        <f ca="1">AVERAGE(OFFSET($R$3,0,0,'Données projet'!$E$9+1,1))-AVERAGE(OFFSET($H$3,0,0,'Données projet'!$E$9+1,1))</f>
        <v>481.17250315093412</v>
      </c>
      <c r="T99" s="59">
        <f t="shared" si="88"/>
        <v>413.48123190206832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77.520490773785468</v>
      </c>
      <c r="AA99" s="21">
        <f>EXP(-LN(2)/25)*AA98+(1-EXP(-LN(2)/25))/(LN(2)/25)*Calculateur!V99*Calculateur!X99*VLOOKUP('Données projet'!$B$9,Paramètres!$A$1:$I$89,3,0)*0.475*44/12</f>
        <v>10.49543559079367</v>
      </c>
      <c r="AB99" s="21">
        <f>EXP(-LN(2)/2)*AB98+(1-EXP(-LN(2)/2))/(LN(2)/2)*V99*Y99*VLOOKUP('Données projet'!$B$9,Paramètres!$A$1:$I$89,3,0)*0.475*44/12</f>
        <v>9.1441047726211923E-12</v>
      </c>
      <c r="AC99" s="22">
        <f t="shared" si="57"/>
        <v>88.015926364588282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9.9470000000000027</v>
      </c>
      <c r="AI99" s="13">
        <f>IF('Données projet'!$A$62&gt;35,AI98+AH99-AQ98,IF(A99&lt;'Données projet'!$A$62,$AF$205^A99,IF(A99='Données projet'!$A$62,'Données projet'!$B$62,AI98+AH99-AQ98)))</f>
        <v>434.95900000000017</v>
      </c>
      <c r="AJ99" s="13">
        <f>AI99*VLOOKUP('Données projet'!$B$10,Paramètres!$A$1:$I$89,3,0)*VLOOKUP('Données projet'!$B$10,Paramètres!$A$1:$I$89,5,0)</f>
        <v>393.55090320000016</v>
      </c>
      <c r="AK99" s="13">
        <f t="shared" si="89"/>
        <v>90.467975549637174</v>
      </c>
      <c r="AL99" s="20">
        <f t="shared" si="58"/>
        <v>842.99954715561842</v>
      </c>
      <c r="AM99" s="59">
        <f t="shared" si="59"/>
        <v>1136.3328804889518</v>
      </c>
      <c r="AN99" s="59">
        <f ca="1">AVERAGE(OFFSET($AM$3,0,0,'Données projet'!$E$10+1,1))-AVERAGE(OFFSET($H$3,0,0,'Données projet'!$E$10+1,1))</f>
        <v>426.34811677569007</v>
      </c>
      <c r="AO99" s="59">
        <f t="shared" si="90"/>
        <v>209.65223938402107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105.67618993322479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105.67618993322479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9.9470000000000027</v>
      </c>
      <c r="BD99" s="12">
        <f>IF('Données projet'!$A$88&gt;35,BD98+BC99-BL98,IF(A99&lt;'Données projet'!$A$88,$BA$205^A99,IF(A99='Données projet'!$A$88,'Données projet'!$B$88,BD98+BC99-BL98)))</f>
        <v>434.95900000000017</v>
      </c>
      <c r="BE99" s="13">
        <f>BD99*VLOOKUP('Données projet'!$B$11,Paramètres!$A$1:$I$89,3,0)*VLOOKUP('Données projet'!$B$11,Paramètres!$A$1:$I$89,5,0)</f>
        <v>441.04842600000018</v>
      </c>
      <c r="BF99" s="13">
        <f t="shared" si="91"/>
        <v>100.05070168146835</v>
      </c>
      <c r="BG99" s="20">
        <f t="shared" si="61"/>
        <v>942.41431404522439</v>
      </c>
      <c r="BH99" s="59">
        <f t="shared" si="62"/>
        <v>1235.7476473785578</v>
      </c>
      <c r="BI99" s="59">
        <f ca="1">AVERAGE(OFFSET($BH$3,0,0,'Données projet'!$E$11+1,1))-AVERAGE(OFFSET($H$3,0,0,'Données projet'!$E$11+1,1))</f>
        <v>485.01379841128346</v>
      </c>
      <c r="BJ99" s="59">
        <f t="shared" si="92"/>
        <v>238.25679915866897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118.43021285620023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118.43021285620023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">
        <f t="shared" si="86"/>
        <v>13.746969172017856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6">
        <f t="shared" si="56"/>
        <v>398.5369129745979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763.00000000000057</v>
      </c>
      <c r="O100" s="13">
        <f>N100*VLOOKUP('Données projet'!$B$9,Paramètres!$A$1:$I$89,3,0)*VLOOKUP('Données projet'!$B$9,Paramètres!$A$1:$I$89,5,0)</f>
        <v>456.2740000000004</v>
      </c>
      <c r="P100" s="13">
        <f t="shared" si="87"/>
        <v>103.09649786611838</v>
      </c>
      <c r="Q100" s="20">
        <f t="shared" si="107"/>
        <v>974.23695045015677</v>
      </c>
      <c r="R100" s="59">
        <f t="shared" si="55"/>
        <v>1267.5702837834901</v>
      </c>
      <c r="S100" s="59">
        <f ca="1">AVERAGE(OFFSET($R$3,0,0,'Données projet'!$E$9+1,1))-AVERAGE(OFFSET($H$3,0,0,'Données projet'!$E$9+1,1))</f>
        <v>481.17250315093412</v>
      </c>
      <c r="T100" s="59">
        <f t="shared" si="88"/>
        <v>413.48123190206832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76.000361232542119</v>
      </c>
      <c r="AA100" s="21">
        <f>EXP(-LN(2)/25)*AA99+(1-EXP(-LN(2)/25))/(LN(2)/25)*Calculateur!V100*Calculateur!X100*VLOOKUP('Données projet'!$B$9,Paramètres!$A$1:$I$89,3,0)*0.475*44/12</f>
        <v>10.208437352632448</v>
      </c>
      <c r="AB100" s="21">
        <f>EXP(-LN(2)/2)*AB99+(1-EXP(-LN(2)/2))/(LN(2)/2)*V100*Y100*VLOOKUP('Données projet'!$B$9,Paramètres!$A$1:$I$89,3,0)*0.475*44/12</f>
        <v>6.4658584926007184E-12</v>
      </c>
      <c r="AC100" s="22">
        <f t="shared" si="57"/>
        <v>86.208798585181029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9.9470000000000027</v>
      </c>
      <c r="AI100" s="13">
        <f>IF('Données projet'!$A$62&gt;35,AI99+AH100-AQ99,IF(A100&lt;'Données projet'!$A$62,$AF$205^A100,IF(A100='Données projet'!$A$62,'Données projet'!$B$62,AI99+AH100-AQ99)))</f>
        <v>444.90600000000018</v>
      </c>
      <c r="AJ100" s="13">
        <f>AI100*VLOOKUP('Données projet'!$B$10,Paramètres!$A$1:$I$89,3,0)*VLOOKUP('Données projet'!$B$10,Paramètres!$A$1:$I$89,5,0)</f>
        <v>402.55094880000019</v>
      </c>
      <c r="AK100" s="13">
        <f t="shared" si="89"/>
        <v>92.293639443453927</v>
      </c>
      <c r="AL100" s="20">
        <f t="shared" si="58"/>
        <v>861.85432452401585</v>
      </c>
      <c r="AM100" s="59">
        <f t="shared" si="59"/>
        <v>1155.1876578573492</v>
      </c>
      <c r="AN100" s="59">
        <f ca="1">AVERAGE(OFFSET($AM$3,0,0,'Données projet'!$E$10+1,1))-AVERAGE(OFFSET($H$3,0,0,'Données projet'!$E$10+1,1))</f>
        <v>426.34811677569007</v>
      </c>
      <c r="AO100" s="59">
        <f t="shared" si="90"/>
        <v>209.65223938402107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103.6039443047456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103.6039443047456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9.9470000000000027</v>
      </c>
      <c r="BD100" s="12">
        <f>IF('Données projet'!$A$88&gt;35,BD99+BC100-BL99,IF(A100&lt;'Données projet'!$A$88,$BA$205^A100,IF(A100='Données projet'!$A$88,'Données projet'!$B$88,BD99+BC100-BL99)))</f>
        <v>444.90600000000018</v>
      </c>
      <c r="BE100" s="13">
        <f>BD100*VLOOKUP('Données projet'!$B$11,Paramètres!$A$1:$I$89,3,0)*VLOOKUP('Données projet'!$B$11,Paramètres!$A$1:$I$89,5,0)</f>
        <v>451.13468400000016</v>
      </c>
      <c r="BF100" s="13">
        <f t="shared" si="91"/>
        <v>102.0697471226993</v>
      </c>
      <c r="BG100" s="20">
        <f t="shared" si="61"/>
        <v>963.49771753870164</v>
      </c>
      <c r="BH100" s="59">
        <f t="shared" si="62"/>
        <v>1256.8310508720349</v>
      </c>
      <c r="BI100" s="59">
        <f ca="1">AVERAGE(OFFSET($BH$3,0,0,'Données projet'!$E$11+1,1))-AVERAGE(OFFSET($H$3,0,0,'Données projet'!$E$11+1,1))</f>
        <v>485.01379841128346</v>
      </c>
      <c r="BJ100" s="59">
        <f t="shared" si="92"/>
        <v>238.25679915866897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116.10786861738734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116.10786861738734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">
        <f t="shared" si="86"/>
        <v>13.87211929238806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6">
        <f t="shared" si="56"/>
        <v>399.59262443424268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763.00000000000057</v>
      </c>
      <c r="O101" s="13">
        <f>N101*VLOOKUP('Données projet'!$B$9,Paramètres!$A$1:$I$89,3,0)*VLOOKUP('Données projet'!$B$9,Paramètres!$A$1:$I$89,5,0)</f>
        <v>456.2740000000004</v>
      </c>
      <c r="P101" s="13">
        <f t="shared" si="87"/>
        <v>103.09649786611838</v>
      </c>
      <c r="Q101" s="20">
        <f t="shared" si="107"/>
        <v>974.23695045015677</v>
      </c>
      <c r="R101" s="59">
        <f t="shared" si="55"/>
        <v>1267.5702837834901</v>
      </c>
      <c r="S101" s="59">
        <f ca="1">AVERAGE(OFFSET($R$3,0,0,'Données projet'!$E$9+1,1))-AVERAGE(OFFSET($H$3,0,0,'Données projet'!$E$9+1,1))</f>
        <v>481.17250315093412</v>
      </c>
      <c r="T101" s="59">
        <f t="shared" si="88"/>
        <v>413.48123190206832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74.510040504415073</v>
      </c>
      <c r="AA101" s="21">
        <f>EXP(-LN(2)/25)*AA100+(1-EXP(-LN(2)/25))/(LN(2)/25)*Calculateur!V101*Calculateur!X101*VLOOKUP('Données projet'!$B$9,Paramètres!$A$1:$I$89,3,0)*0.475*44/12</f>
        <v>9.9292870963863251</v>
      </c>
      <c r="AB101" s="21">
        <f>EXP(-LN(2)/2)*AB100+(1-EXP(-LN(2)/2))/(LN(2)/2)*V101*Y101*VLOOKUP('Données projet'!$B$9,Paramètres!$A$1:$I$89,3,0)*0.475*44/12</f>
        <v>4.5720523863105961E-12</v>
      </c>
      <c r="AC101" s="22">
        <f t="shared" si="57"/>
        <v>84.439327600805967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9.9470000000000027</v>
      </c>
      <c r="AI101" s="13">
        <f>IF('Données projet'!$A$62&gt;35,AI100+AH101-AQ100,IF(A101&lt;'Données projet'!$A$62,$AF$205^A101,IF(A101='Données projet'!$A$62,'Données projet'!$B$62,AI100+AH101-AQ100)))</f>
        <v>454.85300000000018</v>
      </c>
      <c r="AJ101" s="13">
        <f>AI101*VLOOKUP('Données projet'!$B$10,Paramètres!$A$1:$I$89,3,0)*VLOOKUP('Données projet'!$B$10,Paramètres!$A$1:$I$89,5,0)</f>
        <v>411.55099440000015</v>
      </c>
      <c r="AK101" s="13">
        <f t="shared" si="89"/>
        <v>94.11455795809178</v>
      </c>
      <c r="AL101" s="20">
        <f t="shared" si="58"/>
        <v>880.70083702367674</v>
      </c>
      <c r="AM101" s="59">
        <f t="shared" si="59"/>
        <v>1174.03417035701</v>
      </c>
      <c r="AN101" s="59">
        <f ca="1">AVERAGE(OFFSET($AM$3,0,0,'Données projet'!$E$10+1,1))-AVERAGE(OFFSET($H$3,0,0,'Données projet'!$E$10+1,1))</f>
        <v>426.34811677569007</v>
      </c>
      <c r="AO101" s="59">
        <f t="shared" si="90"/>
        <v>209.65223938402107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101.57233414909585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101.57233414909585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9.9470000000000027</v>
      </c>
      <c r="BD101" s="12">
        <f>IF('Données projet'!$A$88&gt;35,BD100+BC101-BL100,IF(A101&lt;'Données projet'!$A$88,$BA$205^A101,IF(A101='Données projet'!$A$88,'Données projet'!$B$88,BD100+BC101-BL100)))</f>
        <v>454.85300000000018</v>
      </c>
      <c r="BE101" s="13">
        <f>BD101*VLOOKUP('Données projet'!$B$11,Paramètres!$A$1:$I$89,3,0)*VLOOKUP('Données projet'!$B$11,Paramètres!$A$1:$I$89,5,0)</f>
        <v>461.22094200000021</v>
      </c>
      <c r="BF101" s="13">
        <f t="shared" si="91"/>
        <v>104.08354453540181</v>
      </c>
      <c r="BG101" s="20">
        <f t="shared" si="61"/>
        <v>984.57198071582513</v>
      </c>
      <c r="BH101" s="59">
        <f t="shared" si="62"/>
        <v>1277.9053140491585</v>
      </c>
      <c r="BI101" s="59">
        <f ca="1">AVERAGE(OFFSET($BH$3,0,0,'Données projet'!$E$11+1,1))-AVERAGE(OFFSET($H$3,0,0,'Données projet'!$E$11+1,1))</f>
        <v>485.01379841128346</v>
      </c>
      <c r="BJ101" s="59">
        <f t="shared" si="92"/>
        <v>238.25679915866897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113.83106413260745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113.83106413260745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">
        <f t="shared" si="86"/>
        <v>13.997120850581238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6">
        <f t="shared" si="56"/>
        <v>400.64807714809581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763.00000000000057</v>
      </c>
      <c r="O102" s="13">
        <f>N102*VLOOKUP('Données projet'!$B$9,Paramètres!$A$1:$I$89,3,0)*VLOOKUP('Données projet'!$B$9,Paramètres!$A$1:$I$89,5,0)</f>
        <v>456.2740000000004</v>
      </c>
      <c r="P102" s="13">
        <f t="shared" si="87"/>
        <v>103.09649786611838</v>
      </c>
      <c r="Q102" s="20">
        <f t="shared" si="107"/>
        <v>974.23695045015677</v>
      </c>
      <c r="R102" s="59">
        <f t="shared" si="55"/>
        <v>1267.5702837834901</v>
      </c>
      <c r="S102" s="59">
        <f ca="1">AVERAGE(OFFSET($R$3,0,0,'Données projet'!$E$9+1,1))-AVERAGE(OFFSET($H$3,0,0,'Données projet'!$E$9+1,1))</f>
        <v>481.17250315093412</v>
      </c>
      <c r="T102" s="59">
        <f t="shared" si="88"/>
        <v>413.48123190206832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73.048944056760718</v>
      </c>
      <c r="AA102" s="21">
        <f>EXP(-LN(2)/25)*AA101+(1-EXP(-LN(2)/25))/(LN(2)/25)*Calculateur!V102*Calculateur!X102*VLOOKUP('Données projet'!$B$9,Paramètres!$A$1:$I$89,3,0)*0.475*44/12</f>
        <v>9.6577702185771255</v>
      </c>
      <c r="AB102" s="21">
        <f>EXP(-LN(2)/2)*AB101+(1-EXP(-LN(2)/2))/(LN(2)/2)*V102*Y102*VLOOKUP('Données projet'!$B$9,Paramètres!$A$1:$I$89,3,0)*0.475*44/12</f>
        <v>3.2329292463003592E-12</v>
      </c>
      <c r="AC102" s="22">
        <f t="shared" si="57"/>
        <v>82.706714275341071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>
        <f>VLOOKUP(A102,'Données projet'!$A$61:$I$81,2,0)</f>
        <v>464.8</v>
      </c>
      <c r="AG102" s="12">
        <f>VLOOKUP(A102,'Données projet'!$A$61:$I$81,9,0)</f>
        <v>9.9470000000000027</v>
      </c>
      <c r="AH102" s="12">
        <f t="array" ref="AH102">INDEX(AG:AG,MIN(IF(ISNUMBER(AG102:AG298),ROW(AG102:AG298),"")))</f>
        <v>9.9470000000000027</v>
      </c>
      <c r="AI102" s="13">
        <f>IF('Données projet'!$A$62&gt;35,AI101+AH102-AQ101,IF(A102&lt;'Données projet'!$A$62,$AF$205^A102,IF(A102='Données projet'!$A$62,'Données projet'!$B$62,AI101+AH102-AQ101)))</f>
        <v>464.80000000000018</v>
      </c>
      <c r="AJ102" s="13">
        <f>AI102*VLOOKUP('Données projet'!$B$10,Paramètres!$A$1:$I$89,3,0)*VLOOKUP('Données projet'!$B$10,Paramètres!$A$1:$I$89,5,0)</f>
        <v>420.55104000000011</v>
      </c>
      <c r="AK102" s="13">
        <f t="shared" si="89"/>
        <v>95.930846819060008</v>
      </c>
      <c r="AL102" s="20">
        <f t="shared" si="58"/>
        <v>899.53928620986301</v>
      </c>
      <c r="AM102" s="59">
        <f t="shared" si="59"/>
        <v>1192.8726195431964</v>
      </c>
      <c r="AN102" s="59">
        <f ca="1">AVERAGE(OFFSET($AM$3,0,0,'Données projet'!$E$10+1,1))-AVERAGE(OFFSET($H$3,0,0,'Données projet'!$E$10+1,1))</f>
        <v>426.34811677569007</v>
      </c>
      <c r="AO102" s="59">
        <f t="shared" si="90"/>
        <v>209.65223938402107</v>
      </c>
      <c r="AP102" s="15">
        <f>IF(ISNA(VLOOKUP(A102,'Données projet'!$A$61:$I$81,3,0)),0,VLOOKUP(A102,'Données projet'!$A$61:$I$81,3,0))</f>
        <v>9</v>
      </c>
      <c r="AQ102" s="15">
        <f>IF(ISNA(VLOOKUP(A102,'Données projet'!$A$61:$I$81,4,0)),0,VLOOKUP(A102,'Données projet'!$A$61:$I$81,4,0))</f>
        <v>62.94</v>
      </c>
      <c r="AR102" s="16">
        <f>IF(ISNA(VLOOKUP(A102,'Données projet'!$A$61:$I$81,5,0)),0%,VLOOKUP(A102,'Données projet'!$A$61:$I$81,5,0)*VLOOKUP('Données projet'!$B$10,Paramètres!$A$1:$I$89,7,0))</f>
        <v>0.43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126.65097655355829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126.65097655355829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>
        <f>VLOOKUP(A102,'Données projet'!$A$87:$I$107,2,0)</f>
        <v>464.8</v>
      </c>
      <c r="BB102" s="12">
        <f>VLOOKUP(A102,'Données projet'!$A$87:$I$107,9,0)</f>
        <v>9.9470000000000027</v>
      </c>
      <c r="BC102" s="12">
        <f t="array" ref="BC102">INDEX(BB:BB,MIN(IF(ISNUMBER(BB102:BB298),ROW(BB102:BB298),"")))</f>
        <v>9.9470000000000027</v>
      </c>
      <c r="BD102" s="12">
        <f>IF('Données projet'!$A$88&gt;35,BD101+BC102-BL101,IF(A102&lt;'Données projet'!$A$88,$BA$205^A102,IF(A102='Données projet'!$A$88,'Données projet'!$B$88,BD101+BC102-BL101)))</f>
        <v>464.80000000000018</v>
      </c>
      <c r="BE102" s="13">
        <f>BD102*VLOOKUP('Données projet'!$B$11,Paramètres!$A$1:$I$89,3,0)*VLOOKUP('Données projet'!$B$11,Paramètres!$A$1:$I$89,5,0)</f>
        <v>471.30720000000019</v>
      </c>
      <c r="BF102" s="13">
        <f t="shared" si="91"/>
        <v>106.0922219031893</v>
      </c>
      <c r="BG102" s="20">
        <f t="shared" si="61"/>
        <v>1005.6373264813883</v>
      </c>
      <c r="BH102" s="59">
        <f t="shared" si="62"/>
        <v>1298.9706598147216</v>
      </c>
      <c r="BI102" s="59">
        <f ca="1">AVERAGE(OFFSET($BH$3,0,0,'Données projet'!$E$11+1,1))-AVERAGE(OFFSET($H$3,0,0,'Données projet'!$E$11+1,1))</f>
        <v>485.01379841128346</v>
      </c>
      <c r="BJ102" s="59">
        <f t="shared" si="92"/>
        <v>238.25679915866897</v>
      </c>
      <c r="BK102" s="15">
        <f>IF(ISNA(VLOOKUP(A102,'Données projet'!$A$87:$I$107,3,0)),0,VLOOKUP(A102,'Données projet'!$A$87:$I$107,3,0))</f>
        <v>9</v>
      </c>
      <c r="BL102" s="15">
        <f>IF(ISNA(VLOOKUP(A102,'Données projet'!$A$87:$I$107,4,0)),0,VLOOKUP(A102,'Données projet'!$A$87:$I$107,4,0))</f>
        <v>62.94</v>
      </c>
      <c r="BM102" s="16">
        <f>IF(ISNA(VLOOKUP(A102,'Données projet'!$A$87:$I$107,5,0)),0%,VLOOKUP(A102,'Données projet'!$A$87:$I$107,5,0)*VLOOKUP('Données projet'!$B$11,Paramètres!$A$1:$I$89,7,0))</f>
        <v>0.43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141.93643924105675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141.93643924105675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">
        <f t="shared" si="86"/>
        <v>14.121975520971258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6">
        <f t="shared" si="56"/>
        <v>401.70327403235842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763.00000000000057</v>
      </c>
      <c r="O103" s="13">
        <f>N103*VLOOKUP('Données projet'!$B$9,Paramètres!$A$1:$I$89,3,0)*VLOOKUP('Données projet'!$B$9,Paramètres!$A$1:$I$89,5,0)</f>
        <v>456.2740000000004</v>
      </c>
      <c r="P103" s="13">
        <f t="shared" si="87"/>
        <v>103.09649786611838</v>
      </c>
      <c r="Q103" s="20">
        <f t="shared" si="107"/>
        <v>974.23695045015677</v>
      </c>
      <c r="R103" s="59">
        <f t="shared" si="55"/>
        <v>1267.5702837834901</v>
      </c>
      <c r="S103" s="59">
        <f ca="1">AVERAGE(OFFSET($R$3,0,0,'Données projet'!$E$9+1,1))-AVERAGE(OFFSET($H$3,0,0,'Données projet'!$E$9+1,1))</f>
        <v>481.17250315093412</v>
      </c>
      <c r="T103" s="59">
        <f t="shared" si="88"/>
        <v>413.48123190206832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71.616498819264024</v>
      </c>
      <c r="AA103" s="21">
        <f>EXP(-LN(2)/25)*AA102+(1-EXP(-LN(2)/25))/(LN(2)/25)*Calculateur!V103*Calculateur!X103*VLOOKUP('Données projet'!$B$9,Paramètres!$A$1:$I$89,3,0)*0.475*44/12</f>
        <v>9.3936779840700719</v>
      </c>
      <c r="AB103" s="21">
        <f>EXP(-LN(2)/2)*AB102+(1-EXP(-LN(2)/2))/(LN(2)/2)*V103*Y103*VLOOKUP('Données projet'!$B$9,Paramètres!$A$1:$I$89,3,0)*0.475*44/12</f>
        <v>2.2860261931552981E-12</v>
      </c>
      <c r="AC103" s="22">
        <f t="shared" si="57"/>
        <v>81.010176803336378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9.7110000000000021</v>
      </c>
      <c r="AI103" s="13">
        <f>IF('Données projet'!$A$62&gt;35,AI102+AH103-AQ102,IF(A103&lt;'Données projet'!$A$62,$AF$205^A103,IF(A103='Données projet'!$A$62,'Données projet'!$B$62,AI102+AH103-AQ102)))</f>
        <v>411.5710000000002</v>
      </c>
      <c r="AJ103" s="13">
        <f>AI103*VLOOKUP('Données projet'!$B$10,Paramètres!$A$1:$I$89,3,0)*VLOOKUP('Données projet'!$B$10,Paramètres!$A$1:$I$89,5,0)</f>
        <v>372.38944080000016</v>
      </c>
      <c r="AK103" s="13">
        <f t="shared" si="89"/>
        <v>86.155960872174546</v>
      </c>
      <c r="AL103" s="20">
        <f t="shared" si="58"/>
        <v>798.6332412457042</v>
      </c>
      <c r="AM103" s="59">
        <f t="shared" si="59"/>
        <v>1091.9665745790376</v>
      </c>
      <c r="AN103" s="59">
        <f ca="1">AVERAGE(OFFSET($AM$3,0,0,'Données projet'!$E$10+1,1))-AVERAGE(OFFSET($H$3,0,0,'Données projet'!$E$10+1,1))</f>
        <v>426.34811677569007</v>
      </c>
      <c r="AO103" s="59">
        <f t="shared" si="90"/>
        <v>209.65223938402107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124.16742815281096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124.16742815281096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9.7110000000000021</v>
      </c>
      <c r="BD103" s="12">
        <f>IF('Données projet'!$A$88&gt;35,BD102+BC103-BL102,IF(A103&lt;'Données projet'!$A$88,$BA$205^A103,IF(A103='Données projet'!$A$88,'Données projet'!$B$88,BD102+BC103-BL102)))</f>
        <v>411.5710000000002</v>
      </c>
      <c r="BE103" s="13">
        <f>BD103*VLOOKUP('Données projet'!$B$11,Paramètres!$A$1:$I$89,3,0)*VLOOKUP('Données projet'!$B$11,Paramètres!$A$1:$I$89,5,0)</f>
        <v>417.33299400000027</v>
      </c>
      <c r="BF103" s="13">
        <f t="shared" si="91"/>
        <v>95.281941338155363</v>
      </c>
      <c r="BG103" s="20">
        <f t="shared" si="61"/>
        <v>892.80434571395438</v>
      </c>
      <c r="BH103" s="59">
        <f t="shared" si="62"/>
        <v>1186.1376790472877</v>
      </c>
      <c r="BI103" s="59">
        <f ca="1">AVERAGE(OFFSET($BH$3,0,0,'Données projet'!$E$11+1,1))-AVERAGE(OFFSET($H$3,0,0,'Données projet'!$E$11+1,1))</f>
        <v>485.01379841128346</v>
      </c>
      <c r="BJ103" s="59">
        <f t="shared" si="92"/>
        <v>238.25679915866897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139.15315224021921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139.15315224021921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">
        <f t="shared" si="86"/>
        <v>14.246684942514399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6">
        <f t="shared" si="56"/>
        <v>402.75821794154609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763.00000000000057</v>
      </c>
      <c r="O104" s="13">
        <f>N104*VLOOKUP('Données projet'!$B$9,Paramètres!$A$1:$I$89,3,0)*VLOOKUP('Données projet'!$B$9,Paramètres!$A$1:$I$89,5,0)</f>
        <v>456.2740000000004</v>
      </c>
      <c r="P104" s="13">
        <f t="shared" si="87"/>
        <v>103.09649786611838</v>
      </c>
      <c r="Q104" s="20">
        <f t="shared" si="107"/>
        <v>974.23695045015677</v>
      </c>
      <c r="R104" s="59">
        <f t="shared" si="55"/>
        <v>1267.5702837834901</v>
      </c>
      <c r="S104" s="59">
        <f ca="1">AVERAGE(OFFSET($R$3,0,0,'Données projet'!$E$9+1,1))-AVERAGE(OFFSET($H$3,0,0,'Données projet'!$E$9+1,1))</f>
        <v>481.17250315093412</v>
      </c>
      <c r="T104" s="59">
        <f t="shared" si="88"/>
        <v>413.48123190206832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70.212142959169327</v>
      </c>
      <c r="AA104" s="21">
        <f>EXP(-LN(2)/25)*AA103+(1-EXP(-LN(2)/25))/(LN(2)/25)*Calculateur!V104*Calculateur!X104*VLOOKUP('Données projet'!$B$9,Paramètres!$A$1:$I$89,3,0)*0.475*44/12</f>
        <v>9.1368073656036195</v>
      </c>
      <c r="AB104" s="21">
        <f>EXP(-LN(2)/2)*AB103+(1-EXP(-LN(2)/2))/(LN(2)/2)*V104*Y104*VLOOKUP('Données projet'!$B$9,Paramètres!$A$1:$I$89,3,0)*0.475*44/12</f>
        <v>1.6164646231501796E-12</v>
      </c>
      <c r="AC104" s="22">
        <f t="shared" si="57"/>
        <v>79.348950324774563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9.7110000000000021</v>
      </c>
      <c r="AI104" s="13">
        <f>IF('Données projet'!$A$62&gt;35,AI103+AH104-AQ103,IF(A104&lt;'Données projet'!$A$62,$AF$205^A104,IF(A104='Données projet'!$A$62,'Données projet'!$B$62,AI103+AH104-AQ103)))</f>
        <v>421.28200000000021</v>
      </c>
      <c r="AJ104" s="13">
        <f>AI104*VLOOKUP('Données projet'!$B$10,Paramètres!$A$1:$I$89,3,0)*VLOOKUP('Données projet'!$B$10,Paramètres!$A$1:$I$89,5,0)</f>
        <v>381.17595360000018</v>
      </c>
      <c r="AK104" s="13">
        <f t="shared" si="89"/>
        <v>87.949738529484478</v>
      </c>
      <c r="AL104" s="20">
        <f t="shared" si="58"/>
        <v>817.06058045885254</v>
      </c>
      <c r="AM104" s="59">
        <f t="shared" si="59"/>
        <v>1110.3939137921859</v>
      </c>
      <c r="AN104" s="59">
        <f ca="1">AVERAGE(OFFSET($AM$3,0,0,'Données projet'!$E$10+1,1))-AVERAGE(OFFSET($H$3,0,0,'Données projet'!$E$10+1,1))</f>
        <v>426.34811677569007</v>
      </c>
      <c r="AO104" s="59">
        <f t="shared" si="90"/>
        <v>209.65223938402107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121.73258062138733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121.73258062138733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9.7110000000000021</v>
      </c>
      <c r="BD104" s="12">
        <f>IF('Données projet'!$A$88&gt;35,BD103+BC104-BL103,IF(A104&lt;'Données projet'!$A$88,$BA$205^A104,IF(A104='Données projet'!$A$88,'Données projet'!$B$88,BD103+BC104-BL103)))</f>
        <v>421.28200000000021</v>
      </c>
      <c r="BE104" s="13">
        <f>BD104*VLOOKUP('Données projet'!$B$11,Paramètres!$A$1:$I$89,3,0)*VLOOKUP('Données projet'!$B$11,Paramètres!$A$1:$I$89,5,0)</f>
        <v>427.17994800000019</v>
      </c>
      <c r="BF104" s="13">
        <f t="shared" si="91"/>
        <v>97.265723026471477</v>
      </c>
      <c r="BG104" s="20">
        <f t="shared" si="61"/>
        <v>913.40954370443831</v>
      </c>
      <c r="BH104" s="59">
        <f t="shared" si="62"/>
        <v>1206.7428770377717</v>
      </c>
      <c r="BI104" s="59">
        <f ca="1">AVERAGE(OFFSET($BH$3,0,0,'Données projet'!$E$11+1,1))-AVERAGE(OFFSET($H$3,0,0,'Données projet'!$E$11+1,1))</f>
        <v>485.01379841128346</v>
      </c>
      <c r="BJ104" s="59">
        <f t="shared" si="92"/>
        <v>238.25679915866897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136.42444379983067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136.42444379983067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">
        <f t="shared" si="86"/>
        <v>14.371250719841637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6">
        <f t="shared" si="56"/>
        <v>403.81291167039103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763.00000000000057</v>
      </c>
      <c r="O105" s="13">
        <f>N105*VLOOKUP('Données projet'!$B$9,Paramètres!$A$1:$I$89,3,0)*VLOOKUP('Données projet'!$B$9,Paramètres!$A$1:$I$89,5,0)</f>
        <v>456.2740000000004</v>
      </c>
      <c r="P105" s="13">
        <f t="shared" si="87"/>
        <v>103.09649786611838</v>
      </c>
      <c r="Q105" s="20">
        <f t="shared" si="107"/>
        <v>974.23695045015677</v>
      </c>
      <c r="R105" s="59">
        <f t="shared" si="55"/>
        <v>1267.5702837834901</v>
      </c>
      <c r="S105" s="59">
        <f ca="1">AVERAGE(OFFSET($R$3,0,0,'Données projet'!$E$9+1,1))-AVERAGE(OFFSET($H$3,0,0,'Données projet'!$E$9+1,1))</f>
        <v>481.17250315093412</v>
      </c>
      <c r="T105" s="59">
        <f t="shared" si="88"/>
        <v>413.48123190206832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68.835325660918585</v>
      </c>
      <c r="AA105" s="21">
        <f>EXP(-LN(2)/25)*AA104+(1-EXP(-LN(2)/25))/(LN(2)/25)*Calculateur!V105*Calculateur!X105*VLOOKUP('Données projet'!$B$9,Paramètres!$A$1:$I$89,3,0)*0.475*44/12</f>
        <v>8.8869608877073709</v>
      </c>
      <c r="AB105" s="21">
        <f>EXP(-LN(2)/2)*AB104+(1-EXP(-LN(2)/2))/(LN(2)/2)*V105*Y105*VLOOKUP('Données projet'!$B$9,Paramètres!$A$1:$I$89,3,0)*0.475*44/12</f>
        <v>1.143013096577649E-12</v>
      </c>
      <c r="AC105" s="22">
        <f t="shared" si="57"/>
        <v>77.722286548627096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9.7110000000000021</v>
      </c>
      <c r="AI105" s="13">
        <f>IF('Données projet'!$A$62&gt;35,AI104+AH105-AQ104,IF(A105&lt;'Données projet'!$A$62,$AF$205^A105,IF(A105='Données projet'!$A$62,'Données projet'!$B$62,AI104+AH105-AQ104)))</f>
        <v>430.99300000000022</v>
      </c>
      <c r="AJ105" s="13">
        <f>AI105*VLOOKUP('Données projet'!$B$10,Paramètres!$A$1:$I$89,3,0)*VLOOKUP('Données projet'!$B$10,Paramètres!$A$1:$I$89,5,0)</f>
        <v>389.96246640000021</v>
      </c>
      <c r="AK105" s="13">
        <f t="shared" si="89"/>
        <v>89.738709223725238</v>
      </c>
      <c r="AL105" s="20">
        <f t="shared" si="58"/>
        <v>835.47954754465525</v>
      </c>
      <c r="AM105" s="59">
        <f t="shared" si="59"/>
        <v>1128.8128808779886</v>
      </c>
      <c r="AN105" s="59">
        <f ca="1">AVERAGE(OFFSET($AM$3,0,0,'Données projet'!$E$10+1,1))-AVERAGE(OFFSET($H$3,0,0,'Données projet'!$E$10+1,1))</f>
        <v>426.34811677569007</v>
      </c>
      <c r="AO105" s="59">
        <f t="shared" si="90"/>
        <v>209.65223938402107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119.34547896494456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119.34547896494456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9.7110000000000021</v>
      </c>
      <c r="BD105" s="12">
        <f>IF('Données projet'!$A$88&gt;35,BD104+BC105-BL104,IF(A105&lt;'Données projet'!$A$88,$BA$205^A105,IF(A105='Données projet'!$A$88,'Données projet'!$B$88,BD104+BC105-BL104)))</f>
        <v>430.99300000000022</v>
      </c>
      <c r="BE105" s="13">
        <f>BD105*VLOOKUP('Données projet'!$B$11,Paramètres!$A$1:$I$89,3,0)*VLOOKUP('Données projet'!$B$11,Paramètres!$A$1:$I$89,5,0)</f>
        <v>437.02690200000023</v>
      </c>
      <c r="BF105" s="13">
        <f t="shared" si="91"/>
        <v>99.244188579159399</v>
      </c>
      <c r="BG105" s="20">
        <f t="shared" si="61"/>
        <v>934.0054827587029</v>
      </c>
      <c r="BH105" s="59">
        <f t="shared" si="62"/>
        <v>1227.3388160920363</v>
      </c>
      <c r="BI105" s="59">
        <f ca="1">AVERAGE(OFFSET($BH$3,0,0,'Données projet'!$E$11+1,1))-AVERAGE(OFFSET($H$3,0,0,'Données projet'!$E$11+1,1))</f>
        <v>485.01379841128346</v>
      </c>
      <c r="BJ105" s="59">
        <f t="shared" si="92"/>
        <v>238.25679915866897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133.74924366761033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133.74924366761033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">
        <f t="shared" si="86"/>
        <v>14.495674424306822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6">
        <f t="shared" si="56"/>
        <v>404.8673579556679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763.00000000000057</v>
      </c>
      <c r="O106" s="13">
        <f>N106*VLOOKUP('Données projet'!$B$9,Paramètres!$A$1:$I$89,3,0)*VLOOKUP('Données projet'!$B$9,Paramètres!$A$1:$I$89,5,0)</f>
        <v>456.2740000000004</v>
      </c>
      <c r="P106" s="13">
        <f t="shared" si="87"/>
        <v>103.09649786611838</v>
      </c>
      <c r="Q106" s="20">
        <f t="shared" si="107"/>
        <v>974.23695045015677</v>
      </c>
      <c r="R106" s="59">
        <f t="shared" si="55"/>
        <v>1267.5702837834901</v>
      </c>
      <c r="S106" s="59">
        <f ca="1">AVERAGE(OFFSET($R$3,0,0,'Données projet'!$E$9+1,1))-AVERAGE(OFFSET($H$3,0,0,'Données projet'!$E$9+1,1))</f>
        <v>481.17250315093412</v>
      </c>
      <c r="T106" s="59">
        <f t="shared" si="88"/>
        <v>413.48123190206832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67.485506910110914</v>
      </c>
      <c r="AA106" s="21">
        <f>EXP(-LN(2)/25)*AA105+(1-EXP(-LN(2)/25))/(LN(2)/25)*Calculateur!V106*Calculateur!X106*VLOOKUP('Données projet'!$B$9,Paramètres!$A$1:$I$89,3,0)*0.475*44/12</f>
        <v>8.6439464748880503</v>
      </c>
      <c r="AB106" s="21">
        <f>EXP(-LN(2)/2)*AB105+(1-EXP(-LN(2)/2))/(LN(2)/2)*V106*Y106*VLOOKUP('Données projet'!$B$9,Paramètres!$A$1:$I$89,3,0)*0.475*44/12</f>
        <v>8.082323115750898E-13</v>
      </c>
      <c r="AC106" s="22">
        <f t="shared" si="57"/>
        <v>76.129453384999778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9.7110000000000021</v>
      </c>
      <c r="AI106" s="13">
        <f>IF('Données projet'!$A$62&gt;35,AI105+AH106-AQ105,IF(A106&lt;'Données projet'!$A$62,$AF$205^A106,IF(A106='Données projet'!$A$62,'Données projet'!$B$62,AI105+AH106-AQ105)))</f>
        <v>440.70400000000024</v>
      </c>
      <c r="AJ106" s="13">
        <f>AI106*VLOOKUP('Données projet'!$B$10,Paramètres!$A$1:$I$89,3,0)*VLOOKUP('Données projet'!$B$10,Paramètres!$A$1:$I$89,5,0)</f>
        <v>398.74897920000018</v>
      </c>
      <c r="AK106" s="13">
        <f t="shared" si="89"/>
        <v>91.522993733283613</v>
      </c>
      <c r="AL106" s="20">
        <f t="shared" si="58"/>
        <v>853.89035285880254</v>
      </c>
      <c r="AM106" s="59">
        <f t="shared" si="59"/>
        <v>1147.2236861921358</v>
      </c>
      <c r="AN106" s="59">
        <f ca="1">AVERAGE(OFFSET($AM$3,0,0,'Données projet'!$E$10+1,1))-AVERAGE(OFFSET($H$3,0,0,'Données projet'!$E$10+1,1))</f>
        <v>426.34811677569007</v>
      </c>
      <c r="AO106" s="59">
        <f t="shared" si="90"/>
        <v>209.65223938402107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117.0051869159964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117.0051869159964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9.7110000000000021</v>
      </c>
      <c r="BD106" s="12">
        <f>IF('Données projet'!$A$88&gt;35,BD105+BC106-BL105,IF(A106&lt;'Données projet'!$A$88,$BA$205^A106,IF(A106='Données projet'!$A$88,'Données projet'!$B$88,BD105+BC106-BL105)))</f>
        <v>440.70400000000024</v>
      </c>
      <c r="BE106" s="13">
        <f>BD106*VLOOKUP('Données projet'!$B$11,Paramètres!$A$1:$I$89,3,0)*VLOOKUP('Données projet'!$B$11,Paramètres!$A$1:$I$89,5,0)</f>
        <v>446.87385600000033</v>
      </c>
      <c r="BF106" s="13">
        <f t="shared" si="91"/>
        <v>101.21747156793077</v>
      </c>
      <c r="BG106" s="20">
        <f t="shared" si="61"/>
        <v>954.59239551414669</v>
      </c>
      <c r="BH106" s="59">
        <f t="shared" si="62"/>
        <v>1247.9257288474801</v>
      </c>
      <c r="BI106" s="59">
        <f ca="1">AVERAGE(OFFSET($BH$3,0,0,'Données projet'!$E$11+1,1))-AVERAGE(OFFSET($H$3,0,0,'Données projet'!$E$11+1,1))</f>
        <v>485.01379841128346</v>
      </c>
      <c r="BJ106" s="59">
        <f t="shared" si="92"/>
        <v>238.25679915866897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131.12650257827187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131.12650257827187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">
        <f t="shared" si="86"/>
        <v>14.619957594993028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6">
        <f t="shared" si="56"/>
        <v>405.92155947794635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763.00000000000057</v>
      </c>
      <c r="O107" s="13">
        <f>N107*VLOOKUP('Données projet'!$B$9,Paramètres!$A$1:$I$89,3,0)*VLOOKUP('Données projet'!$B$9,Paramètres!$A$1:$I$89,5,0)</f>
        <v>456.2740000000004</v>
      </c>
      <c r="P107" s="13">
        <f t="shared" si="87"/>
        <v>103.09649786611838</v>
      </c>
      <c r="Q107" s="20">
        <f t="shared" si="107"/>
        <v>974.23695045015677</v>
      </c>
      <c r="R107" s="59">
        <f t="shared" si="55"/>
        <v>1267.5702837834901</v>
      </c>
      <c r="S107" s="59">
        <f ca="1">AVERAGE(OFFSET($R$3,0,0,'Données projet'!$E$9+1,1))-AVERAGE(OFFSET($H$3,0,0,'Données projet'!$E$9+1,1))</f>
        <v>481.17250315093412</v>
      </c>
      <c r="T107" s="59">
        <f t="shared" si="88"/>
        <v>413.48123190206832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66.162157281698441</v>
      </c>
      <c r="AA107" s="21">
        <f>EXP(-LN(2)/25)*AA106+(1-EXP(-LN(2)/25))/(LN(2)/25)*Calculateur!V107*Calculateur!X107*VLOOKUP('Données projet'!$B$9,Paramètres!$A$1:$I$89,3,0)*0.475*44/12</f>
        <v>8.407577303966848</v>
      </c>
      <c r="AB107" s="21">
        <f>EXP(-LN(2)/2)*AB106+(1-EXP(-LN(2)/2))/(LN(2)/2)*V107*Y107*VLOOKUP('Données projet'!$B$9,Paramètres!$A$1:$I$89,3,0)*0.475*44/12</f>
        <v>5.7150654828882452E-13</v>
      </c>
      <c r="AC107" s="22">
        <f t="shared" si="57"/>
        <v>74.569734585665856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9.7110000000000021</v>
      </c>
      <c r="AI107" s="13">
        <f>IF('Données projet'!$A$62&gt;35,AI106+AH107-AQ106,IF(A107&lt;'Données projet'!$A$62,$AF$205^A107,IF(A107='Données projet'!$A$62,'Données projet'!$B$62,AI106+AH107-AQ106)))</f>
        <v>450.41500000000025</v>
      </c>
      <c r="AJ107" s="13">
        <f>AI107*VLOOKUP('Données projet'!$B$10,Paramètres!$A$1:$I$89,3,0)*VLOOKUP('Données projet'!$B$10,Paramètres!$A$1:$I$89,5,0)</f>
        <v>407.5354920000002</v>
      </c>
      <c r="AK107" s="13">
        <f t="shared" si="89"/>
        <v>93.30270720985969</v>
      </c>
      <c r="AL107" s="20">
        <f t="shared" si="58"/>
        <v>872.29319695717265</v>
      </c>
      <c r="AM107" s="59">
        <f t="shared" si="59"/>
        <v>1165.626530290506</v>
      </c>
      <c r="AN107" s="59">
        <f ca="1">AVERAGE(OFFSET($AM$3,0,0,'Données projet'!$E$10+1,1))-AVERAGE(OFFSET($H$3,0,0,'Données projet'!$E$10+1,1))</f>
        <v>426.34811677569007</v>
      </c>
      <c r="AO107" s="59">
        <f t="shared" si="90"/>
        <v>209.65223938402107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114.71078656669091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114.71078656669091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9.7110000000000021</v>
      </c>
      <c r="BD107" s="12">
        <f>IF('Données projet'!$A$88&gt;35,BD106+BC107-BL106,IF(A107&lt;'Données projet'!$A$88,$BA$205^A107,IF(A107='Données projet'!$A$88,'Données projet'!$B$88,BD106+BC107-BL106)))</f>
        <v>450.41500000000025</v>
      </c>
      <c r="BE107" s="13">
        <f>BD107*VLOOKUP('Données projet'!$B$11,Paramètres!$A$1:$I$89,3,0)*VLOOKUP('Données projet'!$B$11,Paramètres!$A$1:$I$89,5,0)</f>
        <v>456.72081000000026</v>
      </c>
      <c r="BF107" s="13">
        <f t="shared" si="91"/>
        <v>103.18569934180985</v>
      </c>
      <c r="BG107" s="20">
        <f t="shared" si="61"/>
        <v>975.1705037703191</v>
      </c>
      <c r="BH107" s="59">
        <f t="shared" si="62"/>
        <v>1268.5038371036524</v>
      </c>
      <c r="BI107" s="59">
        <f ca="1">AVERAGE(OFFSET($BH$3,0,0,'Données projet'!$E$11+1,1))-AVERAGE(OFFSET($H$3,0,0,'Données projet'!$E$11+1,1))</f>
        <v>485.01379841128346</v>
      </c>
      <c r="BJ107" s="59">
        <f t="shared" si="92"/>
        <v>238.25679915866897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128.55519184198124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128.55519184198124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">
        <f t="shared" si="86"/>
        <v>14.744101739679099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6">
        <f t="shared" si="56"/>
        <v>406.9755188632746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763.00000000000057</v>
      </c>
      <c r="O108" s="13">
        <f>N108*VLOOKUP('Données projet'!$B$9,Paramètres!$A$1:$I$89,3,0)*VLOOKUP('Données projet'!$B$9,Paramètres!$A$1:$I$89,5,0)</f>
        <v>456.2740000000004</v>
      </c>
      <c r="P108" s="13">
        <f t="shared" si="87"/>
        <v>103.09649786611838</v>
      </c>
      <c r="Q108" s="20">
        <f t="shared" si="107"/>
        <v>974.23695045015677</v>
      </c>
      <c r="R108" s="59">
        <f t="shared" si="55"/>
        <v>1267.5702837834901</v>
      </c>
      <c r="S108" s="59">
        <f ca="1">AVERAGE(OFFSET($R$3,0,0,'Données projet'!$E$9+1,1))-AVERAGE(OFFSET($H$3,0,0,'Données projet'!$E$9+1,1))</f>
        <v>481.17250315093412</v>
      </c>
      <c r="T108" s="59">
        <f t="shared" si="88"/>
        <v>413.48123190206832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64.864757732335562</v>
      </c>
      <c r="AA108" s="21">
        <f>EXP(-LN(2)/25)*AA107+(1-EXP(-LN(2)/25))/(LN(2)/25)*Calculateur!V108*Calculateur!X108*VLOOKUP('Données projet'!$B$9,Paramètres!$A$1:$I$89,3,0)*0.475*44/12</f>
        <v>8.1776716604545996</v>
      </c>
      <c r="AB108" s="21">
        <f>EXP(-LN(2)/2)*AB107+(1-EXP(-LN(2)/2))/(LN(2)/2)*V108*Y108*VLOOKUP('Données projet'!$B$9,Paramètres!$A$1:$I$89,3,0)*0.475*44/12</f>
        <v>4.041161557875449E-13</v>
      </c>
      <c r="AC108" s="22">
        <f t="shared" si="57"/>
        <v>73.042429392790552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9.7110000000000021</v>
      </c>
      <c r="AI108" s="13">
        <f>IF('Données projet'!$A$62&gt;35,AI107+AH108-AQ107,IF(A108&lt;'Données projet'!$A$62,$AF$205^A108,IF(A108='Données projet'!$A$62,'Données projet'!$B$62,AI107+AH108-AQ107)))</f>
        <v>460.12600000000026</v>
      </c>
      <c r="AJ108" s="13">
        <f>AI108*VLOOKUP('Données projet'!$B$10,Paramètres!$A$1:$I$89,3,0)*VLOOKUP('Données projet'!$B$10,Paramètres!$A$1:$I$89,5,0)</f>
        <v>416.32200480000023</v>
      </c>
      <c r="AK108" s="13">
        <f t="shared" si="89"/>
        <v>95.077959556166817</v>
      </c>
      <c r="AL108" s="20">
        <f t="shared" si="58"/>
        <v>890.6882712536576</v>
      </c>
      <c r="AM108" s="59">
        <f t="shared" si="59"/>
        <v>1184.0216045869909</v>
      </c>
      <c r="AN108" s="59">
        <f ca="1">AVERAGE(OFFSET($AM$3,0,0,'Données projet'!$E$10+1,1))-AVERAGE(OFFSET($H$3,0,0,'Données projet'!$E$10+1,1))</f>
        <v>426.34811677569007</v>
      </c>
      <c r="AO108" s="59">
        <f t="shared" si="90"/>
        <v>209.65223938402107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112.46137800878928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112.46137800878928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9.7110000000000021</v>
      </c>
      <c r="BD108" s="12">
        <f>IF('Données projet'!$A$88&gt;35,BD107+BC108-BL107,IF(A108&lt;'Données projet'!$A$88,$BA$205^A108,IF(A108='Données projet'!$A$88,'Données projet'!$B$88,BD107+BC108-BL107)))</f>
        <v>460.12600000000026</v>
      </c>
      <c r="BE108" s="13">
        <f>BD108*VLOOKUP('Données projet'!$B$11,Paramètres!$A$1:$I$89,3,0)*VLOOKUP('Données projet'!$B$11,Paramètres!$A$1:$I$89,5,0)</f>
        <v>466.5677640000003</v>
      </c>
      <c r="BF108" s="13">
        <f t="shared" si="91"/>
        <v>105.14899344484016</v>
      </c>
      <c r="BG108" s="20">
        <f t="shared" si="61"/>
        <v>995.74001921643048</v>
      </c>
      <c r="BH108" s="59">
        <f t="shared" si="62"/>
        <v>1289.0733525497637</v>
      </c>
      <c r="BI108" s="59">
        <f ca="1">AVERAGE(OFFSET($BH$3,0,0,'Données projet'!$E$11+1,1))-AVERAGE(OFFSET($H$3,0,0,'Données projet'!$E$11+1,1))</f>
        <v>485.01379841128346</v>
      </c>
      <c r="BJ108" s="59">
        <f t="shared" si="92"/>
        <v>238.25679915866897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126.03430294088457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126.03430294088457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">
        <f t="shared" si="86"/>
        <v>14.868108335768225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6">
        <f t="shared" si="56"/>
        <v>408.0292386847965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763.00000000000057</v>
      </c>
      <c r="O109" s="13">
        <f>N109*VLOOKUP('Données projet'!$B$9,Paramètres!$A$1:$I$89,3,0)*VLOOKUP('Données projet'!$B$9,Paramètres!$A$1:$I$89,5,0)</f>
        <v>456.2740000000004</v>
      </c>
      <c r="P109" s="13">
        <f t="shared" si="87"/>
        <v>103.09649786611838</v>
      </c>
      <c r="Q109" s="20">
        <f t="shared" si="107"/>
        <v>974.23695045015677</v>
      </c>
      <c r="R109" s="59">
        <f t="shared" si="55"/>
        <v>1267.5702837834901</v>
      </c>
      <c r="S109" s="59">
        <f ca="1">AVERAGE(OFFSET($R$3,0,0,'Données projet'!$E$9+1,1))-AVERAGE(OFFSET($H$3,0,0,'Données projet'!$E$9+1,1))</f>
        <v>481.17250315093412</v>
      </c>
      <c r="T109" s="59">
        <f t="shared" si="88"/>
        <v>413.48123190206832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63.592799396800096</v>
      </c>
      <c r="AA109" s="21">
        <f>EXP(-LN(2)/25)*AA108+(1-EXP(-LN(2)/25))/(LN(2)/25)*Calculateur!V109*Calculateur!X109*VLOOKUP('Données projet'!$B$9,Paramètres!$A$1:$I$89,3,0)*0.475*44/12</f>
        <v>7.9540527988544065</v>
      </c>
      <c r="AB109" s="21">
        <f>EXP(-LN(2)/2)*AB108+(1-EXP(-LN(2)/2))/(LN(2)/2)*V109*Y109*VLOOKUP('Données projet'!$B$9,Paramètres!$A$1:$I$89,3,0)*0.475*44/12</f>
        <v>2.8575327414441226E-13</v>
      </c>
      <c r="AC109" s="22">
        <f t="shared" si="57"/>
        <v>71.546852195654793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9.7110000000000021</v>
      </c>
      <c r="AI109" s="13">
        <f>IF('Données projet'!$A$62&gt;35,AI108+AH109-AQ108,IF(A109&lt;'Données projet'!$A$62,$AF$205^A109,IF(A109='Données projet'!$A$62,'Données projet'!$B$62,AI108+AH109-AQ108)))</f>
        <v>469.83700000000027</v>
      </c>
      <c r="AJ109" s="13">
        <f>AI109*VLOOKUP('Données projet'!$B$10,Paramètres!$A$1:$I$89,3,0)*VLOOKUP('Données projet'!$B$10,Paramètres!$A$1:$I$89,5,0)</f>
        <v>425.10851760000025</v>
      </c>
      <c r="AK109" s="13">
        <f t="shared" si="89"/>
        <v>96.848855770846484</v>
      </c>
      <c r="AL109" s="20">
        <f t="shared" si="58"/>
        <v>909.07575862089141</v>
      </c>
      <c r="AM109" s="59">
        <f t="shared" si="59"/>
        <v>1202.4090919542248</v>
      </c>
      <c r="AN109" s="59">
        <f ca="1">AVERAGE(OFFSET($AM$3,0,0,'Données projet'!$E$10+1,1))-AVERAGE(OFFSET($H$3,0,0,'Données projet'!$E$10+1,1))</f>
        <v>426.34811677569007</v>
      </c>
      <c r="AO109" s="59">
        <f t="shared" si="90"/>
        <v>209.65223938402107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110.25607898070434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110.25607898070434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9.7110000000000021</v>
      </c>
      <c r="BD109" s="12">
        <f>IF('Données projet'!$A$88&gt;35,BD108+BC109-BL108,IF(A109&lt;'Données projet'!$A$88,$BA$205^A109,IF(A109='Données projet'!$A$88,'Données projet'!$B$88,BD108+BC109-BL108)))</f>
        <v>469.83700000000027</v>
      </c>
      <c r="BE109" s="13">
        <f>BD109*VLOOKUP('Données projet'!$B$11,Paramètres!$A$1:$I$89,3,0)*VLOOKUP('Données projet'!$B$11,Paramètres!$A$1:$I$89,5,0)</f>
        <v>476.41471800000028</v>
      </c>
      <c r="BF109" s="13">
        <f t="shared" si="91"/>
        <v>107.10746999753525</v>
      </c>
      <c r="BG109" s="20">
        <f t="shared" si="61"/>
        <v>1016.3011440957075</v>
      </c>
      <c r="BH109" s="59">
        <f t="shared" si="62"/>
        <v>1309.6344774290408</v>
      </c>
      <c r="BI109" s="59">
        <f ca="1">AVERAGE(OFFSET($BH$3,0,0,'Données projet'!$E$11+1,1))-AVERAGE(OFFSET($H$3,0,0,'Données projet'!$E$11+1,1))</f>
        <v>485.01379841128346</v>
      </c>
      <c r="BJ109" s="59">
        <f t="shared" si="92"/>
        <v>238.25679915866897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123.562847133548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123.562847133548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">
        <f t="shared" si="86"/>
        <v>14.991978831180672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6">
        <f t="shared" si="56"/>
        <v>409.08272146430653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763.00000000000057</v>
      </c>
      <c r="O110" s="13">
        <f>N110*VLOOKUP('Données projet'!$B$9,Paramètres!$A$1:$I$89,3,0)*VLOOKUP('Données projet'!$B$9,Paramètres!$A$1:$I$89,5,0)</f>
        <v>456.2740000000004</v>
      </c>
      <c r="P110" s="13">
        <f t="shared" si="87"/>
        <v>103.09649786611838</v>
      </c>
      <c r="Q110" s="20">
        <f t="shared" si="107"/>
        <v>974.23695045015677</v>
      </c>
      <c r="R110" s="59">
        <f t="shared" si="55"/>
        <v>1267.5702837834901</v>
      </c>
      <c r="S110" s="59">
        <f ca="1">AVERAGE(OFFSET($R$3,0,0,'Données projet'!$E$9+1,1))-AVERAGE(OFFSET($H$3,0,0,'Données projet'!$E$9+1,1))</f>
        <v>481.17250315093412</v>
      </c>
      <c r="T110" s="59">
        <f t="shared" si="88"/>
        <v>413.48123190206832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62.345783388406502</v>
      </c>
      <c r="AA110" s="21">
        <f>EXP(-LN(2)/25)*AA109+(1-EXP(-LN(2)/25))/(LN(2)/25)*Calculateur!V110*Calculateur!X110*VLOOKUP('Données projet'!$B$9,Paramètres!$A$1:$I$89,3,0)*0.475*44/12</f>
        <v>7.7365488067842749</v>
      </c>
      <c r="AB110" s="21">
        <f>EXP(-LN(2)/2)*AB109+(1-EXP(-LN(2)/2))/(LN(2)/2)*V110*Y110*VLOOKUP('Données projet'!$B$9,Paramètres!$A$1:$I$89,3,0)*0.475*44/12</f>
        <v>2.0205807789377245E-13</v>
      </c>
      <c r="AC110" s="22">
        <f t="shared" si="57"/>
        <v>70.082332195190972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9.7110000000000021</v>
      </c>
      <c r="AI110" s="13">
        <f>IF('Données projet'!$A$62&gt;35,AI109+AH110-AQ109,IF(A110&lt;'Données projet'!$A$62,$AF$205^A110,IF(A110='Données projet'!$A$62,'Données projet'!$B$62,AI109+AH110-AQ109)))</f>
        <v>479.54800000000029</v>
      </c>
      <c r="AJ110" s="13">
        <f>AI110*VLOOKUP('Données projet'!$B$10,Paramètres!$A$1:$I$89,3,0)*VLOOKUP('Données projet'!$B$10,Paramètres!$A$1:$I$89,5,0)</f>
        <v>433.89503040000028</v>
      </c>
      <c r="AK110" s="13">
        <f t="shared" si="89"/>
        <v>98.615496264061846</v>
      </c>
      <c r="AL110" s="20">
        <f t="shared" si="58"/>
        <v>927.45583393990819</v>
      </c>
      <c r="AM110" s="59">
        <f t="shared" si="59"/>
        <v>1220.7891672732414</v>
      </c>
      <c r="AN110" s="59">
        <f ca="1">AVERAGE(OFFSET($AM$3,0,0,'Données projet'!$E$10+1,1))-AVERAGE(OFFSET($H$3,0,0,'Données projet'!$E$10+1,1))</f>
        <v>426.34811677569007</v>
      </c>
      <c r="AO110" s="59">
        <f t="shared" si="90"/>
        <v>209.65223938402107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108.09402452146057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108.09402452146057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9.7110000000000021</v>
      </c>
      <c r="BD110" s="12">
        <f>IF('Données projet'!$A$88&gt;35,BD109+BC110-BL109,IF(A110&lt;'Données projet'!$A$88,$BA$205^A110,IF(A110='Données projet'!$A$88,'Données projet'!$B$88,BD109+BC110-BL109)))</f>
        <v>479.54800000000029</v>
      </c>
      <c r="BE110" s="13">
        <f>BD110*VLOOKUP('Données projet'!$B$11,Paramètres!$A$1:$I$89,3,0)*VLOOKUP('Données projet'!$B$11,Paramètres!$A$1:$I$89,5,0)</f>
        <v>486.26167200000032</v>
      </c>
      <c r="BF110" s="13">
        <f t="shared" si="91"/>
        <v>109.06124004590019</v>
      </c>
      <c r="BG110" s="20">
        <f t="shared" si="61"/>
        <v>1036.8540718132765</v>
      </c>
      <c r="BH110" s="59">
        <f t="shared" si="62"/>
        <v>1330.1874051466098</v>
      </c>
      <c r="BI110" s="59">
        <f ca="1">AVERAGE(OFFSET($BH$3,0,0,'Données projet'!$E$11+1,1))-AVERAGE(OFFSET($H$3,0,0,'Données projet'!$E$11+1,1))</f>
        <v>485.01379841128346</v>
      </c>
      <c r="BJ110" s="59">
        <f t="shared" si="92"/>
        <v>238.25679915866897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121.13985506715412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121.13985506715412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">
        <f t="shared" si="86"/>
        <v>15.115714645211925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6">
        <f t="shared" si="56"/>
        <v>410.13596967374428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763.00000000000057</v>
      </c>
      <c r="O111" s="13">
        <f>N111*VLOOKUP('Données projet'!$B$9,Paramètres!$A$1:$I$89,3,0)*VLOOKUP('Données projet'!$B$9,Paramètres!$A$1:$I$89,5,0)</f>
        <v>456.2740000000004</v>
      </c>
      <c r="P111" s="13">
        <f t="shared" si="87"/>
        <v>103.09649786611838</v>
      </c>
      <c r="Q111" s="20">
        <f t="shared" si="107"/>
        <v>974.23695045015677</v>
      </c>
      <c r="R111" s="59">
        <f t="shared" si="55"/>
        <v>1267.5702837834901</v>
      </c>
      <c r="S111" s="59">
        <f ca="1">AVERAGE(OFFSET($R$3,0,0,'Données projet'!$E$9+1,1))-AVERAGE(OFFSET($H$3,0,0,'Données projet'!$E$9+1,1))</f>
        <v>481.17250315093412</v>
      </c>
      <c r="T111" s="59">
        <f t="shared" si="88"/>
        <v>413.48123190206832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61.123220603332847</v>
      </c>
      <c r="AA111" s="21">
        <f>EXP(-LN(2)/25)*AA110+(1-EXP(-LN(2)/25))/(LN(2)/25)*Calculateur!V111*Calculateur!X111*VLOOKUP('Données projet'!$B$9,Paramètres!$A$1:$I$89,3,0)*0.475*44/12</f>
        <v>7.524992472815339</v>
      </c>
      <c r="AB111" s="21">
        <f>EXP(-LN(2)/2)*AB110+(1-EXP(-LN(2)/2))/(LN(2)/2)*V111*Y111*VLOOKUP('Données projet'!$B$9,Paramètres!$A$1:$I$89,3,0)*0.475*44/12</f>
        <v>1.4287663707220613E-13</v>
      </c>
      <c r="AC111" s="22">
        <f t="shared" si="57"/>
        <v>68.648213076148323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9.7110000000000021</v>
      </c>
      <c r="AI111" s="13">
        <f>IF('Données projet'!$A$62&gt;35,AI110+AH111-AQ110,IF(A111&lt;'Données projet'!$A$62,$AF$205^A111,IF(A111='Données projet'!$A$62,'Données projet'!$B$62,AI110+AH111-AQ110)))</f>
        <v>489.2590000000003</v>
      </c>
      <c r="AJ111" s="13">
        <f>AI111*VLOOKUP('Données projet'!$B$10,Paramètres!$A$1:$I$89,3,0)*VLOOKUP('Données projet'!$B$10,Paramètres!$A$1:$I$89,5,0)</f>
        <v>442.68154320000025</v>
      </c>
      <c r="AK111" s="13">
        <f t="shared" si="89"/>
        <v>100.37797714680627</v>
      </c>
      <c r="AL111" s="20">
        <f t="shared" si="58"/>
        <v>945.82866460402113</v>
      </c>
      <c r="AM111" s="59">
        <f t="shared" si="59"/>
        <v>1239.1619979373545</v>
      </c>
      <c r="AN111" s="59">
        <f ca="1">AVERAGE(OFFSET($AM$3,0,0,'Données projet'!$E$10+1,1))-AVERAGE(OFFSET($H$3,0,0,'Données projet'!$E$10+1,1))</f>
        <v>426.34811677569007</v>
      </c>
      <c r="AO111" s="59">
        <f t="shared" si="90"/>
        <v>209.65223938402107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105.97436663143955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105.97436663143955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9.7110000000000021</v>
      </c>
      <c r="BD111" s="12">
        <f>IF('Données projet'!$A$88&gt;35,BD110+BC111-BL110,IF(A111&lt;'Données projet'!$A$88,$BA$205^A111,IF(A111='Données projet'!$A$88,'Données projet'!$B$88,BD110+BC111-BL110)))</f>
        <v>489.2590000000003</v>
      </c>
      <c r="BE111" s="13">
        <f>BD111*VLOOKUP('Données projet'!$B$11,Paramètres!$A$1:$I$89,3,0)*VLOOKUP('Données projet'!$B$11,Paramètres!$A$1:$I$89,5,0)</f>
        <v>496.10862600000036</v>
      </c>
      <c r="BF111" s="13">
        <f t="shared" si="91"/>
        <v>111.01040988138524</v>
      </c>
      <c r="BG111" s="20">
        <f t="shared" si="61"/>
        <v>1057.3989874934132</v>
      </c>
      <c r="BH111" s="59">
        <f t="shared" si="62"/>
        <v>1350.7323208267464</v>
      </c>
      <c r="BI111" s="59">
        <f ca="1">AVERAGE(OFFSET($BH$3,0,0,'Données projet'!$E$11+1,1))-AVERAGE(OFFSET($H$3,0,0,'Données projet'!$E$11+1,1))</f>
        <v>485.01379841128346</v>
      </c>
      <c r="BJ111" s="59">
        <f t="shared" si="92"/>
        <v>238.25679915866897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118.76437639730298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118.76437639730298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">
        <f t="shared" si="86"/>
        <v>15.239317169358381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6">
        <f t="shared" si="56"/>
        <v>411.18898573663273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763.00000000000057</v>
      </c>
      <c r="O112" s="13">
        <f>N112*VLOOKUP('Données projet'!$B$9,Paramètres!$A$1:$I$89,3,0)*VLOOKUP('Données projet'!$B$9,Paramètres!$A$1:$I$89,5,0)</f>
        <v>456.2740000000004</v>
      </c>
      <c r="P112" s="13">
        <f t="shared" si="87"/>
        <v>103.09649786611838</v>
      </c>
      <c r="Q112" s="20">
        <f t="shared" si="107"/>
        <v>974.23695045015677</v>
      </c>
      <c r="R112" s="59">
        <f t="shared" si="55"/>
        <v>1267.5702837834901</v>
      </c>
      <c r="S112" s="59">
        <f ca="1">AVERAGE(OFFSET($R$3,0,0,'Données projet'!$E$9+1,1))-AVERAGE(OFFSET($H$3,0,0,'Données projet'!$E$9+1,1))</f>
        <v>481.17250315093412</v>
      </c>
      <c r="T112" s="59">
        <f t="shared" si="88"/>
        <v>413.48123190206832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59.924631528784815</v>
      </c>
      <c r="AA112" s="21">
        <f>EXP(-LN(2)/25)*AA111+(1-EXP(-LN(2)/25))/(LN(2)/25)*Calculateur!V112*Calculateur!X112*VLOOKUP('Données projet'!$B$9,Paramètres!$A$1:$I$89,3,0)*0.475*44/12</f>
        <v>7.3192211579240478</v>
      </c>
      <c r="AB112" s="21">
        <f>EXP(-LN(2)/2)*AB111+(1-EXP(-LN(2)/2))/(LN(2)/2)*V112*Y112*VLOOKUP('Données projet'!$B$9,Paramètres!$A$1:$I$89,3,0)*0.475*44/12</f>
        <v>1.0102903894688622E-13</v>
      </c>
      <c r="AC112" s="22">
        <f t="shared" si="57"/>
        <v>67.243852686708962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>
        <f>VLOOKUP(A112,'Données projet'!$A$61:$I$81,2,0)</f>
        <v>498.97</v>
      </c>
      <c r="AG112" s="12">
        <f>VLOOKUP(A112,'Données projet'!$A$61:$I$81,9,0)</f>
        <v>9.7110000000000021</v>
      </c>
      <c r="AH112" s="12">
        <f t="array" ref="AH112">INDEX(AG:AG,MIN(IF(ISNUMBER(AG112:AG308),ROW(AG112:AG308),"")))</f>
        <v>9.7110000000000021</v>
      </c>
      <c r="AI112" s="13">
        <f>IF('Données projet'!$A$62&gt;35,AI111+AH112-AQ111,IF(A112&lt;'Données projet'!$A$62,$AF$205^A112,IF(A112='Données projet'!$A$62,'Données projet'!$B$62,AI111+AH112-AQ111)))</f>
        <v>498.97000000000031</v>
      </c>
      <c r="AJ112" s="13">
        <f>AI112*VLOOKUP('Données projet'!$B$10,Paramètres!$A$1:$I$89,3,0)*VLOOKUP('Données projet'!$B$10,Paramètres!$A$1:$I$89,5,0)</f>
        <v>451.46805600000027</v>
      </c>
      <c r="AK112" s="13">
        <f t="shared" si="89"/>
        <v>102.13639049659334</v>
      </c>
      <c r="AL112" s="20">
        <f t="shared" si="58"/>
        <v>964.1944109815671</v>
      </c>
      <c r="AM112" s="59">
        <f t="shared" si="59"/>
        <v>1257.5277443149005</v>
      </c>
      <c r="AN112" s="59">
        <f ca="1">AVERAGE(OFFSET($AM$3,0,0,'Données projet'!$E$10+1,1))-AVERAGE(OFFSET($H$3,0,0,'Données projet'!$E$10+1,1))</f>
        <v>426.34811677569007</v>
      </c>
      <c r="AO112" s="59">
        <f t="shared" si="90"/>
        <v>209.65223938402107</v>
      </c>
      <c r="AP112" s="15">
        <f>IF(ISNA(VLOOKUP(A112,'Données projet'!$A$61:$I$81,3,0)),0,VLOOKUP(A112,'Données projet'!$A$61:$I$81,3,0))</f>
        <v>10</v>
      </c>
      <c r="AQ112" s="15">
        <f>IF(ISNA(VLOOKUP(A112,'Données projet'!$A$61:$I$81,4,0)),0,VLOOKUP(A112,'Données projet'!$A$61:$I$81,4,0))</f>
        <v>66.959999999999994</v>
      </c>
      <c r="AR112" s="16">
        <f>IF(ISNA(VLOOKUP(A112,'Données projet'!$A$61:$I$81,5,0)),0%,VLOOKUP(A112,'Données projet'!$A$61:$I$81,5,0)*VLOOKUP('Données projet'!$B$10,Paramètres!$A$1:$I$89,7,0))</f>
        <v>0.43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132.69568474942321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132.69568474942321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>
        <f>VLOOKUP(A112,'Données projet'!$A$87:$I$107,2,0)</f>
        <v>498.97</v>
      </c>
      <c r="BB112" s="12">
        <f>VLOOKUP(A112,'Données projet'!$A$87:$I$107,9,0)</f>
        <v>9.7110000000000021</v>
      </c>
      <c r="BC112" s="12">
        <f t="array" ref="BC112">INDEX(BB:BB,MIN(IF(ISNUMBER(BB112:BB308),ROW(BB112:BB308),"")))</f>
        <v>9.7110000000000021</v>
      </c>
      <c r="BD112" s="12">
        <f>IF('Données projet'!$A$88&gt;35,BD111+BC112-BL111,IF(A112&lt;'Données projet'!$A$88,$BA$205^A112,IF(A112='Données projet'!$A$88,'Données projet'!$B$88,BD111+BC112-BL111)))</f>
        <v>498.97000000000031</v>
      </c>
      <c r="BE112" s="13">
        <f>BD112*VLOOKUP('Données projet'!$B$11,Paramètres!$A$1:$I$89,3,0)*VLOOKUP('Données projet'!$B$11,Paramètres!$A$1:$I$89,5,0)</f>
        <v>505.95558000000034</v>
      </c>
      <c r="BF112" s="13">
        <f t="shared" si="91"/>
        <v>112.9550813347188</v>
      </c>
      <c r="BG112" s="20">
        <f t="shared" si="61"/>
        <v>1077.9360684913026</v>
      </c>
      <c r="BH112" s="59">
        <f t="shared" si="62"/>
        <v>1371.2694018246359</v>
      </c>
      <c r="BI112" s="59">
        <f ca="1">AVERAGE(OFFSET($BH$3,0,0,'Données projet'!$E$11+1,1))-AVERAGE(OFFSET($H$3,0,0,'Données projet'!$E$11+1,1))</f>
        <v>485.01379841128346</v>
      </c>
      <c r="BJ112" s="59">
        <f t="shared" si="92"/>
        <v>238.25679915866897</v>
      </c>
      <c r="BK112" s="15">
        <f>IF(ISNA(VLOOKUP(A112,'Données projet'!$A$87:$I$107,3,0)),0,VLOOKUP(A112,'Données projet'!$A$87:$I$107,3,0))</f>
        <v>10</v>
      </c>
      <c r="BL112" s="15">
        <f>IF(ISNA(VLOOKUP(A112,'Données projet'!$A$87:$I$107,4,0)),0,VLOOKUP(A112,'Données projet'!$A$87:$I$107,4,0))</f>
        <v>66.959999999999994</v>
      </c>
      <c r="BM112" s="16">
        <f>IF(ISNA(VLOOKUP(A112,'Données projet'!$A$87:$I$107,5,0)),0%,VLOOKUP(A112,'Données projet'!$A$87:$I$107,5,0)*VLOOKUP('Données projet'!$B$11,Paramètres!$A$1:$I$89,7,0))</f>
        <v>0.43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148.71068118469847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148.71068118469847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">
        <f t="shared" si="86"/>
        <v>15.362787768111703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6">
        <f t="shared" si="56"/>
        <v>412.2417720294614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763.00000000000057</v>
      </c>
      <c r="O113" s="13">
        <f>N113*VLOOKUP('Données projet'!$B$9,Paramètres!$A$1:$I$89,3,0)*VLOOKUP('Données projet'!$B$9,Paramètres!$A$1:$I$89,5,0)</f>
        <v>456.2740000000004</v>
      </c>
      <c r="P113" s="13">
        <f t="shared" si="87"/>
        <v>103.09649786611838</v>
      </c>
      <c r="Q113" s="20">
        <f t="shared" si="107"/>
        <v>974.23695045015677</v>
      </c>
      <c r="R113" s="59">
        <f t="shared" si="55"/>
        <v>1267.5702837834901</v>
      </c>
      <c r="S113" s="59">
        <f ca="1">AVERAGE(OFFSET($R$3,0,0,'Données projet'!$E$9+1,1))-AVERAGE(OFFSET($H$3,0,0,'Données projet'!$E$9+1,1))</f>
        <v>481.17250315093412</v>
      </c>
      <c r="T113" s="59">
        <f t="shared" si="88"/>
        <v>413.48123190206832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58.749546054921524</v>
      </c>
      <c r="AA113" s="21">
        <f>EXP(-LN(2)/25)*AA112+(1-EXP(-LN(2)/25))/(LN(2)/25)*Calculateur!V113*Calculateur!X113*VLOOKUP('Données projet'!$B$9,Paramètres!$A$1:$I$89,3,0)*0.475*44/12</f>
        <v>7.1190766704595028</v>
      </c>
      <c r="AB113" s="21">
        <f>EXP(-LN(2)/2)*AB112+(1-EXP(-LN(2)/2))/(LN(2)/2)*V113*Y113*VLOOKUP('Données projet'!$B$9,Paramètres!$A$1:$I$89,3,0)*0.475*44/12</f>
        <v>7.1438318536103064E-14</v>
      </c>
      <c r="AC113" s="22">
        <f t="shared" si="57"/>
        <v>65.868622725381101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9.4029999999999916</v>
      </c>
      <c r="AI113" s="13">
        <f>IF('Données projet'!$A$62&gt;35,AI112+AH113-AQ112,IF(A113&lt;'Données projet'!$A$62,$AF$205^A113,IF(A113='Données projet'!$A$62,'Données projet'!$B$62,AI112+AH113-AQ112)))</f>
        <v>441.4130000000003</v>
      </c>
      <c r="AJ113" s="13">
        <f>AI113*VLOOKUP('Données projet'!$B$10,Paramètres!$A$1:$I$89,3,0)*VLOOKUP('Données projet'!$B$10,Paramètres!$A$1:$I$89,5,0)</f>
        <v>399.39048240000028</v>
      </c>
      <c r="AK113" s="13">
        <f t="shared" si="89"/>
        <v>91.653083916792113</v>
      </c>
      <c r="AL113" s="20">
        <f t="shared" si="58"/>
        <v>855.23421133508009</v>
      </c>
      <c r="AM113" s="59">
        <f t="shared" si="59"/>
        <v>1148.5675446684133</v>
      </c>
      <c r="AN113" s="59">
        <f ca="1">AVERAGE(OFFSET($AM$3,0,0,'Données projet'!$E$10+1,1))-AVERAGE(OFFSET($H$3,0,0,'Données projet'!$E$10+1,1))</f>
        <v>426.34811677569007</v>
      </c>
      <c r="AO113" s="59">
        <f t="shared" si="90"/>
        <v>209.65223938402107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130.09360330786291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130.09360330786291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9.4029999999999916</v>
      </c>
      <c r="BD113" s="12">
        <f>IF('Données projet'!$A$88&gt;35,BD112+BC113-BL112,IF(A113&lt;'Données projet'!$A$88,$BA$205^A113,IF(A113='Données projet'!$A$88,'Données projet'!$B$88,BD112+BC113-BL112)))</f>
        <v>441.4130000000003</v>
      </c>
      <c r="BE113" s="13">
        <f>BD113*VLOOKUP('Données projet'!$B$11,Paramètres!$A$1:$I$89,3,0)*VLOOKUP('Données projet'!$B$11,Paramètres!$A$1:$I$89,5,0)</f>
        <v>447.59278200000028</v>
      </c>
      <c r="BF113" s="13">
        <f t="shared" si="91"/>
        <v>101.36134141870193</v>
      </c>
      <c r="BG113" s="20">
        <f t="shared" si="61"/>
        <v>956.09509828757302</v>
      </c>
      <c r="BH113" s="59">
        <f t="shared" si="62"/>
        <v>1249.4284316209064</v>
      </c>
      <c r="BI113" s="59">
        <f ca="1">AVERAGE(OFFSET($BH$3,0,0,'Données projet'!$E$11+1,1))-AVERAGE(OFFSET($H$3,0,0,'Données projet'!$E$11+1,1))</f>
        <v>485.01379841128346</v>
      </c>
      <c r="BJ113" s="59">
        <f t="shared" si="92"/>
        <v>238.25679915866897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145.79455543122572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145.79455543122572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">
        <f t="shared" si="86"/>
        <v>15.486127779723555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6">
        <f t="shared" si="56"/>
        <v>413.29433088301869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763.00000000000057</v>
      </c>
      <c r="O114" s="13">
        <f>N114*VLOOKUP('Données projet'!$B$9,Paramètres!$A$1:$I$89,3,0)*VLOOKUP('Données projet'!$B$9,Paramètres!$A$1:$I$89,5,0)</f>
        <v>456.2740000000004</v>
      </c>
      <c r="P114" s="13">
        <f t="shared" si="87"/>
        <v>103.09649786611838</v>
      </c>
      <c r="Q114" s="20">
        <f t="shared" si="107"/>
        <v>974.23695045015677</v>
      </c>
      <c r="R114" s="59">
        <f t="shared" si="55"/>
        <v>1267.5702837834901</v>
      </c>
      <c r="S114" s="59">
        <f ca="1">AVERAGE(OFFSET($R$3,0,0,'Données projet'!$E$9+1,1))-AVERAGE(OFFSET($H$3,0,0,'Données projet'!$E$9+1,1))</f>
        <v>481.17250315093412</v>
      </c>
      <c r="T114" s="59">
        <f t="shared" si="88"/>
        <v>413.48123190206832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57.597503290469326</v>
      </c>
      <c r="AA114" s="21">
        <f>EXP(-LN(2)/25)*AA113+(1-EXP(-LN(2)/25))/(LN(2)/25)*Calculateur!V114*Calculateur!X114*VLOOKUP('Données projet'!$B$9,Paramètres!$A$1:$I$89,3,0)*0.475*44/12</f>
        <v>6.9244051445298167</v>
      </c>
      <c r="AB114" s="21">
        <f>EXP(-LN(2)/2)*AB113+(1-EXP(-LN(2)/2))/(LN(2)/2)*V114*Y114*VLOOKUP('Données projet'!$B$9,Paramètres!$A$1:$I$89,3,0)*0.475*44/12</f>
        <v>5.0514519473443112E-14</v>
      </c>
      <c r="AC114" s="22">
        <f t="shared" si="57"/>
        <v>64.521908434999204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9.4029999999999916</v>
      </c>
      <c r="AI114" s="13">
        <f>IF('Données projet'!$A$62&gt;35,AI113+AH114-AQ113,IF(A114&lt;'Données projet'!$A$62,$AF$205^A114,IF(A114='Données projet'!$A$62,'Données projet'!$B$62,AI113+AH114-AQ113)))</f>
        <v>450.81600000000026</v>
      </c>
      <c r="AJ114" s="13">
        <f>AI114*VLOOKUP('Données projet'!$B$10,Paramètres!$A$1:$I$89,3,0)*VLOOKUP('Données projet'!$B$10,Paramètres!$A$1:$I$89,5,0)</f>
        <v>407.89831680000026</v>
      </c>
      <c r="AK114" s="13">
        <f t="shared" si="89"/>
        <v>93.376100943881056</v>
      </c>
      <c r="AL114" s="20">
        <f t="shared" si="58"/>
        <v>873.05294423725991</v>
      </c>
      <c r="AM114" s="59">
        <f t="shared" si="59"/>
        <v>1166.3862775705932</v>
      </c>
      <c r="AN114" s="59">
        <f ca="1">AVERAGE(OFFSET($AM$3,0,0,'Données projet'!$E$10+1,1))-AVERAGE(OFFSET($H$3,0,0,'Données projet'!$E$10+1,1))</f>
        <v>426.34811677569007</v>
      </c>
      <c r="AO114" s="59">
        <f t="shared" si="90"/>
        <v>209.65223938402107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127.54254709625864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127.54254709625864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9.4029999999999916</v>
      </c>
      <c r="BD114" s="12">
        <f>IF('Données projet'!$A$88&gt;35,BD113+BC114-BL113,IF(A114&lt;'Données projet'!$A$88,$BA$205^A114,IF(A114='Données projet'!$A$88,'Données projet'!$B$88,BD113+BC114-BL113)))</f>
        <v>450.81600000000026</v>
      </c>
      <c r="BE114" s="13">
        <f>BD114*VLOOKUP('Données projet'!$B$11,Paramètres!$A$1:$I$89,3,0)*VLOOKUP('Données projet'!$B$11,Paramètres!$A$1:$I$89,5,0)</f>
        <v>457.12742400000025</v>
      </c>
      <c r="BF114" s="13">
        <f t="shared" si="91"/>
        <v>103.26686723070357</v>
      </c>
      <c r="BG114" s="20">
        <f t="shared" si="61"/>
        <v>976.02005722680917</v>
      </c>
      <c r="BH114" s="59">
        <f t="shared" si="62"/>
        <v>1269.3533905601425</v>
      </c>
      <c r="BI114" s="59">
        <f ca="1">AVERAGE(OFFSET($BH$3,0,0,'Données projet'!$E$11+1,1))-AVERAGE(OFFSET($H$3,0,0,'Données projet'!$E$11+1,1))</f>
        <v>485.01379841128346</v>
      </c>
      <c r="BJ114" s="59">
        <f t="shared" si="92"/>
        <v>238.25679915866897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142.9356131251175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142.9356131251175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">
        <f t="shared" si="86"/>
        <v>15.609338516941946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6">
        <f t="shared" si="56"/>
        <v>414.34666458367406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763.00000000000057</v>
      </c>
      <c r="O115" s="13">
        <f>N115*VLOOKUP('Données projet'!$B$9,Paramètres!$A$1:$I$89,3,0)*VLOOKUP('Données projet'!$B$9,Paramètres!$A$1:$I$89,5,0)</f>
        <v>456.2740000000004</v>
      </c>
      <c r="P115" s="13">
        <f t="shared" si="87"/>
        <v>103.09649786611838</v>
      </c>
      <c r="Q115" s="20">
        <f t="shared" si="107"/>
        <v>974.23695045015677</v>
      </c>
      <c r="R115" s="59">
        <f t="shared" si="55"/>
        <v>1267.5702837834901</v>
      </c>
      <c r="S115" s="59">
        <f ca="1">AVERAGE(OFFSET($R$3,0,0,'Données projet'!$E$9+1,1))-AVERAGE(OFFSET($H$3,0,0,'Données projet'!$E$9+1,1))</f>
        <v>481.17250315093412</v>
      </c>
      <c r="T115" s="59">
        <f t="shared" si="88"/>
        <v>413.48123190206832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56.468051381951334</v>
      </c>
      <c r="AA115" s="21">
        <f>EXP(-LN(2)/25)*AA114+(1-EXP(-LN(2)/25))/(LN(2)/25)*Calculateur!V115*Calculateur!X115*VLOOKUP('Données projet'!$B$9,Paramètres!$A$1:$I$89,3,0)*0.475*44/12</f>
        <v>6.7350569217140084</v>
      </c>
      <c r="AB115" s="21">
        <f>EXP(-LN(2)/2)*AB114+(1-EXP(-LN(2)/2))/(LN(2)/2)*V115*Y115*VLOOKUP('Données projet'!$B$9,Paramètres!$A$1:$I$89,3,0)*0.475*44/12</f>
        <v>3.5719159268051532E-14</v>
      </c>
      <c r="AC115" s="22">
        <f t="shared" si="57"/>
        <v>63.203108303665381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9.4029999999999916</v>
      </c>
      <c r="AI115" s="13">
        <f>IF('Données projet'!$A$62&gt;35,AI114+AH115-AQ114,IF(A115&lt;'Données projet'!$A$62,$AF$205^A115,IF(A115='Données projet'!$A$62,'Données projet'!$B$62,AI114+AH115-AQ114)))</f>
        <v>460.21900000000028</v>
      </c>
      <c r="AJ115" s="13">
        <f>AI115*VLOOKUP('Données projet'!$B$10,Paramètres!$A$1:$I$89,3,0)*VLOOKUP('Données projet'!$B$10,Paramètres!$A$1:$I$89,5,0)</f>
        <v>416.40615120000024</v>
      </c>
      <c r="AK115" s="13">
        <f t="shared" si="89"/>
        <v>95.094939514723933</v>
      </c>
      <c r="AL115" s="20">
        <f t="shared" si="58"/>
        <v>890.86439966147793</v>
      </c>
      <c r="AM115" s="59">
        <f t="shared" si="59"/>
        <v>1184.1977329948113</v>
      </c>
      <c r="AN115" s="59">
        <f ca="1">AVERAGE(OFFSET($AM$3,0,0,'Données projet'!$E$10+1,1))-AVERAGE(OFFSET($H$3,0,0,'Données projet'!$E$10+1,1))</f>
        <v>426.34811677569007</v>
      </c>
      <c r="AO115" s="59">
        <f t="shared" si="90"/>
        <v>209.65223938402107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125.04151554097329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125.04151554097329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9.4029999999999916</v>
      </c>
      <c r="BD115" s="12">
        <f>IF('Données projet'!$A$88&gt;35,BD114+BC115-BL114,IF(A115&lt;'Données projet'!$A$88,$BA$205^A115,IF(A115='Données projet'!$A$88,'Données projet'!$B$88,BD114+BC115-BL114)))</f>
        <v>460.21900000000028</v>
      </c>
      <c r="BE115" s="13">
        <f>BD115*VLOOKUP('Données projet'!$B$11,Paramètres!$A$1:$I$89,3,0)*VLOOKUP('Données projet'!$B$11,Paramètres!$A$1:$I$89,5,0)</f>
        <v>466.66206600000032</v>
      </c>
      <c r="BF115" s="13">
        <f t="shared" si="91"/>
        <v>105.1677719878311</v>
      </c>
      <c r="BG115" s="20">
        <f t="shared" si="61"/>
        <v>995.93696782880636</v>
      </c>
      <c r="BH115" s="59">
        <f t="shared" si="62"/>
        <v>1289.2703011621397</v>
      </c>
      <c r="BI115" s="59">
        <f ca="1">AVERAGE(OFFSET($BH$3,0,0,'Données projet'!$E$11+1,1))-AVERAGE(OFFSET($H$3,0,0,'Données projet'!$E$11+1,1))</f>
        <v>485.01379841128346</v>
      </c>
      <c r="BJ115" s="59">
        <f t="shared" si="92"/>
        <v>238.25679915866897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140.13273293384944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140.13273293384944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">
        <f t="shared" si="86"/>
        <v>15.732421267720559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6">
        <f t="shared" si="56"/>
        <v>415.39877537461348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763.00000000000057</v>
      </c>
      <c r="O116" s="13">
        <f>N116*VLOOKUP('Données projet'!$B$9,Paramètres!$A$1:$I$89,3,0)*VLOOKUP('Données projet'!$B$9,Paramètres!$A$1:$I$89,5,0)</f>
        <v>456.2740000000004</v>
      </c>
      <c r="P116" s="13">
        <f t="shared" si="87"/>
        <v>103.09649786611838</v>
      </c>
      <c r="Q116" s="20">
        <f t="shared" si="107"/>
        <v>974.23695045015677</v>
      </c>
      <c r="R116" s="59">
        <f t="shared" si="55"/>
        <v>1267.5702837834901</v>
      </c>
      <c r="S116" s="59">
        <f ca="1">AVERAGE(OFFSET($R$3,0,0,'Données projet'!$E$9+1,1))-AVERAGE(OFFSET($H$3,0,0,'Données projet'!$E$9+1,1))</f>
        <v>481.17250315093412</v>
      </c>
      <c r="T116" s="59">
        <f t="shared" si="88"/>
        <v>413.48123190206832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55.360747336461735</v>
      </c>
      <c r="AA116" s="21">
        <f>EXP(-LN(2)/25)*AA115+(1-EXP(-LN(2)/25))/(LN(2)/25)*Calculateur!V116*Calculateur!X116*VLOOKUP('Données projet'!$B$9,Paramètres!$A$1:$I$89,3,0)*0.475*44/12</f>
        <v>6.5508864360084882</v>
      </c>
      <c r="AB116" s="21">
        <f>EXP(-LN(2)/2)*AB115+(1-EXP(-LN(2)/2))/(LN(2)/2)*V116*Y116*VLOOKUP('Données projet'!$B$9,Paramètres!$A$1:$I$89,3,0)*0.475*44/12</f>
        <v>2.5257259736721556E-14</v>
      </c>
      <c r="AC116" s="22">
        <f t="shared" si="57"/>
        <v>61.911633772470253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9.4029999999999916</v>
      </c>
      <c r="AI116" s="13">
        <f>IF('Données projet'!$A$62&gt;35,AI115+AH116-AQ115,IF(A116&lt;'Données projet'!$A$62,$AF$205^A116,IF(A116='Données projet'!$A$62,'Données projet'!$B$62,AI115+AH116-AQ115)))</f>
        <v>469.6220000000003</v>
      </c>
      <c r="AJ116" s="13">
        <f>AI116*VLOOKUP('Données projet'!$B$10,Paramètres!$A$1:$I$89,3,0)*VLOOKUP('Données projet'!$B$10,Paramètres!$A$1:$I$89,5,0)</f>
        <v>424.91398560000027</v>
      </c>
      <c r="AK116" s="13">
        <f t="shared" si="89"/>
        <v>96.809694839252401</v>
      </c>
      <c r="AL116" s="20">
        <f t="shared" si="58"/>
        <v>908.66874343169832</v>
      </c>
      <c r="AM116" s="59">
        <f t="shared" si="59"/>
        <v>1202.0020767650317</v>
      </c>
      <c r="AN116" s="59">
        <f ca="1">AVERAGE(OFFSET($AM$3,0,0,'Données projet'!$E$10+1,1))-AVERAGE(OFFSET($H$3,0,0,'Données projet'!$E$10+1,1))</f>
        <v>426.34811677569007</v>
      </c>
      <c r="AO116" s="59">
        <f t="shared" si="90"/>
        <v>209.65223938402107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122.58952768900846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122.58952768900846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9.4029999999999916</v>
      </c>
      <c r="BD116" s="12">
        <f>IF('Données projet'!$A$88&gt;35,BD115+BC116-BL115,IF(A116&lt;'Données projet'!$A$88,$BA$205^A116,IF(A116='Données projet'!$A$88,'Données projet'!$B$88,BD115+BC116-BL115)))</f>
        <v>469.6220000000003</v>
      </c>
      <c r="BE116" s="13">
        <f>BD116*VLOOKUP('Données projet'!$B$11,Paramètres!$A$1:$I$89,3,0)*VLOOKUP('Données projet'!$B$11,Paramètres!$A$1:$I$89,5,0)</f>
        <v>476.1967080000004</v>
      </c>
      <c r="BF116" s="13">
        <f t="shared" si="91"/>
        <v>107.06416098502906</v>
      </c>
      <c r="BG116" s="20">
        <f t="shared" si="61"/>
        <v>1015.8460134822595</v>
      </c>
      <c r="BH116" s="59">
        <f t="shared" si="62"/>
        <v>1309.1793468155929</v>
      </c>
      <c r="BI116" s="59">
        <f ca="1">AVERAGE(OFFSET($BH$3,0,0,'Données projet'!$E$11+1,1))-AVERAGE(OFFSET($H$3,0,0,'Données projet'!$E$11+1,1))</f>
        <v>485.01379841128346</v>
      </c>
      <c r="BJ116" s="59">
        <f t="shared" si="92"/>
        <v>238.25679915866897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137.38481551354403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137.38481551354403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">
        <f t="shared" si="86"/>
        <v>15.855377295902201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6">
        <f t="shared" si="56"/>
        <v>416.45066545702986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763.00000000000057</v>
      </c>
      <c r="O117" s="13">
        <f>N117*VLOOKUP('Données projet'!$B$9,Paramètres!$A$1:$I$89,3,0)*VLOOKUP('Données projet'!$B$9,Paramètres!$A$1:$I$89,5,0)</f>
        <v>456.2740000000004</v>
      </c>
      <c r="P117" s="13">
        <f t="shared" si="87"/>
        <v>103.09649786611838</v>
      </c>
      <c r="Q117" s="20">
        <f t="shared" si="107"/>
        <v>974.23695045015677</v>
      </c>
      <c r="R117" s="59">
        <f t="shared" si="55"/>
        <v>1267.5702837834901</v>
      </c>
      <c r="S117" s="59">
        <f ca="1">AVERAGE(OFFSET($R$3,0,0,'Données projet'!$E$9+1,1))-AVERAGE(OFFSET($H$3,0,0,'Données projet'!$E$9+1,1))</f>
        <v>481.17250315093412</v>
      </c>
      <c r="T117" s="59">
        <f t="shared" si="88"/>
        <v>413.48123190206832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54.275156847915412</v>
      </c>
      <c r="AA117" s="21">
        <f>EXP(-LN(2)/25)*AA116+(1-EXP(-LN(2)/25))/(LN(2)/25)*Calculateur!V117*Calculateur!X117*VLOOKUP('Données projet'!$B$9,Paramètres!$A$1:$I$89,3,0)*0.475*44/12</f>
        <v>6.3717521019196903</v>
      </c>
      <c r="AB117" s="21">
        <f>EXP(-LN(2)/2)*AB116+(1-EXP(-LN(2)/2))/(LN(2)/2)*V117*Y117*VLOOKUP('Données projet'!$B$9,Paramètres!$A$1:$I$89,3,0)*0.475*44/12</f>
        <v>1.7859579634025766E-14</v>
      </c>
      <c r="AC117" s="22">
        <f t="shared" si="57"/>
        <v>60.646908949835122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9.4029999999999916</v>
      </c>
      <c r="AI117" s="13">
        <f>IF('Données projet'!$A$62&gt;35,AI116+AH117-AQ116,IF(A117&lt;'Données projet'!$A$62,$AF$205^A117,IF(A117='Données projet'!$A$62,'Données projet'!$B$62,AI116+AH117-AQ116)))</f>
        <v>479.02500000000032</v>
      </c>
      <c r="AJ117" s="13">
        <f>AI117*VLOOKUP('Données projet'!$B$10,Paramètres!$A$1:$I$89,3,0)*VLOOKUP('Données projet'!$B$10,Paramètres!$A$1:$I$89,5,0)</f>
        <v>433.42182000000025</v>
      </c>
      <c r="AK117" s="13">
        <f t="shared" si="89"/>
        <v>98.520458096711138</v>
      </c>
      <c r="AL117" s="20">
        <f t="shared" si="58"/>
        <v>926.46613435177221</v>
      </c>
      <c r="AM117" s="59">
        <f t="shared" si="59"/>
        <v>1219.7994676851056</v>
      </c>
      <c r="AN117" s="59">
        <f ca="1">AVERAGE(OFFSET($AM$3,0,0,'Données projet'!$E$10+1,1))-AVERAGE(OFFSET($H$3,0,0,'Données projet'!$E$10+1,1))</f>
        <v>426.34811677569007</v>
      </c>
      <c r="AO117" s="59">
        <f t="shared" si="90"/>
        <v>209.65223938402107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120.18562182325576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120.18562182325576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9.4029999999999916</v>
      </c>
      <c r="BD117" s="12">
        <f>IF('Données projet'!$A$88&gt;35,BD116+BC117-BL116,IF(A117&lt;'Données projet'!$A$88,$BA$205^A117,IF(A117='Données projet'!$A$88,'Données projet'!$B$88,BD116+BC117-BL116)))</f>
        <v>479.02500000000032</v>
      </c>
      <c r="BE117" s="13">
        <f>BD117*VLOOKUP('Données projet'!$B$11,Paramètres!$A$1:$I$89,3,0)*VLOOKUP('Données projet'!$B$11,Paramètres!$A$1:$I$89,5,0)</f>
        <v>485.73135000000036</v>
      </c>
      <c r="BF117" s="13">
        <f t="shared" si="91"/>
        <v>108.95613505960884</v>
      </c>
      <c r="BG117" s="20">
        <f t="shared" si="61"/>
        <v>1035.7473698121528</v>
      </c>
      <c r="BH117" s="59">
        <f t="shared" si="62"/>
        <v>1329.080703145486</v>
      </c>
      <c r="BI117" s="59">
        <f ca="1">AVERAGE(OFFSET($BH$3,0,0,'Données projet'!$E$11+1,1))-AVERAGE(OFFSET($H$3,0,0,'Données projet'!$E$11+1,1))</f>
        <v>485.01379841128346</v>
      </c>
      <c r="BJ117" s="59">
        <f t="shared" si="92"/>
        <v>238.25679915866897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134.69078307778668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134.69078307778668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">
        <f t="shared" si="86"/>
        <v>15.978207841877643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6">
        <f t="shared" si="56"/>
        <v>417.5023369912704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763.00000000000057</v>
      </c>
      <c r="O118" s="13">
        <f>N118*VLOOKUP('Données projet'!$B$9,Paramètres!$A$1:$I$89,3,0)*VLOOKUP('Données projet'!$B$9,Paramètres!$A$1:$I$89,5,0)</f>
        <v>456.2740000000004</v>
      </c>
      <c r="P118" s="13">
        <f t="shared" si="87"/>
        <v>103.09649786611838</v>
      </c>
      <c r="Q118" s="20">
        <f t="shared" si="107"/>
        <v>974.23695045015677</v>
      </c>
      <c r="R118" s="59">
        <f t="shared" si="55"/>
        <v>1267.5702837834901</v>
      </c>
      <c r="S118" s="59">
        <f ca="1">AVERAGE(OFFSET($R$3,0,0,'Données projet'!$E$9+1,1))-AVERAGE(OFFSET($H$3,0,0,'Données projet'!$E$9+1,1))</f>
        <v>481.17250315093412</v>
      </c>
      <c r="T118" s="59">
        <f t="shared" si="88"/>
        <v>413.48123190206832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53.21085412670466</v>
      </c>
      <c r="AA118" s="21">
        <f>EXP(-LN(2)/25)*AA117+(1-EXP(-LN(2)/25))/(LN(2)/25)*Calculateur!V118*Calculateur!X118*VLOOKUP('Données projet'!$B$9,Paramètres!$A$1:$I$89,3,0)*0.475*44/12</f>
        <v>6.1975162056168163</v>
      </c>
      <c r="AB118" s="21">
        <f>EXP(-LN(2)/2)*AB117+(1-EXP(-LN(2)/2))/(LN(2)/2)*V118*Y118*VLOOKUP('Données projet'!$B$9,Paramètres!$A$1:$I$89,3,0)*0.475*44/12</f>
        <v>1.2628629868360778E-14</v>
      </c>
      <c r="AC118" s="22">
        <f t="shared" si="57"/>
        <v>59.408370332321489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9.4029999999999916</v>
      </c>
      <c r="AI118" s="13">
        <f>IF('Données projet'!$A$62&gt;35,AI117+AH118-AQ117,IF(A118&lt;'Données projet'!$A$62,$AF$205^A118,IF(A118='Données projet'!$A$62,'Données projet'!$B$62,AI117+AH118-AQ117)))</f>
        <v>488.42800000000034</v>
      </c>
      <c r="AJ118" s="13">
        <f>AI118*VLOOKUP('Données projet'!$B$10,Paramètres!$A$1:$I$89,3,0)*VLOOKUP('Données projet'!$B$10,Paramètres!$A$1:$I$89,5,0)</f>
        <v>441.92965440000035</v>
      </c>
      <c r="AK118" s="13">
        <f t="shared" si="89"/>
        <v>100.22731668201004</v>
      </c>
      <c r="AL118" s="20">
        <f t="shared" si="58"/>
        <v>944.25672463450144</v>
      </c>
      <c r="AM118" s="59">
        <f t="shared" si="59"/>
        <v>1237.5900579678348</v>
      </c>
      <c r="AN118" s="59">
        <f ca="1">AVERAGE(OFFSET($AM$3,0,0,'Données projet'!$E$10+1,1))-AVERAGE(OFFSET($H$3,0,0,'Données projet'!$E$10+1,1))</f>
        <v>426.34811677569007</v>
      </c>
      <c r="AO118" s="59">
        <f t="shared" si="90"/>
        <v>209.65223938402107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117.82885508529266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117.82885508529266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9.4029999999999916</v>
      </c>
      <c r="BD118" s="12">
        <f>IF('Données projet'!$A$88&gt;35,BD117+BC118-BL117,IF(A118&lt;'Données projet'!$A$88,$BA$205^A118,IF(A118='Données projet'!$A$88,'Données projet'!$B$88,BD117+BC118-BL117)))</f>
        <v>488.42800000000034</v>
      </c>
      <c r="BE118" s="13">
        <f>BD118*VLOOKUP('Données projet'!$B$11,Paramètres!$A$1:$I$89,3,0)*VLOOKUP('Données projet'!$B$11,Paramètres!$A$1:$I$89,5,0)</f>
        <v>495.26599200000038</v>
      </c>
      <c r="BF118" s="13">
        <f t="shared" si="91"/>
        <v>110.84379086369486</v>
      </c>
      <c r="BG118" s="20">
        <f t="shared" si="61"/>
        <v>1055.6412051542693</v>
      </c>
      <c r="BH118" s="59">
        <f t="shared" si="62"/>
        <v>1348.9745384876026</v>
      </c>
      <c r="BI118" s="59">
        <f ca="1">AVERAGE(OFFSET($BH$3,0,0,'Données projet'!$E$11+1,1))-AVERAGE(OFFSET($H$3,0,0,'Données projet'!$E$11+1,1))</f>
        <v>485.01379841128346</v>
      </c>
      <c r="BJ118" s="59">
        <f t="shared" si="92"/>
        <v>238.25679915866897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132.049578974897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132.049578974897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">
        <f t="shared" si="86"/>
        <v>16.100914123220836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6">
        <f t="shared" si="56"/>
        <v>418.55379209794313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763.00000000000057</v>
      </c>
      <c r="O119" s="13">
        <f>N119*VLOOKUP('Données projet'!$B$9,Paramètres!$A$1:$I$89,3,0)*VLOOKUP('Données projet'!$B$9,Paramètres!$A$1:$I$89,5,0)</f>
        <v>456.2740000000004</v>
      </c>
      <c r="P119" s="13">
        <f t="shared" si="87"/>
        <v>103.09649786611838</v>
      </c>
      <c r="Q119" s="20">
        <f t="shared" si="107"/>
        <v>974.23695045015677</v>
      </c>
      <c r="R119" s="59">
        <f t="shared" si="55"/>
        <v>1267.5702837834901</v>
      </c>
      <c r="S119" s="59">
        <f ca="1">AVERAGE(OFFSET($R$3,0,0,'Données projet'!$E$9+1,1))-AVERAGE(OFFSET($H$3,0,0,'Données projet'!$E$9+1,1))</f>
        <v>481.17250315093412</v>
      </c>
      <c r="T119" s="59">
        <f t="shared" si="88"/>
        <v>413.48123190206832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52.16742173269629</v>
      </c>
      <c r="AA119" s="21">
        <f>EXP(-LN(2)/25)*AA118+(1-EXP(-LN(2)/25))/(LN(2)/25)*Calculateur!V119*Calculateur!X119*VLOOKUP('Données projet'!$B$9,Paramètres!$A$1:$I$89,3,0)*0.475*44/12</f>
        <v>6.0280447990610115</v>
      </c>
      <c r="AB119" s="21">
        <f>EXP(-LN(2)/2)*AB118+(1-EXP(-LN(2)/2))/(LN(2)/2)*V119*Y119*VLOOKUP('Données projet'!$B$9,Paramètres!$A$1:$I$89,3,0)*0.475*44/12</f>
        <v>8.9297898170128831E-15</v>
      </c>
      <c r="AC119" s="22">
        <f t="shared" si="57"/>
        <v>58.195466531757312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9.4029999999999916</v>
      </c>
      <c r="AI119" s="13">
        <f>IF('Données projet'!$A$62&gt;35,AI118+AH119-AQ118,IF(A119&lt;'Données projet'!$A$62,$AF$205^A119,IF(A119='Données projet'!$A$62,'Données projet'!$B$62,AI118+AH119-AQ118)))</f>
        <v>497.83100000000036</v>
      </c>
      <c r="AJ119" s="13">
        <f>AI119*VLOOKUP('Données projet'!$B$10,Paramètres!$A$1:$I$89,3,0)*VLOOKUP('Données projet'!$B$10,Paramètres!$A$1:$I$89,5,0)</f>
        <v>450.43748880000032</v>
      </c>
      <c r="AK119" s="13">
        <f t="shared" si="89"/>
        <v>101.93035443256859</v>
      </c>
      <c r="AL119" s="20">
        <f t="shared" si="58"/>
        <v>962.04066029672424</v>
      </c>
      <c r="AM119" s="59">
        <f t="shared" si="59"/>
        <v>1255.3739936300576</v>
      </c>
      <c r="AN119" s="59">
        <f ca="1">AVERAGE(OFFSET($AM$3,0,0,'Données projet'!$E$10+1,1))-AVERAGE(OFFSET($H$3,0,0,'Données projet'!$E$10+1,1))</f>
        <v>426.34811677569007</v>
      </c>
      <c r="AO119" s="59">
        <f t="shared" si="90"/>
        <v>209.65223938402107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115.51830310557524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115.51830310557524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9.4029999999999916</v>
      </c>
      <c r="BD119" s="12">
        <f>IF('Données projet'!$A$88&gt;35,BD118+BC119-BL118,IF(A119&lt;'Données projet'!$A$88,$BA$205^A119,IF(A119='Données projet'!$A$88,'Données projet'!$B$88,BD118+BC119-BL118)))</f>
        <v>497.83100000000036</v>
      </c>
      <c r="BE119" s="13">
        <f>BD119*VLOOKUP('Données projet'!$B$11,Paramètres!$A$1:$I$89,3,0)*VLOOKUP('Données projet'!$B$11,Paramètres!$A$1:$I$89,5,0)</f>
        <v>504.80063400000034</v>
      </c>
      <c r="BF119" s="13">
        <f t="shared" si="91"/>
        <v>112.72722111509829</v>
      </c>
      <c r="BG119" s="20">
        <f t="shared" si="61"/>
        <v>1075.5276809921299</v>
      </c>
      <c r="BH119" s="59">
        <f t="shared" si="62"/>
        <v>1368.8610143254632</v>
      </c>
      <c r="BI119" s="59">
        <f ca="1">AVERAGE(OFFSET($BH$3,0,0,'Données projet'!$E$11+1,1))-AVERAGE(OFFSET($H$3,0,0,'Données projet'!$E$11+1,1))</f>
        <v>485.01379841128346</v>
      </c>
      <c r="BJ119" s="59">
        <f t="shared" si="92"/>
        <v>238.25679915866897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129.46016727348956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129.46016727348956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">
        <f t="shared" si="86"/>
        <v>16.22349733530163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6">
        <f t="shared" si="56"/>
        <v>419.60503285898386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763.00000000000057</v>
      </c>
      <c r="O120" s="13">
        <f>N120*VLOOKUP('Données projet'!$B$9,Paramètres!$A$1:$I$89,3,0)*VLOOKUP('Données projet'!$B$9,Paramètres!$A$1:$I$89,5,0)</f>
        <v>456.2740000000004</v>
      </c>
      <c r="P120" s="13">
        <f t="shared" si="87"/>
        <v>103.09649786611838</v>
      </c>
      <c r="Q120" s="20">
        <f t="shared" si="107"/>
        <v>974.23695045015677</v>
      </c>
      <c r="R120" s="59">
        <f t="shared" si="55"/>
        <v>1267.5702837834901</v>
      </c>
      <c r="S120" s="59">
        <f ca="1">AVERAGE(OFFSET($R$3,0,0,'Données projet'!$E$9+1,1))-AVERAGE(OFFSET($H$3,0,0,'Données projet'!$E$9+1,1))</f>
        <v>481.17250315093412</v>
      </c>
      <c r="T120" s="59">
        <f t="shared" si="88"/>
        <v>413.48123190206832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51.144450411503506</v>
      </c>
      <c r="AA120" s="21">
        <f>EXP(-LN(2)/25)*AA119+(1-EXP(-LN(2)/25))/(LN(2)/25)*Calculateur!V120*Calculateur!X120*VLOOKUP('Données projet'!$B$9,Paramètres!$A$1:$I$89,3,0)*0.475*44/12</f>
        <v>5.8632075970295894</v>
      </c>
      <c r="AB120" s="21">
        <f>EXP(-LN(2)/2)*AB119+(1-EXP(-LN(2)/2))/(LN(2)/2)*V120*Y120*VLOOKUP('Données projet'!$B$9,Paramètres!$A$1:$I$89,3,0)*0.475*44/12</f>
        <v>6.314314934180389E-15</v>
      </c>
      <c r="AC120" s="22">
        <f t="shared" si="57"/>
        <v>57.007658008533106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9.4029999999999916</v>
      </c>
      <c r="AI120" s="13">
        <f>IF('Données projet'!$A$62&gt;35,AI119+AH120-AQ119,IF(A120&lt;'Données projet'!$A$62,$AF$205^A120,IF(A120='Données projet'!$A$62,'Données projet'!$B$62,AI119+AH120-AQ119)))</f>
        <v>507.23400000000038</v>
      </c>
      <c r="AJ120" s="13">
        <f>AI120*VLOOKUP('Données projet'!$B$10,Paramètres!$A$1:$I$89,3,0)*VLOOKUP('Données projet'!$B$10,Paramètres!$A$1:$I$89,5,0)</f>
        <v>458.94532320000036</v>
      </c>
      <c r="AK120" s="13">
        <f t="shared" si="89"/>
        <v>103.62965183753882</v>
      </c>
      <c r="AL120" s="20">
        <f t="shared" si="58"/>
        <v>979.81808152371411</v>
      </c>
      <c r="AM120" s="59">
        <f t="shared" si="59"/>
        <v>1273.1514148570475</v>
      </c>
      <c r="AN120" s="59">
        <f ca="1">AVERAGE(OFFSET($AM$3,0,0,'Données projet'!$E$10+1,1))-AVERAGE(OFFSET($H$3,0,0,'Données projet'!$E$10+1,1))</f>
        <v>426.34811677569007</v>
      </c>
      <c r="AO120" s="59">
        <f t="shared" si="90"/>
        <v>209.65223938402107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113.25305964088254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113.25305964088254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9.4029999999999916</v>
      </c>
      <c r="BD120" s="12">
        <f>IF('Données projet'!$A$88&gt;35,BD119+BC120-BL119,IF(A120&lt;'Données projet'!$A$88,$BA$205^A120,IF(A120='Données projet'!$A$88,'Données projet'!$B$88,BD119+BC120-BL119)))</f>
        <v>507.23400000000038</v>
      </c>
      <c r="BE120" s="13">
        <f>BD120*VLOOKUP('Données projet'!$B$11,Paramètres!$A$1:$I$89,3,0)*VLOOKUP('Données projet'!$B$11,Paramètres!$A$1:$I$89,5,0)</f>
        <v>514.33527600000036</v>
      </c>
      <c r="BF120" s="13">
        <f t="shared" si="91"/>
        <v>114.6065148287007</v>
      </c>
      <c r="BG120" s="20">
        <f t="shared" si="61"/>
        <v>1095.4069523599876</v>
      </c>
      <c r="BH120" s="59">
        <f t="shared" si="62"/>
        <v>1388.7402856933209</v>
      </c>
      <c r="BI120" s="59">
        <f ca="1">AVERAGE(OFFSET($BH$3,0,0,'Données projet'!$E$11+1,1))-AVERAGE(OFFSET($H$3,0,0,'Données projet'!$E$11+1,1))</f>
        <v>485.01379841128346</v>
      </c>
      <c r="BJ120" s="59">
        <f t="shared" si="92"/>
        <v>238.25679915866897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126.92153235616152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126.92153235616152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">
        <f t="shared" si="86"/>
        <v>16.345958651876956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6">
        <f t="shared" si="56"/>
        <v>420.65606131868589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763.00000000000057</v>
      </c>
      <c r="O121" s="13">
        <f>N121*VLOOKUP('Données projet'!$B$9,Paramètres!$A$1:$I$89,3,0)*VLOOKUP('Données projet'!$B$9,Paramètres!$A$1:$I$89,5,0)</f>
        <v>456.2740000000004</v>
      </c>
      <c r="P121" s="13">
        <f t="shared" si="87"/>
        <v>103.09649786611838</v>
      </c>
      <c r="Q121" s="20">
        <f t="shared" si="107"/>
        <v>974.23695045015677</v>
      </c>
      <c r="R121" s="59">
        <f t="shared" si="55"/>
        <v>1267.5702837834901</v>
      </c>
      <c r="S121" s="59">
        <f ca="1">AVERAGE(OFFSET($R$3,0,0,'Données projet'!$E$9+1,1))-AVERAGE(OFFSET($H$3,0,0,'Données projet'!$E$9+1,1))</f>
        <v>481.17250315093412</v>
      </c>
      <c r="T121" s="59">
        <f t="shared" si="88"/>
        <v>413.48123190206832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50.14153893396842</v>
      </c>
      <c r="AA121" s="21">
        <f>EXP(-LN(2)/25)*AA120+(1-EXP(-LN(2)/25))/(LN(2)/25)*Calculateur!V121*Calculateur!X121*VLOOKUP('Données projet'!$B$9,Paramètres!$A$1:$I$89,3,0)*0.475*44/12</f>
        <v>5.7028778769561281</v>
      </c>
      <c r="AB121" s="21">
        <f>EXP(-LN(2)/2)*AB120+(1-EXP(-LN(2)/2))/(LN(2)/2)*V121*Y121*VLOOKUP('Données projet'!$B$9,Paramètres!$A$1:$I$89,3,0)*0.475*44/12</f>
        <v>4.4648949085064415E-15</v>
      </c>
      <c r="AC121" s="22">
        <f t="shared" si="57"/>
        <v>55.844416810924557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9.4029999999999916</v>
      </c>
      <c r="AI121" s="13">
        <f>IF('Données projet'!$A$62&gt;35,AI120+AH121-AQ120,IF(A121&lt;'Données projet'!$A$62,$AF$205^A121,IF(A121='Données projet'!$A$62,'Données projet'!$B$62,AI120+AH121-AQ120)))</f>
        <v>516.6370000000004</v>
      </c>
      <c r="AJ121" s="13">
        <f>AI121*VLOOKUP('Données projet'!$B$10,Paramètres!$A$1:$I$89,3,0)*VLOOKUP('Données projet'!$B$10,Paramètres!$A$1:$I$89,5,0)</f>
        <v>467.45315760000034</v>
      </c>
      <c r="AK121" s="13">
        <f t="shared" si="89"/>
        <v>105.3252862310737</v>
      </c>
      <c r="AL121" s="20">
        <f t="shared" si="58"/>
        <v>997.5891230057872</v>
      </c>
      <c r="AM121" s="59">
        <f t="shared" si="59"/>
        <v>1290.9224563391206</v>
      </c>
      <c r="AN121" s="59">
        <f ca="1">AVERAGE(OFFSET($AM$3,0,0,'Données projet'!$E$10+1,1))-AVERAGE(OFFSET($H$3,0,0,'Données projet'!$E$10+1,1))</f>
        <v>426.34811677569007</v>
      </c>
      <c r="AO121" s="59">
        <f t="shared" si="90"/>
        <v>209.65223938402107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111.03223621887037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111.03223621887037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9.4029999999999916</v>
      </c>
      <c r="BD121" s="12">
        <f>IF('Données projet'!$A$88&gt;35,BD120+BC121-BL120,IF(A121&lt;'Données projet'!$A$88,$BA$205^A121,IF(A121='Données projet'!$A$88,'Données projet'!$B$88,BD120+BC121-BL120)))</f>
        <v>516.6370000000004</v>
      </c>
      <c r="BE121" s="13">
        <f>BD121*VLOOKUP('Données projet'!$B$11,Paramètres!$A$1:$I$89,3,0)*VLOOKUP('Données projet'!$B$11,Paramètres!$A$1:$I$89,5,0)</f>
        <v>523.86991800000044</v>
      </c>
      <c r="BF121" s="13">
        <f t="shared" si="91"/>
        <v>116.48175753019471</v>
      </c>
      <c r="BG121" s="20">
        <f t="shared" si="61"/>
        <v>1115.2791682150898</v>
      </c>
      <c r="BH121" s="59">
        <f t="shared" si="62"/>
        <v>1408.6125015484231</v>
      </c>
      <c r="BI121" s="59">
        <f ca="1">AVERAGE(OFFSET($BH$3,0,0,'Données projet'!$E$11+1,1))-AVERAGE(OFFSET($H$3,0,0,'Données projet'!$E$11+1,1))</f>
        <v>485.01379841128346</v>
      </c>
      <c r="BJ121" s="59">
        <f t="shared" si="92"/>
        <v>238.25679915866897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124.43267852114788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124.43267852114788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">
        <f t="shared" si="86"/>
        <v>16.468299225661315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6">
        <f t="shared" si="56"/>
        <v>421.70687948469367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763.00000000000057</v>
      </c>
      <c r="O122" s="13">
        <f>N122*VLOOKUP('Données projet'!$B$9,Paramètres!$A$1:$I$89,3,0)*VLOOKUP('Données projet'!$B$9,Paramètres!$A$1:$I$89,5,0)</f>
        <v>456.2740000000004</v>
      </c>
      <c r="P122" s="13">
        <f t="shared" si="87"/>
        <v>103.09649786611838</v>
      </c>
      <c r="Q122" s="20">
        <f t="shared" si="107"/>
        <v>974.23695045015677</v>
      </c>
      <c r="R122" s="59">
        <f t="shared" si="55"/>
        <v>1267.5702837834901</v>
      </c>
      <c r="S122" s="59">
        <f ca="1">AVERAGE(OFFSET($R$3,0,0,'Données projet'!$E$9+1,1))-AVERAGE(OFFSET($H$3,0,0,'Données projet'!$E$9+1,1))</f>
        <v>481.17250315093412</v>
      </c>
      <c r="T122" s="59">
        <f t="shared" si="88"/>
        <v>413.48123190206832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49.158293938792198</v>
      </c>
      <c r="AA122" s="21">
        <f>EXP(-LN(2)/25)*AA121+(1-EXP(-LN(2)/25))/(LN(2)/25)*Calculateur!V122*Calculateur!X122*VLOOKUP('Données projet'!$B$9,Paramètres!$A$1:$I$89,3,0)*0.475*44/12</f>
        <v>5.5469323815094498</v>
      </c>
      <c r="AB122" s="21">
        <f>EXP(-LN(2)/2)*AB121+(1-EXP(-LN(2)/2))/(LN(2)/2)*V122*Y122*VLOOKUP('Données projet'!$B$9,Paramètres!$A$1:$I$89,3,0)*0.475*44/12</f>
        <v>3.1571574670901945E-15</v>
      </c>
      <c r="AC122" s="22">
        <f t="shared" si="57"/>
        <v>54.705226320301648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>
        <f>VLOOKUP(A122,'Données projet'!$A$61:$I$81,2,0)</f>
        <v>526.04</v>
      </c>
      <c r="AG122" s="12">
        <f>VLOOKUP(A122,'Données projet'!$A$61:$I$81,9,0)</f>
        <v>9.4029999999999916</v>
      </c>
      <c r="AH122" s="12">
        <f t="array" ref="AH122">INDEX(AG:AG,MIN(IF(ISNUMBER(AG122:AG318),ROW(AG122:AG318),"")))</f>
        <v>9.4029999999999916</v>
      </c>
      <c r="AI122" s="13">
        <f>IF('Données projet'!$A$62&gt;35,AI121+AH122-AQ121,IF(A122&lt;'Données projet'!$A$62,$AF$205^A122,IF(A122='Données projet'!$A$62,'Données projet'!$B$62,AI121+AH122-AQ121)))</f>
        <v>526.04000000000042</v>
      </c>
      <c r="AJ122" s="13">
        <f>AI122*VLOOKUP('Données projet'!$B$10,Paramètres!$A$1:$I$89,3,0)*VLOOKUP('Données projet'!$B$10,Paramètres!$A$1:$I$89,5,0)</f>
        <v>475.96099200000037</v>
      </c>
      <c r="AK122" s="13">
        <f t="shared" si="89"/>
        <v>107.01733197112763</v>
      </c>
      <c r="AL122" s="20">
        <f t="shared" si="58"/>
        <v>1015.3539142497146</v>
      </c>
      <c r="AM122" s="59">
        <f t="shared" si="59"/>
        <v>1308.687247583048</v>
      </c>
      <c r="AN122" s="59">
        <f ca="1">AVERAGE(OFFSET($AM$3,0,0,'Données projet'!$E$10+1,1))-AVERAGE(OFFSET($H$3,0,0,'Données projet'!$E$10+1,1))</f>
        <v>426.34811677569007</v>
      </c>
      <c r="AO122" s="59">
        <f t="shared" si="90"/>
        <v>209.65223938402107</v>
      </c>
      <c r="AP122" s="15">
        <f>IF(ISNA(VLOOKUP(A122,'Données projet'!$A$61:$I$81,3,0)),0,VLOOKUP(A122,'Données projet'!$A$61:$I$81,3,0))</f>
        <v>11</v>
      </c>
      <c r="AQ122" s="15">
        <f>IF(ISNA(VLOOKUP(A122,'Données projet'!$A$61:$I$81,4,0)),0,VLOOKUP(A122,'Données projet'!$A$61:$I$81,4,0))</f>
        <v>196.46</v>
      </c>
      <c r="AR122" s="16">
        <f>IF(ISNA(VLOOKUP(A122,'Données projet'!$A$61:$I$81,5,0)),0%,VLOOKUP(A122,'Données projet'!$A$61:$I$81,5,0)*VLOOKUP('Données projet'!$B$10,Paramètres!$A$1:$I$89,7,0))</f>
        <v>0.43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193.35215784190802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193.35215784190802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>
        <f>VLOOKUP(A122,'Données projet'!$A$87:$I$107,2,0)</f>
        <v>526.04</v>
      </c>
      <c r="BB122" s="12">
        <f>VLOOKUP(A122,'Données projet'!$A$87:$I$107,9,0)</f>
        <v>9.4029999999999916</v>
      </c>
      <c r="BC122" s="12">
        <f t="array" ref="BC122">INDEX(BB:BB,MIN(IF(ISNUMBER(BB122:BB318),ROW(BB122:BB318),"")))</f>
        <v>9.4029999999999916</v>
      </c>
      <c r="BD122" s="12">
        <f>IF('Données projet'!$A$88&gt;35,BD121+BC122-BL121,IF(A122&lt;'Données projet'!$A$88,$BA$205^A122,IF(A122='Données projet'!$A$88,'Données projet'!$B$88,BD121+BC122-BL121)))</f>
        <v>526.04000000000042</v>
      </c>
      <c r="BE122" s="13">
        <f>BD122*VLOOKUP('Données projet'!$B$11,Paramètres!$A$1:$I$89,3,0)*VLOOKUP('Données projet'!$B$11,Paramètres!$A$1:$I$89,5,0)</f>
        <v>533.4045600000004</v>
      </c>
      <c r="BF122" s="13">
        <f t="shared" si="91"/>
        <v>118.35303145382375</v>
      </c>
      <c r="BG122" s="20">
        <f t="shared" si="61"/>
        <v>1135.1444717820771</v>
      </c>
      <c r="BH122" s="59">
        <f t="shared" si="62"/>
        <v>1428.4778051154103</v>
      </c>
      <c r="BI122" s="59">
        <f ca="1">AVERAGE(OFFSET($BH$3,0,0,'Données projet'!$E$11+1,1))-AVERAGE(OFFSET($H$3,0,0,'Données projet'!$E$11+1,1))</f>
        <v>485.01379841128346</v>
      </c>
      <c r="BJ122" s="59">
        <f t="shared" si="92"/>
        <v>238.25679915866897</v>
      </c>
      <c r="BK122" s="15">
        <f>IF(ISNA(VLOOKUP(A122,'Données projet'!$A$87:$I$107,3,0)),0,VLOOKUP(A122,'Données projet'!$A$87:$I$107,3,0))</f>
        <v>11</v>
      </c>
      <c r="BL122" s="15">
        <f>IF(ISNA(VLOOKUP(A122,'Données projet'!$A$87:$I$107,4,0)),0,VLOOKUP(A122,'Données projet'!$A$87:$I$107,4,0))</f>
        <v>196.46</v>
      </c>
      <c r="BM122" s="16">
        <f>IF(ISNA(VLOOKUP(A122,'Données projet'!$A$87:$I$107,5,0)),0%,VLOOKUP(A122,'Données projet'!$A$87:$I$107,5,0)*VLOOKUP('Données projet'!$B$11,Paramètres!$A$1:$I$89,7,0))</f>
        <v>0.43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216.68776309869008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216.68776309869008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">
        <f t="shared" si="86"/>
        <v>16.590520188877683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6">
        <f t="shared" si="56"/>
        <v>422.75748932896221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763.00000000000057</v>
      </c>
      <c r="O123" s="13">
        <f>N123*VLOOKUP('Données projet'!$B$9,Paramètres!$A$1:$I$89,3,0)*VLOOKUP('Données projet'!$B$9,Paramètres!$A$1:$I$89,5,0)</f>
        <v>456.2740000000004</v>
      </c>
      <c r="P123" s="13">
        <f t="shared" si="87"/>
        <v>103.09649786611838</v>
      </c>
      <c r="Q123" s="20">
        <f t="shared" si="107"/>
        <v>974.23695045015677</v>
      </c>
      <c r="R123" s="59">
        <f t="shared" si="55"/>
        <v>1267.5702837834901</v>
      </c>
      <c r="S123" s="59">
        <f ca="1">AVERAGE(OFFSET($R$3,0,0,'Données projet'!$E$9+1,1))-AVERAGE(OFFSET($H$3,0,0,'Données projet'!$E$9+1,1))</f>
        <v>481.17250315093412</v>
      </c>
      <c r="T123" s="59">
        <f t="shared" si="88"/>
        <v>413.48123190206832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48.194329778251152</v>
      </c>
      <c r="AA123" s="21">
        <f>EXP(-LN(2)/25)*AA122+(1-EXP(-LN(2)/25))/(LN(2)/25)*Calculateur!V123*Calculateur!X123*VLOOKUP('Données projet'!$B$9,Paramètres!$A$1:$I$89,3,0)*0.475*44/12</f>
        <v>5.3952512238365777</v>
      </c>
      <c r="AB123" s="21">
        <f>EXP(-LN(2)/2)*AB122+(1-EXP(-LN(2)/2))/(LN(2)/2)*V123*Y123*VLOOKUP('Données projet'!$B$9,Paramètres!$A$1:$I$89,3,0)*0.475*44/12</f>
        <v>2.2324474542532208E-15</v>
      </c>
      <c r="AC123" s="22">
        <f t="shared" si="57"/>
        <v>53.589581002087726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-0.37249999999998806</v>
      </c>
      <c r="AI123" s="13">
        <f>IF('Données projet'!$A$62&gt;35,AI122+AH123-AQ122,IF(A123&lt;'Données projet'!$A$62,$AF$205^A123,IF(A123='Données projet'!$A$62,'Données projet'!$B$62,AI122+AH123-AQ122)))</f>
        <v>329.20750000000044</v>
      </c>
      <c r="AJ123" s="13">
        <f>AI123*VLOOKUP('Données projet'!$B$10,Paramètres!$A$1:$I$89,3,0)*VLOOKUP('Données projet'!$B$10,Paramètres!$A$1:$I$89,5,0)</f>
        <v>297.86694600000038</v>
      </c>
      <c r="AK123" s="13">
        <f t="shared" si="89"/>
        <v>70.729107889768898</v>
      </c>
      <c r="AL123" s="20">
        <f t="shared" si="58"/>
        <v>641.97146052468145</v>
      </c>
      <c r="AM123" s="59">
        <f t="shared" si="59"/>
        <v>935.30479385801482</v>
      </c>
      <c r="AN123" s="59">
        <f ca="1">AVERAGE(OFFSET($AM$3,0,0,'Données projet'!$E$10+1,1))-AVERAGE(OFFSET($H$3,0,0,'Données projet'!$E$10+1,1))</f>
        <v>426.34811677569007</v>
      </c>
      <c r="AO123" s="59">
        <f t="shared" si="90"/>
        <v>209.65223938402107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189.56063995979954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189.56063995979954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-0.37249999999998806</v>
      </c>
      <c r="BD123" s="12">
        <f>IF('Données projet'!$A$88&gt;35,BD122+BC123-BL122,IF(A123&lt;'Données projet'!$A$88,$BA$205^A123,IF(A123='Données projet'!$A$88,'Données projet'!$B$88,BD122+BC123-BL122)))</f>
        <v>329.20750000000044</v>
      </c>
      <c r="BE123" s="13">
        <f>BD123*VLOOKUP('Données projet'!$B$11,Paramètres!$A$1:$I$89,3,0)*VLOOKUP('Données projet'!$B$11,Paramètres!$A$1:$I$89,5,0)</f>
        <v>333.81640500000049</v>
      </c>
      <c r="BF123" s="13">
        <f t="shared" si="91"/>
        <v>78.221015013130113</v>
      </c>
      <c r="BG123" s="20">
        <f t="shared" si="61"/>
        <v>717.63183985620242</v>
      </c>
      <c r="BH123" s="59">
        <f t="shared" si="62"/>
        <v>1010.9651731895358</v>
      </c>
      <c r="BI123" s="59">
        <f ca="1">AVERAGE(OFFSET($BH$3,0,0,'Données projet'!$E$11+1,1))-AVERAGE(OFFSET($H$3,0,0,'Données projet'!$E$11+1,1))</f>
        <v>485.01379841128346</v>
      </c>
      <c r="BJ123" s="59">
        <f t="shared" si="92"/>
        <v>238.25679915866897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212.43864823080992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212.43864823080992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">
        <f t="shared" si="86"/>
        <v>16.712622653789325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6">
        <f t="shared" si="56"/>
        <v>423.80789278868326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763.00000000000057</v>
      </c>
      <c r="O124" s="13">
        <f>N124*VLOOKUP('Données projet'!$B$9,Paramètres!$A$1:$I$89,3,0)*VLOOKUP('Données projet'!$B$9,Paramètres!$A$1:$I$89,5,0)</f>
        <v>456.2740000000004</v>
      </c>
      <c r="P124" s="13">
        <f t="shared" si="87"/>
        <v>103.09649786611838</v>
      </c>
      <c r="Q124" s="20">
        <f t="shared" si="107"/>
        <v>974.23695045015677</v>
      </c>
      <c r="R124" s="59">
        <f t="shared" si="55"/>
        <v>1267.5702837834901</v>
      </c>
      <c r="S124" s="59">
        <f ca="1">AVERAGE(OFFSET($R$3,0,0,'Données projet'!$E$9+1,1))-AVERAGE(OFFSET($H$3,0,0,'Données projet'!$E$9+1,1))</f>
        <v>481.17250315093412</v>
      </c>
      <c r="T124" s="59">
        <f t="shared" si="88"/>
        <v>413.48123190206832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47.249268366938232</v>
      </c>
      <c r="AA124" s="21">
        <f>EXP(-LN(2)/25)*AA123+(1-EXP(-LN(2)/25))/(LN(2)/25)*Calculateur!V124*Calculateur!X124*VLOOKUP('Données projet'!$B$9,Paramètres!$A$1:$I$89,3,0)*0.475*44/12</f>
        <v>5.2477177953968352</v>
      </c>
      <c r="AB124" s="21">
        <f>EXP(-LN(2)/2)*AB123+(1-EXP(-LN(2)/2))/(LN(2)/2)*V124*Y124*VLOOKUP('Données projet'!$B$9,Paramètres!$A$1:$I$89,3,0)*0.475*44/12</f>
        <v>1.5785787335450973E-15</v>
      </c>
      <c r="AC124" s="22">
        <f t="shared" si="57"/>
        <v>52.49698616233507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-0.37249999999998806</v>
      </c>
      <c r="AI124" s="13">
        <f>IF('Données projet'!$A$62&gt;35,AI123+AH124-AQ123,IF(A124&lt;'Données projet'!$A$62,$AF$205^A124,IF(A124='Données projet'!$A$62,'Données projet'!$B$62,AI123+AH124-AQ123)))</f>
        <v>328.83500000000043</v>
      </c>
      <c r="AJ124" s="13">
        <f>AI124*VLOOKUP('Données projet'!$B$10,Paramètres!$A$1:$I$89,3,0)*VLOOKUP('Données projet'!$B$10,Paramètres!$A$1:$I$89,5,0)</f>
        <v>297.52990800000038</v>
      </c>
      <c r="AK124" s="13">
        <f t="shared" si="89"/>
        <v>70.658388410389392</v>
      </c>
      <c r="AL124" s="20">
        <f t="shared" si="58"/>
        <v>641.26128291476209</v>
      </c>
      <c r="AM124" s="59">
        <f t="shared" si="59"/>
        <v>934.59461624809546</v>
      </c>
      <c r="AN124" s="59">
        <f ca="1">AVERAGE(OFFSET($AM$3,0,0,'Données projet'!$E$10+1,1))-AVERAGE(OFFSET($H$3,0,0,'Données projet'!$E$10+1,1))</f>
        <v>426.34811677569007</v>
      </c>
      <c r="AO124" s="59">
        <f t="shared" si="90"/>
        <v>209.65223938402107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185.84347143076167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185.84347143076167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-0.37249999999998806</v>
      </c>
      <c r="BD124" s="12">
        <f>IF('Données projet'!$A$88&gt;35,BD123+BC124-BL123,IF(A124&lt;'Données projet'!$A$88,$BA$205^A124,IF(A124='Données projet'!$A$88,'Données projet'!$B$88,BD123+BC124-BL123)))</f>
        <v>328.83500000000043</v>
      </c>
      <c r="BE124" s="13">
        <f>BD124*VLOOKUP('Données projet'!$B$11,Paramètres!$A$1:$I$89,3,0)*VLOOKUP('Données projet'!$B$11,Paramètres!$A$1:$I$89,5,0)</f>
        <v>333.43869000000046</v>
      </c>
      <c r="BF124" s="13">
        <f t="shared" si="91"/>
        <v>78.142804646517234</v>
      </c>
      <c r="BG124" s="20">
        <f t="shared" si="61"/>
        <v>716.83776984268491</v>
      </c>
      <c r="BH124" s="59">
        <f t="shared" si="62"/>
        <v>1010.1711031760183</v>
      </c>
      <c r="BI124" s="59">
        <f ca="1">AVERAGE(OFFSET($BH$3,0,0,'Données projet'!$E$11+1,1))-AVERAGE(OFFSET($H$3,0,0,'Données projet'!$E$11+1,1))</f>
        <v>485.01379841128346</v>
      </c>
      <c r="BJ124" s="59">
        <f t="shared" si="92"/>
        <v>238.25679915866897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208.2728559137847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208.2728559137847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">
        <f t="shared" si="86"/>
        <v>16.834607713213771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6">
        <f t="shared" si="56"/>
        <v>424.85809176718089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763.00000000000057</v>
      </c>
      <c r="O125" s="13">
        <f>N125*VLOOKUP('Données projet'!$B$9,Paramètres!$A$1:$I$89,3,0)*VLOOKUP('Données projet'!$B$9,Paramètres!$A$1:$I$89,5,0)</f>
        <v>456.2740000000004</v>
      </c>
      <c r="P125" s="13">
        <f t="shared" si="87"/>
        <v>103.09649786611838</v>
      </c>
      <c r="Q125" s="20">
        <f t="shared" si="107"/>
        <v>974.23695045015677</v>
      </c>
      <c r="R125" s="59">
        <f t="shared" si="55"/>
        <v>1267.5702837834901</v>
      </c>
      <c r="S125" s="59">
        <f ca="1">AVERAGE(OFFSET($R$3,0,0,'Données projet'!$E$9+1,1))-AVERAGE(OFFSET($H$3,0,0,'Données projet'!$E$9+1,1))</f>
        <v>481.17250315093412</v>
      </c>
      <c r="T125" s="59">
        <f t="shared" si="88"/>
        <v>413.48123190206832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46.322739033470619</v>
      </c>
      <c r="AA125" s="21">
        <f>EXP(-LN(2)/25)*AA124+(1-EXP(-LN(2)/25))/(LN(2)/25)*Calculateur!V125*Calculateur!X125*VLOOKUP('Données projet'!$B$9,Paramètres!$A$1:$I$89,3,0)*0.475*44/12</f>
        <v>5.1042186763162238</v>
      </c>
      <c r="AB125" s="21">
        <f>EXP(-LN(2)/2)*AB124+(1-EXP(-LN(2)/2))/(LN(2)/2)*V125*Y125*VLOOKUP('Données projet'!$B$9,Paramètres!$A$1:$I$89,3,0)*0.475*44/12</f>
        <v>1.1162237271266104E-15</v>
      </c>
      <c r="AC125" s="22">
        <f t="shared" si="57"/>
        <v>51.426957709786841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-0.37249999999998806</v>
      </c>
      <c r="AI125" s="13">
        <f>IF('Données projet'!$A$62&gt;35,AI124+AH125-AQ124,IF(A125&lt;'Données projet'!$A$62,$AF$205^A125,IF(A125='Données projet'!$A$62,'Données projet'!$B$62,AI124+AH125-AQ124)))</f>
        <v>328.46250000000043</v>
      </c>
      <c r="AJ125" s="13">
        <f>AI125*VLOOKUP('Données projet'!$B$10,Paramètres!$A$1:$I$89,3,0)*VLOOKUP('Données projet'!$B$10,Paramètres!$A$1:$I$89,5,0)</f>
        <v>297.19287000000037</v>
      </c>
      <c r="AK125" s="13">
        <f t="shared" si="89"/>
        <v>70.587659605576917</v>
      </c>
      <c r="AL125" s="20">
        <f t="shared" si="58"/>
        <v>640.55108906304713</v>
      </c>
      <c r="AM125" s="59">
        <f t="shared" si="59"/>
        <v>933.88442239638039</v>
      </c>
      <c r="AN125" s="59">
        <f ca="1">AVERAGE(OFFSET($AM$3,0,0,'Données projet'!$E$10+1,1))-AVERAGE(OFFSET($H$3,0,0,'Données projet'!$E$10+1,1))</f>
        <v>426.34811677569007</v>
      </c>
      <c r="AO125" s="59">
        <f t="shared" si="90"/>
        <v>209.65223938402107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182.1991943093293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182.1991943093293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-0.37249999999998806</v>
      </c>
      <c r="BD125" s="12">
        <f>IF('Données projet'!$A$88&gt;35,BD124+BC125-BL124,IF(A125&lt;'Données projet'!$A$88,$BA$205^A125,IF(A125='Données projet'!$A$88,'Données projet'!$B$88,BD124+BC125-BL124)))</f>
        <v>328.46250000000043</v>
      </c>
      <c r="BE125" s="13">
        <f>BD125*VLOOKUP('Données projet'!$B$11,Paramètres!$A$1:$I$89,3,0)*VLOOKUP('Données projet'!$B$11,Paramètres!$A$1:$I$89,5,0)</f>
        <v>333.0609750000005</v>
      </c>
      <c r="BF125" s="13">
        <f t="shared" si="91"/>
        <v>78.064583966684552</v>
      </c>
      <c r="BG125" s="20">
        <f t="shared" si="61"/>
        <v>716.04368186697639</v>
      </c>
      <c r="BH125" s="59">
        <f t="shared" si="62"/>
        <v>1009.3770152003096</v>
      </c>
      <c r="BI125" s="59">
        <f ca="1">AVERAGE(OFFSET($BH$3,0,0,'Données projet'!$E$11+1,1))-AVERAGE(OFFSET($H$3,0,0,'Données projet'!$E$11+1,1))</f>
        <v>485.01379841128346</v>
      </c>
      <c r="BJ125" s="59">
        <f t="shared" si="92"/>
        <v>238.25679915866897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204.18875224321394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204.18875224321394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">
        <f t="shared" si="86"/>
        <v>16.956476441019255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6">
        <f t="shared" si="56"/>
        <v>425.90808813477543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763.00000000000057</v>
      </c>
      <c r="O126" s="13">
        <f>N126*VLOOKUP('Données projet'!$B$9,Paramètres!$A$1:$I$89,3,0)*VLOOKUP('Données projet'!$B$9,Paramètres!$A$1:$I$89,5,0)</f>
        <v>456.2740000000004</v>
      </c>
      <c r="P126" s="13">
        <f t="shared" si="87"/>
        <v>103.09649786611838</v>
      </c>
      <c r="Q126" s="20">
        <f t="shared" si="107"/>
        <v>974.23695045015677</v>
      </c>
      <c r="R126" s="59">
        <f t="shared" si="55"/>
        <v>1267.5702837834901</v>
      </c>
      <c r="S126" s="59">
        <f ca="1">AVERAGE(OFFSET($R$3,0,0,'Données projet'!$E$9+1,1))-AVERAGE(OFFSET($H$3,0,0,'Données projet'!$E$9+1,1))</f>
        <v>481.17250315093412</v>
      </c>
      <c r="T126" s="59">
        <f t="shared" si="88"/>
        <v>413.48123190206832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45.414378375105208</v>
      </c>
      <c r="AA126" s="21">
        <f>EXP(-LN(2)/25)*AA125+(1-EXP(-LN(2)/25))/(LN(2)/25)*Calculateur!V126*Calculateur!X126*VLOOKUP('Données projet'!$B$9,Paramètres!$A$1:$I$89,3,0)*0.475*44/12</f>
        <v>4.9646435481931626</v>
      </c>
      <c r="AB126" s="21">
        <f>EXP(-LN(2)/2)*AB125+(1-EXP(-LN(2)/2))/(LN(2)/2)*V126*Y126*VLOOKUP('Données projet'!$B$9,Paramètres!$A$1:$I$89,3,0)*0.475*44/12</f>
        <v>7.8928936677254863E-16</v>
      </c>
      <c r="AC126" s="22">
        <f t="shared" si="57"/>
        <v>50.379021923298367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>
        <f>VLOOKUP(A126,'Données projet'!$A$61:$I$81,2,0)</f>
        <v>328.09</v>
      </c>
      <c r="AG126" s="12">
        <f>VLOOKUP(A126,'Données projet'!$A$61:$I$81,9,0)</f>
        <v>-0.37249999999998806</v>
      </c>
      <c r="AH126" s="12">
        <f t="array" ref="AH126">INDEX(AG:AG,MIN(IF(ISNUMBER(AG126:AG322),ROW(AG126:AG322),"")))</f>
        <v>-0.37249999999998806</v>
      </c>
      <c r="AI126" s="13">
        <f>IF('Données projet'!$A$62&gt;35,AI125+AH126-AQ125,IF(A126&lt;'Données projet'!$A$62,$AF$205^A126,IF(A126='Données projet'!$A$62,'Données projet'!$B$62,AI125+AH126-AQ125)))</f>
        <v>328.09000000000043</v>
      </c>
      <c r="AJ126" s="13">
        <f>AI126*VLOOKUP('Données projet'!$B$10,Paramètres!$A$1:$I$89,3,0)*VLOOKUP('Données projet'!$B$10,Paramètres!$A$1:$I$89,5,0)</f>
        <v>296.85583200000036</v>
      </c>
      <c r="AK126" s="13">
        <f t="shared" si="89"/>
        <v>70.516921463523971</v>
      </c>
      <c r="AL126" s="20">
        <f t="shared" si="58"/>
        <v>639.84087894897141</v>
      </c>
      <c r="AM126" s="59">
        <f t="shared" si="59"/>
        <v>933.17421228230478</v>
      </c>
      <c r="AN126" s="59">
        <f ca="1">AVERAGE(OFFSET($AM$3,0,0,'Données projet'!$E$10+1,1))-AVERAGE(OFFSET($H$3,0,0,'Données projet'!$E$10+1,1))</f>
        <v>426.34811677569007</v>
      </c>
      <c r="AO126" s="59">
        <f t="shared" si="90"/>
        <v>209.65223938402107</v>
      </c>
      <c r="AP126" s="15">
        <f>IF(ISNA(VLOOKUP(A126,'Données projet'!$A$61:$I$81,3,0)),0,VLOOKUP(A126,'Données projet'!$A$61:$I$81,3,0))</f>
        <v>12</v>
      </c>
      <c r="AQ126" s="15">
        <f>IF(ISNA(VLOOKUP(A126,'Données projet'!$A$61:$I$81,4,0)),0,VLOOKUP(A126,'Données projet'!$A$61:$I$81,4,0))</f>
        <v>100.6</v>
      </c>
      <c r="AR126" s="16">
        <f>IF(ISNA(VLOOKUP(A126,'Données projet'!$A$61:$I$81,5,0)),0%,VLOOKUP(A126,'Données projet'!$A$61:$I$81,5,0)*VLOOKUP('Données projet'!$B$10,Paramètres!$A$1:$I$89,7,0))</f>
        <v>0.43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221.89431125036498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221.89431125036498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>
        <f>VLOOKUP(A126,'Données projet'!$A$87:$I$107,2,0)</f>
        <v>328.09</v>
      </c>
      <c r="BB126" s="12">
        <f>VLOOKUP(A126,'Données projet'!$A$87:$I$107,9,0)</f>
        <v>-0.37249999999998806</v>
      </c>
      <c r="BC126" s="12">
        <f t="array" ref="BC126">INDEX(BB:BB,MIN(IF(ISNUMBER(BB126:BB322),ROW(BB126:BB322),"")))</f>
        <v>-0.37249999999998806</v>
      </c>
      <c r="BD126" s="12">
        <f>IF('Données projet'!$A$88&gt;35,BD125+BC126-BL125,IF(A126&lt;'Données projet'!$A$88,$BA$205^A126,IF(A126='Données projet'!$A$88,'Données projet'!$B$88,BD125+BC126-BL125)))</f>
        <v>328.09000000000043</v>
      </c>
      <c r="BE126" s="13">
        <f>BD126*VLOOKUP('Données projet'!$B$11,Paramètres!$A$1:$I$89,3,0)*VLOOKUP('Données projet'!$B$11,Paramètres!$A$1:$I$89,5,0)</f>
        <v>332.68326000000047</v>
      </c>
      <c r="BF126" s="13">
        <f t="shared" si="91"/>
        <v>77.986352960573853</v>
      </c>
      <c r="BG126" s="20">
        <f t="shared" si="61"/>
        <v>715.24957590633358</v>
      </c>
      <c r="BH126" s="59">
        <f t="shared" si="62"/>
        <v>1008.5829092396668</v>
      </c>
      <c r="BI126" s="59">
        <f ca="1">AVERAGE(OFFSET($BH$3,0,0,'Données projet'!$E$11+1,1))-AVERAGE(OFFSET($H$3,0,0,'Données projet'!$E$11+1,1))</f>
        <v>485.01379841128346</v>
      </c>
      <c r="BJ126" s="59">
        <f t="shared" si="92"/>
        <v>238.25679915866897</v>
      </c>
      <c r="BK126" s="15">
        <f>IF(ISNA(VLOOKUP(A126,'Données projet'!$A$87:$I$107,3,0)),0,VLOOKUP(A126,'Données projet'!$A$87:$I$107,3,0))</f>
        <v>12</v>
      </c>
      <c r="BL126" s="15">
        <f>IF(ISNA(VLOOKUP(A126,'Données projet'!$A$87:$I$107,4,0)),0,VLOOKUP(A126,'Données projet'!$A$87:$I$107,4,0))</f>
        <v>100.6</v>
      </c>
      <c r="BM126" s="16">
        <f>IF(ISNA(VLOOKUP(A126,'Données projet'!$A$87:$I$107,5,0)),0%,VLOOKUP(A126,'Données projet'!$A$87:$I$107,5,0)*VLOOKUP('Données projet'!$B$11,Paramètres!$A$1:$I$89,7,0))</f>
        <v>0.43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248.67465915989186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248.67465915989186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">
        <f t="shared" si="86"/>
        <v>17.07822989260459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6">
        <f t="shared" si="56"/>
        <v>426.95788372961988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763.00000000000057</v>
      </c>
      <c r="O127" s="13">
        <f>N127*VLOOKUP('Données projet'!$B$9,Paramètres!$A$1:$I$89,3,0)*VLOOKUP('Données projet'!$B$9,Paramètres!$A$1:$I$89,5,0)</f>
        <v>456.2740000000004</v>
      </c>
      <c r="P127" s="13">
        <f t="shared" si="87"/>
        <v>103.09649786611838</v>
      </c>
      <c r="Q127" s="20">
        <f t="shared" si="107"/>
        <v>974.23695045015677</v>
      </c>
      <c r="R127" s="59">
        <f t="shared" si="55"/>
        <v>1267.5702837834901</v>
      </c>
      <c r="S127" s="59">
        <f ca="1">AVERAGE(OFFSET($R$3,0,0,'Données projet'!$E$9+1,1))-AVERAGE(OFFSET($H$3,0,0,'Données projet'!$E$9+1,1))</f>
        <v>481.17250315093412</v>
      </c>
      <c r="T127" s="59">
        <f t="shared" si="88"/>
        <v>413.48123190206832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44.523830115205051</v>
      </c>
      <c r="AA127" s="21">
        <f>EXP(-LN(2)/25)*AA126+(1-EXP(-LN(2)/25))/(LN(2)/25)*Calculateur!V127*Calculateur!X127*VLOOKUP('Données projet'!$B$9,Paramètres!$A$1:$I$89,3,0)*0.475*44/12</f>
        <v>4.8288851092885627</v>
      </c>
      <c r="AB127" s="21">
        <f>EXP(-LN(2)/2)*AB126+(1-EXP(-LN(2)/2))/(LN(2)/2)*V127*Y127*VLOOKUP('Données projet'!$B$9,Paramètres!$A$1:$I$89,3,0)*0.475*44/12</f>
        <v>5.5811186356330519E-16</v>
      </c>
      <c r="AC127" s="22">
        <f t="shared" si="57"/>
        <v>49.352715224493615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0.19750000000000512</v>
      </c>
      <c r="AI127" s="13">
        <f>IF('Données projet'!$A$62&gt;35,AI126+AH127-AQ126,IF(A127&lt;'Données projet'!$A$62,$AF$205^A127,IF(A127='Données projet'!$A$62,'Données projet'!$B$62,AI126+AH127-AQ126)))</f>
        <v>227.68750000000043</v>
      </c>
      <c r="AJ127" s="13">
        <f>AI127*VLOOKUP('Données projet'!$B$10,Paramètres!$A$1:$I$89,3,0)*VLOOKUP('Données projet'!$B$10,Paramètres!$A$1:$I$89,5,0)</f>
        <v>206.01165000000037</v>
      </c>
      <c r="AK127" s="13">
        <f t="shared" si="89"/>
        <v>51.063060633166664</v>
      </c>
      <c r="AL127" s="20">
        <f t="shared" si="58"/>
        <v>447.73845435276593</v>
      </c>
      <c r="AM127" s="59">
        <f t="shared" si="59"/>
        <v>741.07178768609924</v>
      </c>
      <c r="AN127" s="59">
        <f ca="1">AVERAGE(OFFSET($AM$3,0,0,'Données projet'!$E$10+1,1))-AVERAGE(OFFSET($H$3,0,0,'Données projet'!$E$10+1,1))</f>
        <v>426.34811677569007</v>
      </c>
      <c r="AO127" s="59">
        <f t="shared" si="90"/>
        <v>209.65223938402107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217.54309914891127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217.54309914891127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0.19750000000000512</v>
      </c>
      <c r="BD127" s="12">
        <f>IF('Données projet'!$A$88&gt;35,BD126+BC127-BL126,IF(A127&lt;'Données projet'!$A$88,$BA$205^A127,IF(A127='Données projet'!$A$88,'Données projet'!$B$88,BD126+BC127-BL126)))</f>
        <v>227.68750000000043</v>
      </c>
      <c r="BE127" s="13">
        <f>BD127*VLOOKUP('Données projet'!$B$11,Paramètres!$A$1:$I$89,3,0)*VLOOKUP('Données projet'!$B$11,Paramètres!$A$1:$I$89,5,0)</f>
        <v>230.87512500000042</v>
      </c>
      <c r="BF127" s="13">
        <f t="shared" si="91"/>
        <v>56.471862173466945</v>
      </c>
      <c r="BG127" s="20">
        <f t="shared" si="61"/>
        <v>500.46266932712228</v>
      </c>
      <c r="BH127" s="59">
        <f t="shared" si="62"/>
        <v>793.79600266045554</v>
      </c>
      <c r="BI127" s="59">
        <f ca="1">AVERAGE(OFFSET($BH$3,0,0,'Données projet'!$E$11+1,1))-AVERAGE(OFFSET($H$3,0,0,'Données projet'!$E$11+1,1))</f>
        <v>485.01379841128346</v>
      </c>
      <c r="BJ127" s="59">
        <f t="shared" si="92"/>
        <v>238.25679915866897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243.79830077033165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243.79830077033165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">
        <f t="shared" si="86"/>
        <v>17.199869105363234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6">
        <f t="shared" si="56"/>
        <v>428.00748035850785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763.00000000000057</v>
      </c>
      <c r="O128" s="13">
        <f>N128*VLOOKUP('Données projet'!$B$9,Paramètres!$A$1:$I$89,3,0)*VLOOKUP('Données projet'!$B$9,Paramètres!$A$1:$I$89,5,0)</f>
        <v>456.2740000000004</v>
      </c>
      <c r="P128" s="13">
        <f t="shared" si="87"/>
        <v>103.09649786611838</v>
      </c>
      <c r="Q128" s="20">
        <f t="shared" si="107"/>
        <v>974.23695045015677</v>
      </c>
      <c r="R128" s="59">
        <f t="shared" si="55"/>
        <v>1267.5702837834901</v>
      </c>
      <c r="S128" s="59">
        <f ca="1">AVERAGE(OFFSET($R$3,0,0,'Données projet'!$E$9+1,1))-AVERAGE(OFFSET($H$3,0,0,'Données projet'!$E$9+1,1))</f>
        <v>481.17250315093412</v>
      </c>
      <c r="T128" s="59">
        <f t="shared" si="88"/>
        <v>413.48123190206832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43.650744963500735</v>
      </c>
      <c r="AA128" s="21">
        <f>EXP(-LN(2)/25)*AA127+(1-EXP(-LN(2)/25))/(LN(2)/25)*Calculateur!V128*Calculateur!X128*VLOOKUP('Données projet'!$B$9,Paramètres!$A$1:$I$89,3,0)*0.475*44/12</f>
        <v>4.696838992035036</v>
      </c>
      <c r="AB128" s="21">
        <f>EXP(-LN(2)/2)*AB127+(1-EXP(-LN(2)/2))/(LN(2)/2)*V128*Y128*VLOOKUP('Données projet'!$B$9,Paramètres!$A$1:$I$89,3,0)*0.475*44/12</f>
        <v>3.9464468338627432E-16</v>
      </c>
      <c r="AC128" s="22">
        <f t="shared" si="57"/>
        <v>48.347583955535768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0.19750000000000512</v>
      </c>
      <c r="AI128" s="13">
        <f>IF('Données projet'!$A$62&gt;35,AI127+AH128-AQ127,IF(A128&lt;'Données projet'!$A$62,$AF$205^A128,IF(A128='Données projet'!$A$62,'Données projet'!$B$62,AI127+AH128-AQ127)))</f>
        <v>227.88500000000045</v>
      </c>
      <c r="AJ128" s="13">
        <f>AI128*VLOOKUP('Données projet'!$B$10,Paramètres!$A$1:$I$89,3,0)*VLOOKUP('Données projet'!$B$10,Paramètres!$A$1:$I$89,5,0)</f>
        <v>206.19034800000037</v>
      </c>
      <c r="AK128" s="13">
        <f t="shared" si="89"/>
        <v>51.102195921911175</v>
      </c>
      <c r="AL128" s="20">
        <f t="shared" si="58"/>
        <v>448.11784733066253</v>
      </c>
      <c r="AM128" s="59">
        <f t="shared" si="59"/>
        <v>741.45118066399584</v>
      </c>
      <c r="AN128" s="59">
        <f ca="1">AVERAGE(OFFSET($AM$3,0,0,'Données projet'!$E$10+1,1))-AVERAGE(OFFSET($H$3,0,0,'Données projet'!$E$10+1,1))</f>
        <v>426.34811677569007</v>
      </c>
      <c r="AO128" s="59">
        <f t="shared" si="90"/>
        <v>209.65223938402107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213.27721166278974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213.27721166278974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0.19750000000000512</v>
      </c>
      <c r="BD128" s="12">
        <f>IF('Données projet'!$A$88&gt;35,BD127+BC128-BL127,IF(A128&lt;'Données projet'!$A$88,$BA$205^A128,IF(A128='Données projet'!$A$88,'Données projet'!$B$88,BD127+BC128-BL127)))</f>
        <v>227.88500000000045</v>
      </c>
      <c r="BE128" s="13">
        <f>BD128*VLOOKUP('Données projet'!$B$11,Paramètres!$A$1:$I$89,3,0)*VLOOKUP('Données projet'!$B$11,Paramètres!$A$1:$I$89,5,0)</f>
        <v>231.07539000000048</v>
      </c>
      <c r="BF128" s="13">
        <f t="shared" si="91"/>
        <v>56.515142826931459</v>
      </c>
      <c r="BG128" s="20">
        <f t="shared" si="61"/>
        <v>500.88684467357308</v>
      </c>
      <c r="BH128" s="59">
        <f t="shared" si="62"/>
        <v>794.22017800690639</v>
      </c>
      <c r="BI128" s="59">
        <f ca="1">AVERAGE(OFFSET($BH$3,0,0,'Données projet'!$E$11+1,1))-AVERAGE(OFFSET($H$3,0,0,'Données projet'!$E$11+1,1))</f>
        <v>485.01379841128346</v>
      </c>
      <c r="BJ128" s="59">
        <f t="shared" si="92"/>
        <v>238.25679915866897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239.01756479450577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239.01756479450577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">
        <f t="shared" si="86"/>
        <v>17.321395099131934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6">
        <f t="shared" si="56"/>
        <v>429.05687979765503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763.00000000000057</v>
      </c>
      <c r="O129" s="13">
        <f>N129*VLOOKUP('Données projet'!$B$9,Paramètres!$A$1:$I$89,3,0)*VLOOKUP('Données projet'!$B$9,Paramètres!$A$1:$I$89,5,0)</f>
        <v>456.2740000000004</v>
      </c>
      <c r="P129" s="13">
        <f t="shared" si="87"/>
        <v>103.09649786611838</v>
      </c>
      <c r="Q129" s="20">
        <f t="shared" si="107"/>
        <v>974.23695045015677</v>
      </c>
      <c r="R129" s="59">
        <f t="shared" si="55"/>
        <v>1267.5702837834901</v>
      </c>
      <c r="S129" s="59">
        <f ca="1">AVERAGE(OFFSET($R$3,0,0,'Données projet'!$E$9+1,1))-AVERAGE(OFFSET($H$3,0,0,'Données projet'!$E$9+1,1))</f>
        <v>481.17250315093412</v>
      </c>
      <c r="T129" s="59">
        <f t="shared" si="88"/>
        <v>413.48123190206832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42.794780479091976</v>
      </c>
      <c r="AA129" s="21">
        <f>EXP(-LN(2)/25)*AA128+(1-EXP(-LN(2)/25))/(LN(2)/25)*Calculateur!V129*Calculateur!X129*VLOOKUP('Données projet'!$B$9,Paramètres!$A$1:$I$89,3,0)*0.475*44/12</f>
        <v>4.5684036828018098</v>
      </c>
      <c r="AB129" s="21">
        <f>EXP(-LN(2)/2)*AB128+(1-EXP(-LN(2)/2))/(LN(2)/2)*V129*Y129*VLOOKUP('Données projet'!$B$9,Paramètres!$A$1:$I$89,3,0)*0.475*44/12</f>
        <v>2.790559317816526E-16</v>
      </c>
      <c r="AC129" s="22">
        <f t="shared" si="57"/>
        <v>47.363184161893784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0.19750000000000512</v>
      </c>
      <c r="AI129" s="13">
        <f>IF('Données projet'!$A$62&gt;35,AI128+AH129-AQ128,IF(A129&lt;'Données projet'!$A$62,$AF$205^A129,IF(A129='Données projet'!$A$62,'Données projet'!$B$62,AI128+AH129-AQ128)))</f>
        <v>228.08250000000044</v>
      </c>
      <c r="AJ129" s="13">
        <f>AI129*VLOOKUP('Données projet'!$B$10,Paramètres!$A$1:$I$89,3,0)*VLOOKUP('Données projet'!$B$10,Paramètres!$A$1:$I$89,5,0)</f>
        <v>206.3690460000004</v>
      </c>
      <c r="AK129" s="13">
        <f t="shared" si="89"/>
        <v>51.141327262893078</v>
      </c>
      <c r="AL129" s="20">
        <f t="shared" si="58"/>
        <v>448.49723343287286</v>
      </c>
      <c r="AM129" s="59">
        <f t="shared" si="59"/>
        <v>741.83056676620618</v>
      </c>
      <c r="AN129" s="59">
        <f ca="1">AVERAGE(OFFSET($AM$3,0,0,'Données projet'!$E$10+1,1))-AVERAGE(OFFSET($H$3,0,0,'Données projet'!$E$10+1,1))</f>
        <v>426.34811677569007</v>
      </c>
      <c r="AO129" s="59">
        <f t="shared" si="90"/>
        <v>209.65223938402107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209.09497562833658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209.09497562833658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0.19750000000000512</v>
      </c>
      <c r="BD129" s="12">
        <f>IF('Données projet'!$A$88&gt;35,BD128+BC129-BL128,IF(A129&lt;'Données projet'!$A$88,$BA$205^A129,IF(A129='Données projet'!$A$88,'Données projet'!$B$88,BD128+BC129-BL128)))</f>
        <v>228.08250000000044</v>
      </c>
      <c r="BE129" s="13">
        <f>BD129*VLOOKUP('Données projet'!$B$11,Paramètres!$A$1:$I$89,3,0)*VLOOKUP('Données projet'!$B$11,Paramètres!$A$1:$I$89,5,0)</f>
        <v>231.27565500000046</v>
      </c>
      <c r="BF129" s="13">
        <f t="shared" si="91"/>
        <v>56.558419114470617</v>
      </c>
      <c r="BG129" s="20">
        <f t="shared" si="61"/>
        <v>501.31101241603716</v>
      </c>
      <c r="BH129" s="59">
        <f t="shared" si="62"/>
        <v>794.64434574937047</v>
      </c>
      <c r="BI129" s="59">
        <f ca="1">AVERAGE(OFFSET($BH$3,0,0,'Données projet'!$E$11+1,1))-AVERAGE(OFFSET($H$3,0,0,'Données projet'!$E$11+1,1))</f>
        <v>485.01379841128346</v>
      </c>
      <c r="BJ129" s="59">
        <f t="shared" si="92"/>
        <v>238.25679915866897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234.33057613520484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234.33057613520484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">
        <f t="shared" si="86"/>
        <v>17.442808876624763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6">
        <f t="shared" si="56"/>
        <v>430.10608379345501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763.00000000000057</v>
      </c>
      <c r="O130" s="13">
        <f>N130*VLOOKUP('Données projet'!$B$9,Paramètres!$A$1:$I$89,3,0)*VLOOKUP('Données projet'!$B$9,Paramètres!$A$1:$I$89,5,0)</f>
        <v>456.2740000000004</v>
      </c>
      <c r="P130" s="13">
        <f t="shared" si="87"/>
        <v>103.09649786611838</v>
      </c>
      <c r="Q130" s="20">
        <f t="shared" si="107"/>
        <v>974.23695045015677</v>
      </c>
      <c r="R130" s="59">
        <f t="shared" si="55"/>
        <v>1267.5702837834901</v>
      </c>
      <c r="S130" s="59">
        <f ca="1">AVERAGE(OFFSET($R$3,0,0,'Données projet'!$E$9+1,1))-AVERAGE(OFFSET($H$3,0,0,'Données projet'!$E$9+1,1))</f>
        <v>481.17250315093412</v>
      </c>
      <c r="T130" s="59">
        <f t="shared" si="88"/>
        <v>413.48123190206832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41.955600936135696</v>
      </c>
      <c r="AA130" s="21">
        <f>EXP(-LN(2)/25)*AA129+(1-EXP(-LN(2)/25))/(LN(2)/25)*Calculateur!V130*Calculateur!X130*VLOOKUP('Données projet'!$B$9,Paramètres!$A$1:$I$89,3,0)*0.475*44/12</f>
        <v>4.4434804438536855</v>
      </c>
      <c r="AB130" s="21">
        <f>EXP(-LN(2)/2)*AB129+(1-EXP(-LN(2)/2))/(LN(2)/2)*V130*Y130*VLOOKUP('Données projet'!$B$9,Paramètres!$A$1:$I$89,3,0)*0.475*44/12</f>
        <v>1.9732234169313716E-16</v>
      </c>
      <c r="AC130" s="22">
        <f t="shared" si="57"/>
        <v>46.399081379989383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>
        <f>VLOOKUP(A130,'Données projet'!$A$61:$I$81,2,0)</f>
        <v>228.28</v>
      </c>
      <c r="AG130" s="12">
        <f>VLOOKUP(A130,'Données projet'!$A$61:$I$81,9,0)</f>
        <v>0.19750000000000512</v>
      </c>
      <c r="AH130" s="12">
        <f t="array" ref="AH130">INDEX(AG:AG,MIN(IF(ISNUMBER(AG130:AG326),ROW(AG130:AG326),"")))</f>
        <v>0.19750000000000512</v>
      </c>
      <c r="AI130" s="13">
        <f>IF('Données projet'!$A$62&gt;35,AI129+AH130-AQ129,IF(A130&lt;'Données projet'!$A$62,$AF$205^A130,IF(A130='Données projet'!$A$62,'Données projet'!$B$62,AI129+AH130-AQ129)))</f>
        <v>228.28000000000043</v>
      </c>
      <c r="AJ130" s="13">
        <f>AI130*VLOOKUP('Données projet'!$B$10,Paramètres!$A$1:$I$89,3,0)*VLOOKUP('Données projet'!$B$10,Paramètres!$A$1:$I$89,5,0)</f>
        <v>206.54774400000036</v>
      </c>
      <c r="AK130" s="13">
        <f t="shared" si="89"/>
        <v>51.180454659928444</v>
      </c>
      <c r="AL130" s="20">
        <f t="shared" si="58"/>
        <v>448.8766126660426</v>
      </c>
      <c r="AM130" s="59">
        <f t="shared" si="59"/>
        <v>742.20994599937592</v>
      </c>
      <c r="AN130" s="59">
        <f ca="1">AVERAGE(OFFSET($AM$3,0,0,'Données projet'!$E$10+1,1))-AVERAGE(OFFSET($H$3,0,0,'Données projet'!$E$10+1,1))</f>
        <v>426.34811677569007</v>
      </c>
      <c r="AO130" s="59">
        <f t="shared" si="90"/>
        <v>209.65223938402107</v>
      </c>
      <c r="AP130" s="15">
        <f>IF(ISNA(VLOOKUP(A130,'Données projet'!$A$61:$I$81,3,0)),0,VLOOKUP(A130,'Données projet'!$A$61:$I$81,3,0))</f>
        <v>13</v>
      </c>
      <c r="AQ130" s="15">
        <f>IF(ISNA(VLOOKUP(A130,'Données projet'!$A$61:$I$81,4,0)),0,VLOOKUP(A130,'Données projet'!$A$61:$I$81,4,0))</f>
        <v>65.02</v>
      </c>
      <c r="AR130" s="16">
        <f>IF(ISNA(VLOOKUP(A130,'Données projet'!$A$61:$I$81,5,0)),0%,VLOOKUP(A130,'Données projet'!$A$61:$I$81,5,0)*VLOOKUP('Données projet'!$B$10,Paramètres!$A$1:$I$89,7,0))</f>
        <v>0.43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232.95976996943133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232.95976996943133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>
        <f>VLOOKUP(A130,'Données projet'!$A$87:$I$107,2,0)</f>
        <v>228.28</v>
      </c>
      <c r="BB130" s="12">
        <f>VLOOKUP(A130,'Données projet'!$A$87:$I$107,9,0)</f>
        <v>0.19750000000000512</v>
      </c>
      <c r="BC130" s="12">
        <f t="array" ref="BC130">INDEX(BB:BB,MIN(IF(ISNUMBER(BB130:BB326),ROW(BB130:BB326),"")))</f>
        <v>0.19750000000000512</v>
      </c>
      <c r="BD130" s="12">
        <f>IF('Données projet'!$A$88&gt;35,BD129+BC130-BL129,IF(A130&lt;'Données projet'!$A$88,$BA$205^A130,IF(A130='Données projet'!$A$88,'Données projet'!$B$88,BD129+BC130-BL129)))</f>
        <v>228.28000000000043</v>
      </c>
      <c r="BE130" s="13">
        <f>BD130*VLOOKUP('Données projet'!$B$11,Paramètres!$A$1:$I$89,3,0)*VLOOKUP('Données projet'!$B$11,Paramètres!$A$1:$I$89,5,0)</f>
        <v>231.47592000000046</v>
      </c>
      <c r="BF130" s="13">
        <f t="shared" si="91"/>
        <v>56.601691040304857</v>
      </c>
      <c r="BG130" s="20">
        <f t="shared" si="61"/>
        <v>501.73517256186511</v>
      </c>
      <c r="BH130" s="59">
        <f t="shared" si="62"/>
        <v>795.06850589519843</v>
      </c>
      <c r="BI130" s="59">
        <f ca="1">AVERAGE(OFFSET($BH$3,0,0,'Données projet'!$E$11+1,1))-AVERAGE(OFFSET($H$3,0,0,'Données projet'!$E$11+1,1))</f>
        <v>485.01379841128346</v>
      </c>
      <c r="BJ130" s="59">
        <f t="shared" si="92"/>
        <v>238.25679915866897</v>
      </c>
      <c r="BK130" s="15">
        <f>IF(ISNA(VLOOKUP(A130,'Données projet'!$A$87:$I$107,3,0)),0,VLOOKUP(A130,'Données projet'!$A$87:$I$107,3,0))</f>
        <v>13</v>
      </c>
      <c r="BL130" s="15">
        <f>IF(ISNA(VLOOKUP(A130,'Données projet'!$A$87:$I$107,4,0)),0,VLOOKUP(A130,'Données projet'!$A$87:$I$107,4,0))</f>
        <v>65.02</v>
      </c>
      <c r="BM130" s="16">
        <f>IF(ISNA(VLOOKUP(A130,'Données projet'!$A$87:$I$107,5,0)),0%,VLOOKUP(A130,'Données projet'!$A$87:$I$107,5,0)*VLOOKUP('Données projet'!$B$11,Paramètres!$A$1:$I$89,7,0))</f>
        <v>0.43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261.07560427608689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261.07560427608689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">
        <f t="shared" si="86"/>
        <v>17.564111423853195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6">
        <f t="shared" si="56"/>
        <v>431.15509406321121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763.00000000000057</v>
      </c>
      <c r="O131" s="13">
        <f>N131*VLOOKUP('Données projet'!$B$9,Paramètres!$A$1:$I$89,3,0)*VLOOKUP('Données projet'!$B$9,Paramètres!$A$1:$I$89,5,0)</f>
        <v>456.2740000000004</v>
      </c>
      <c r="P131" s="13">
        <f t="shared" si="87"/>
        <v>103.09649786611838</v>
      </c>
      <c r="Q131" s="20">
        <f t="shared" ref="Q131:Q153" si="108">(O131+P131)*0.475*44/12</f>
        <v>974.23695045015677</v>
      </c>
      <c r="R131" s="59">
        <f t="shared" ref="R131:R194" si="109">Q131+(I131+J131)*44/12</f>
        <v>1267.5702837834901</v>
      </c>
      <c r="S131" s="59">
        <f ca="1">AVERAGE(OFFSET($R$3,0,0,'Données projet'!$E$9+1,1))-AVERAGE(OFFSET($H$3,0,0,'Données projet'!$E$9+1,1))</f>
        <v>481.17250315093412</v>
      </c>
      <c r="T131" s="59">
        <f t="shared" si="88"/>
        <v>413.48123190206832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41.132877192167804</v>
      </c>
      <c r="AA131" s="21">
        <f>EXP(-LN(2)/25)*AA130+(1-EXP(-LN(2)/25))/(LN(2)/25)*Calculateur!V131*Calculateur!X131*VLOOKUP('Données projet'!$B$9,Paramètres!$A$1:$I$89,3,0)*0.475*44/12</f>
        <v>4.3219732374440252</v>
      </c>
      <c r="AB131" s="21">
        <f>EXP(-LN(2)/2)*AB130+(1-EXP(-LN(2)/2))/(LN(2)/2)*V131*Y131*VLOOKUP('Données projet'!$B$9,Paramètres!$A$1:$I$89,3,0)*0.475*44/12</f>
        <v>1.395279658908263E-16</v>
      </c>
      <c r="AC131" s="22">
        <f t="shared" si="57"/>
        <v>45.454850429611831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9.7500000000003695E-2</v>
      </c>
      <c r="AI131" s="13">
        <f>IF('Données projet'!$A$62&gt;35,AI130+AH131-AQ130,IF(A131&lt;'Données projet'!$A$62,$AF$205^A131,IF(A131='Données projet'!$A$62,'Données projet'!$B$62,AI130+AH131-AQ130)))</f>
        <v>163.35750000000041</v>
      </c>
      <c r="AJ131" s="13">
        <f>AI131*VLOOKUP('Données projet'!$B$10,Paramètres!$A$1:$I$89,3,0)*VLOOKUP('Données projet'!$B$10,Paramètres!$A$1:$I$89,5,0)</f>
        <v>147.80586600000038</v>
      </c>
      <c r="AK131" s="13">
        <f t="shared" si="89"/>
        <v>38.079533976001102</v>
      </c>
      <c r="AL131" s="20">
        <f t="shared" si="58"/>
        <v>323.75040495820258</v>
      </c>
      <c r="AM131" s="59">
        <f t="shared" si="59"/>
        <v>617.08373829153584</v>
      </c>
      <c r="AN131" s="59">
        <f ca="1">AVERAGE(OFFSET($AM$3,0,0,'Données projet'!$E$10+1,1))-AVERAGE(OFFSET($H$3,0,0,'Données projet'!$E$10+1,1))</f>
        <v>426.34811677569007</v>
      </c>
      <c r="AO131" s="59">
        <f t="shared" si="90"/>
        <v>209.65223938402107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228.3915709717601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228.3915709717601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9.7500000000003695E-2</v>
      </c>
      <c r="BD131" s="12">
        <f>IF('Données projet'!$A$88&gt;35,BD130+BC131-BL130,IF(A131&lt;'Données projet'!$A$88,$BA$205^A131,IF(A131='Données projet'!$A$88,'Données projet'!$B$88,BD130+BC131-BL130)))</f>
        <v>163.35750000000041</v>
      </c>
      <c r="BE131" s="13">
        <f>BD131*VLOOKUP('Données projet'!$B$11,Paramètres!$A$1:$I$89,3,0)*VLOOKUP('Données projet'!$B$11,Paramètres!$A$1:$I$89,5,0)</f>
        <v>165.64450500000044</v>
      </c>
      <c r="BF131" s="13">
        <f t="shared" si="91"/>
        <v>42.113068971150504</v>
      </c>
      <c r="BG131" s="20">
        <f t="shared" si="61"/>
        <v>361.8444413330879</v>
      </c>
      <c r="BH131" s="59">
        <f t="shared" si="62"/>
        <v>655.17777466642121</v>
      </c>
      <c r="BI131" s="59">
        <f ca="1">AVERAGE(OFFSET($BH$3,0,0,'Données projet'!$E$11+1,1))-AVERAGE(OFFSET($H$3,0,0,'Données projet'!$E$11+1,1))</f>
        <v>485.01379841128346</v>
      </c>
      <c r="BJ131" s="59">
        <f t="shared" si="92"/>
        <v>238.25679915866897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255.95607091662777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255.95607091662777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">
        <f t="shared" si="86"/>
        <v>17.685303710532512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6">
        <f t="shared" ref="H132:H195" si="110">(B132+E132+F132)*44/12+(C132+D132)*0.475*44/12</f>
        <v>432.20391229584436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763.00000000000057</v>
      </c>
      <c r="O132" s="13">
        <f>N132*VLOOKUP('Données projet'!$B$9,Paramètres!$A$1:$I$89,3,0)*VLOOKUP('Données projet'!$B$9,Paramètres!$A$1:$I$89,5,0)</f>
        <v>456.2740000000004</v>
      </c>
      <c r="P132" s="13">
        <f t="shared" si="87"/>
        <v>103.09649786611838</v>
      </c>
      <c r="Q132" s="20">
        <f t="shared" si="108"/>
        <v>974.23695045015677</v>
      </c>
      <c r="R132" s="59">
        <f t="shared" si="109"/>
        <v>1267.5702837834901</v>
      </c>
      <c r="S132" s="59">
        <f ca="1">AVERAGE(OFFSET($R$3,0,0,'Données projet'!$E$9+1,1))-AVERAGE(OFFSET($H$3,0,0,'Données projet'!$E$9+1,1))</f>
        <v>481.17250315093412</v>
      </c>
      <c r="T132" s="59">
        <f t="shared" si="88"/>
        <v>413.48123190206832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40.326286559007187</v>
      </c>
      <c r="AA132" s="21">
        <f>EXP(-LN(2)/25)*AA131+(1-EXP(-LN(2)/25))/(LN(2)/25)*Calculateur!V132*Calculateur!X132*VLOOKUP('Données projet'!$B$9,Paramètres!$A$1:$I$89,3,0)*0.475*44/12</f>
        <v>4.203788651983424</v>
      </c>
      <c r="AB132" s="21">
        <f>EXP(-LN(2)/2)*AB131+(1-EXP(-LN(2)/2))/(LN(2)/2)*V132*Y132*VLOOKUP('Données projet'!$B$9,Paramètres!$A$1:$I$89,3,0)*0.475*44/12</f>
        <v>9.8661170846568579E-17</v>
      </c>
      <c r="AC132" s="22">
        <f t="shared" ref="AC132:AC153" si="111">SUM(Z132:AB132)</f>
        <v>44.53007521099061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9.7500000000003695E-2</v>
      </c>
      <c r="AI132" s="13">
        <f>IF('Données projet'!$A$62&gt;35,AI131+AH132-AQ131,IF(A132&lt;'Données projet'!$A$62,$AF$205^A132,IF(A132='Données projet'!$A$62,'Données projet'!$B$62,AI131+AH132-AQ131)))</f>
        <v>163.45500000000041</v>
      </c>
      <c r="AJ132" s="13">
        <f>AI132*VLOOKUP('Données projet'!$B$10,Paramètres!$A$1:$I$89,3,0)*VLOOKUP('Données projet'!$B$10,Paramètres!$A$1:$I$89,5,0)</f>
        <v>147.89408400000036</v>
      </c>
      <c r="AK132" s="13">
        <f t="shared" si="89"/>
        <v>38.099615551686391</v>
      </c>
      <c r="AL132" s="20">
        <f t="shared" ref="AL132:AL153" si="112">(AJ132+AK132)*0.475*44/12</f>
        <v>323.93902671918772</v>
      </c>
      <c r="AM132" s="59">
        <f t="shared" ref="AM132:AM195" si="113">AL132+(AD132+AE132)*44/12</f>
        <v>617.27236005252098</v>
      </c>
      <c r="AN132" s="59">
        <f ca="1">AVERAGE(OFFSET($AM$3,0,0,'Données projet'!$E$10+1,1))-AVERAGE(OFFSET($H$3,0,0,'Données projet'!$E$10+1,1))</f>
        <v>426.34811677569007</v>
      </c>
      <c r="AO132" s="59">
        <f t="shared" si="90"/>
        <v>209.65223938402107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223.91295157010694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223.91295157010694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9.7500000000003695E-2</v>
      </c>
      <c r="BD132" s="12">
        <f>IF('Données projet'!$A$88&gt;35,BD131+BC132-BL131,IF(A132&lt;'Données projet'!$A$88,$BA$205^A132,IF(A132='Données projet'!$A$88,'Données projet'!$B$88,BD131+BC132-BL131)))</f>
        <v>163.45500000000041</v>
      </c>
      <c r="BE132" s="13">
        <f>BD132*VLOOKUP('Données projet'!$B$11,Paramètres!$A$1:$I$89,3,0)*VLOOKUP('Données projet'!$B$11,Paramètres!$A$1:$I$89,5,0)</f>
        <v>165.74337000000043</v>
      </c>
      <c r="BF132" s="13">
        <f t="shared" si="91"/>
        <v>42.135277666835059</v>
      </c>
      <c r="BG132" s="20">
        <f t="shared" ref="BG132:BG153" si="115">(BE132+BF132)*0.475*44/12</f>
        <v>362.05531135307177</v>
      </c>
      <c r="BH132" s="59">
        <f t="shared" ref="BH132:BH195" si="116">BG132+(AY132+AZ132)*44/12</f>
        <v>655.38864468640509</v>
      </c>
      <c r="BI132" s="59">
        <f ca="1">AVERAGE(OFFSET($BH$3,0,0,'Données projet'!$E$11+1,1))-AVERAGE(OFFSET($H$3,0,0,'Données projet'!$E$11+1,1))</f>
        <v>485.01379841128346</v>
      </c>
      <c r="BJ132" s="59">
        <f t="shared" si="92"/>
        <v>238.25679915866897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250.93692848374062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250.93692848374062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">
        <f t="shared" ref="D133:D196" si="140">IFERROR(EXP(-1.0587+0.8836*LN(C133)+0.284),0)</f>
        <v>17.806386690475353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6">
        <f t="shared" si="110"/>
        <v>433.25254015257815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763.00000000000057</v>
      </c>
      <c r="O133" s="13">
        <f>N133*VLOOKUP('Données projet'!$B$9,Paramètres!$A$1:$I$89,3,0)*VLOOKUP('Données projet'!$B$9,Paramètres!$A$1:$I$89,5,0)</f>
        <v>456.2740000000004</v>
      </c>
      <c r="P133" s="13">
        <f t="shared" ref="P133:P196" si="141">EXP(-1.0587+0.8836*LN(O133)+0.284)</f>
        <v>103.09649786611838</v>
      </c>
      <c r="Q133" s="20">
        <f t="shared" si="108"/>
        <v>974.23695045015677</v>
      </c>
      <c r="R133" s="59">
        <f t="shared" si="109"/>
        <v>1267.5702837834901</v>
      </c>
      <c r="S133" s="59">
        <f ca="1">AVERAGE(OFFSET($R$3,0,0,'Données projet'!$E$9+1,1))-AVERAGE(OFFSET($H$3,0,0,'Données projet'!$E$9+1,1))</f>
        <v>481.17250315093412</v>
      </c>
      <c r="T133" s="59">
        <f t="shared" ref="T133:T196" si="142">$T$3</f>
        <v>413.48123190206832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39.535512676191146</v>
      </c>
      <c r="AA133" s="21">
        <f>EXP(-LN(2)/25)*AA132+(1-EXP(-LN(2)/25))/(LN(2)/25)*Calculateur!V133*Calculateur!X133*VLOOKUP('Données projet'!$B$9,Paramètres!$A$1:$I$89,3,0)*0.475*44/12</f>
        <v>4.0888358302272998</v>
      </c>
      <c r="AB133" s="21">
        <f>EXP(-LN(2)/2)*AB132+(1-EXP(-LN(2)/2))/(LN(2)/2)*V133*Y133*VLOOKUP('Données projet'!$B$9,Paramètres!$A$1:$I$89,3,0)*0.475*44/12</f>
        <v>6.9763982945413149E-17</v>
      </c>
      <c r="AC133" s="22">
        <f t="shared" si="111"/>
        <v>43.624348506418443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9.7500000000003695E-2</v>
      </c>
      <c r="AI133" s="13">
        <f>IF('Données projet'!$A$62&gt;35,AI132+AH133-AQ132,IF(A133&lt;'Données projet'!$A$62,$AF$205^A133,IF(A133='Données projet'!$A$62,'Données projet'!$B$62,AI132+AH133-AQ132)))</f>
        <v>163.55250000000041</v>
      </c>
      <c r="AJ133" s="13">
        <f>AI133*VLOOKUP('Données projet'!$B$10,Paramètres!$A$1:$I$89,3,0)*VLOOKUP('Données projet'!$B$10,Paramètres!$A$1:$I$89,5,0)</f>
        <v>147.98230200000037</v>
      </c>
      <c r="AK133" s="13">
        <f t="shared" ref="AK133:AK153" si="143">EXP(-1.0587+0.8836*LN(AJ133)+0.284)</f>
        <v>38.119695733116984</v>
      </c>
      <c r="AL133" s="20">
        <f t="shared" si="112"/>
        <v>324.127646051846</v>
      </c>
      <c r="AM133" s="59">
        <f t="shared" si="113"/>
        <v>617.46097938517937</v>
      </c>
      <c r="AN133" s="59">
        <f ca="1">AVERAGE(OFFSET($AM$3,0,0,'Données projet'!$E$10+1,1))-AVERAGE(OFFSET($H$3,0,0,'Données projet'!$E$10+1,1))</f>
        <v>426.34811677569007</v>
      </c>
      <c r="AO133" s="59">
        <f t="shared" ref="AO133:AO196" si="144">$AO$3</f>
        <v>209.65223938402107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219.5221551632321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219.5221551632321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9.7500000000003695E-2</v>
      </c>
      <c r="BD133" s="12">
        <f>IF('Données projet'!$A$88&gt;35,BD132+BC133-BL132,IF(A133&lt;'Données projet'!$A$88,$BA$205^A133,IF(A133='Données projet'!$A$88,'Données projet'!$B$88,BD132+BC133-BL132)))</f>
        <v>163.55250000000041</v>
      </c>
      <c r="BE133" s="13">
        <f>BD133*VLOOKUP('Données projet'!$B$11,Paramètres!$A$1:$I$89,3,0)*VLOOKUP('Données projet'!$B$11,Paramètres!$A$1:$I$89,5,0)</f>
        <v>165.84223500000041</v>
      </c>
      <c r="BF133" s="13">
        <f t="shared" ref="BF133:BF153" si="145">EXP(-1.0587+0.8836*LN(BE133)+0.284)</f>
        <v>42.157484820579974</v>
      </c>
      <c r="BG133" s="20">
        <f t="shared" si="115"/>
        <v>362.26617868751083</v>
      </c>
      <c r="BH133" s="59">
        <f t="shared" si="116"/>
        <v>655.59951202084414</v>
      </c>
      <c r="BI133" s="59">
        <f ca="1">AVERAGE(OFFSET($BH$3,0,0,'Données projet'!$E$11+1,1))-AVERAGE(OFFSET($H$3,0,0,'Données projet'!$E$11+1,1))</f>
        <v>485.01379841128346</v>
      </c>
      <c r="BJ133" s="59">
        <f t="shared" ref="BJ133:BJ196" si="146">$BJ$3</f>
        <v>238.25679915866897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246.01620837258778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246.01620837258778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">
        <f t="shared" si="140"/>
        <v>17.927361301972791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6">
        <f t="shared" si="110"/>
        <v>434.30097926760288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763.00000000000057</v>
      </c>
      <c r="O134" s="13">
        <f>N134*VLOOKUP('Données projet'!$B$9,Paramètres!$A$1:$I$89,3,0)*VLOOKUP('Données projet'!$B$9,Paramètres!$A$1:$I$89,5,0)</f>
        <v>456.2740000000004</v>
      </c>
      <c r="P134" s="13">
        <f t="shared" si="141"/>
        <v>103.09649786611838</v>
      </c>
      <c r="Q134" s="20">
        <f t="shared" si="108"/>
        <v>974.23695045015677</v>
      </c>
      <c r="R134" s="59">
        <f t="shared" si="109"/>
        <v>1267.5702837834901</v>
      </c>
      <c r="S134" s="59">
        <f ca="1">AVERAGE(OFFSET($R$3,0,0,'Données projet'!$E$9+1,1))-AVERAGE(OFFSET($H$3,0,0,'Données projet'!$E$9+1,1))</f>
        <v>481.17250315093412</v>
      </c>
      <c r="T134" s="59">
        <f t="shared" si="142"/>
        <v>413.48123190206832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38.760245386892684</v>
      </c>
      <c r="AA134" s="21">
        <f>EXP(-LN(2)/25)*AA133+(1-EXP(-LN(2)/25))/(LN(2)/25)*Calculateur!V134*Calculateur!X134*VLOOKUP('Données projet'!$B$9,Paramètres!$A$1:$I$89,3,0)*0.475*44/12</f>
        <v>3.9770263994272033</v>
      </c>
      <c r="AB134" s="21">
        <f>EXP(-LN(2)/2)*AB133+(1-EXP(-LN(2)/2))/(LN(2)/2)*V134*Y134*VLOOKUP('Données projet'!$B$9,Paramètres!$A$1:$I$89,3,0)*0.475*44/12</f>
        <v>4.9330585423284289E-17</v>
      </c>
      <c r="AC134" s="22">
        <f t="shared" si="111"/>
        <v>42.737271786319887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>
        <f>VLOOKUP(A134,'Données projet'!$A$61:$I$81,2,0)</f>
        <v>163.65</v>
      </c>
      <c r="AG134" s="12">
        <f>VLOOKUP(A134,'Données projet'!$A$61:$I$81,9,0)</f>
        <v>9.7500000000003695E-2</v>
      </c>
      <c r="AH134" s="12">
        <f t="array" ref="AH134">INDEX(AG:AG,MIN(IF(ISNUMBER(AG134:AG330),ROW(AG134:AG330),"")))</f>
        <v>9.7500000000003695E-2</v>
      </c>
      <c r="AI134" s="13">
        <f>IF('Données projet'!$A$62&gt;35,AI133+AH134-AQ133,IF(A134&lt;'Données projet'!$A$62,$AF$205^A134,IF(A134='Données projet'!$A$62,'Données projet'!$B$62,AI133+AH134-AQ133)))</f>
        <v>163.6500000000004</v>
      </c>
      <c r="AJ134" s="13">
        <f>AI134*VLOOKUP('Données projet'!$B$10,Paramètres!$A$1:$I$89,3,0)*VLOOKUP('Données projet'!$B$10,Paramètres!$A$1:$I$89,5,0)</f>
        <v>148.07052000000036</v>
      </c>
      <c r="AK134" s="13">
        <f t="shared" si="143"/>
        <v>38.139774521220701</v>
      </c>
      <c r="AL134" s="20">
        <f t="shared" si="112"/>
        <v>324.3162629577933</v>
      </c>
      <c r="AM134" s="59">
        <f t="shared" si="113"/>
        <v>617.64959629112661</v>
      </c>
      <c r="AN134" s="59">
        <f ca="1">AVERAGE(OFFSET($AM$3,0,0,'Données projet'!$E$10+1,1))-AVERAGE(OFFSET($H$3,0,0,'Données projet'!$E$10+1,1))</f>
        <v>426.34811677569007</v>
      </c>
      <c r="AO134" s="59">
        <f t="shared" si="144"/>
        <v>209.65223938402107</v>
      </c>
      <c r="AP134" s="15">
        <f>IF(ISNA(VLOOKUP(A134,'Données projet'!$A$61:$I$81,3,0)),0,VLOOKUP(A134,'Données projet'!$A$61:$I$81,3,0))</f>
        <v>14</v>
      </c>
      <c r="AQ134" s="15">
        <f>IF(ISNA(VLOOKUP(A134,'Données projet'!$A$61:$I$81,4,0)),0,VLOOKUP(A134,'Données projet'!$A$61:$I$81,4,0))</f>
        <v>143.84</v>
      </c>
      <c r="AR134" s="16">
        <f>IF(ISNA(VLOOKUP(A134,'Données projet'!$A$61:$I$81,5,0)),0%,VLOOKUP(A134,'Données projet'!$A$61:$I$81,5,0)*VLOOKUP('Données projet'!$B$10,Paramètres!$A$1:$I$89,7,0))</f>
        <v>0.43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277.08286059427138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277.08286059427138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>
        <f>VLOOKUP(A134,'Données projet'!$A$87:$I$107,2,0)</f>
        <v>163.65</v>
      </c>
      <c r="BB134" s="12">
        <f>VLOOKUP(A134,'Données projet'!$A$87:$I$107,9,0)</f>
        <v>9.7500000000003695E-2</v>
      </c>
      <c r="BC134" s="12">
        <f t="array" ref="BC134">INDEX(BB:BB,MIN(IF(ISNUMBER(BB134:BB330),ROW(BB134:BB330),"")))</f>
        <v>9.7500000000003695E-2</v>
      </c>
      <c r="BD134" s="12">
        <f>IF('Données projet'!$A$88&gt;35,BD133+BC134-BL133,IF(A134&lt;'Données projet'!$A$88,$BA$205^A134,IF(A134='Données projet'!$A$88,'Données projet'!$B$88,BD133+BC134-BL133)))</f>
        <v>163.6500000000004</v>
      </c>
      <c r="BE134" s="13">
        <f>BD134*VLOOKUP('Données projet'!$B$11,Paramètres!$A$1:$I$89,3,0)*VLOOKUP('Données projet'!$B$11,Paramètres!$A$1:$I$89,5,0)</f>
        <v>165.94110000000043</v>
      </c>
      <c r="BF134" s="13">
        <f t="shared" si="145"/>
        <v>42.179690433411352</v>
      </c>
      <c r="BG134" s="20">
        <f t="shared" si="115"/>
        <v>362.47704333819223</v>
      </c>
      <c r="BH134" s="59">
        <f t="shared" si="116"/>
        <v>655.81037667152555</v>
      </c>
      <c r="BI134" s="59">
        <f ca="1">AVERAGE(OFFSET($BH$3,0,0,'Données projet'!$E$11+1,1))-AVERAGE(OFFSET($H$3,0,0,'Données projet'!$E$11+1,1))</f>
        <v>485.01379841128346</v>
      </c>
      <c r="BJ134" s="59">
        <f t="shared" si="146"/>
        <v>238.25679915866897</v>
      </c>
      <c r="BK134" s="15">
        <f>IF(ISNA(VLOOKUP(A134,'Données projet'!$A$87:$I$107,3,0)),0,VLOOKUP(A134,'Données projet'!$A$87:$I$107,3,0))</f>
        <v>14</v>
      </c>
      <c r="BL134" s="15">
        <f>IF(ISNA(VLOOKUP(A134,'Données projet'!$A$87:$I$107,4,0)),0,VLOOKUP(A134,'Données projet'!$A$87:$I$107,4,0))</f>
        <v>143.84</v>
      </c>
      <c r="BM134" s="16">
        <f>IF(ISNA(VLOOKUP(A134,'Données projet'!$A$87:$I$107,5,0)),0%,VLOOKUP(A134,'Données projet'!$A$87:$I$107,5,0)*VLOOKUP('Données projet'!$B$11,Paramètres!$A$1:$I$89,7,0))</f>
        <v>0.43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310.52389549358008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310.52389549358008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">
        <f t="shared" si="140"/>
        <v>18.048228468163416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6">
        <f t="shared" si="110"/>
        <v>435.34923124871818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763.00000000000057</v>
      </c>
      <c r="O135" s="13">
        <f>N135*VLOOKUP('Données projet'!$B$9,Paramètres!$A$1:$I$89,3,0)*VLOOKUP('Données projet'!$B$9,Paramètres!$A$1:$I$89,5,0)</f>
        <v>456.2740000000004</v>
      </c>
      <c r="P135" s="13">
        <f t="shared" si="141"/>
        <v>103.09649786611838</v>
      </c>
      <c r="Q135" s="20">
        <f t="shared" si="108"/>
        <v>974.23695045015677</v>
      </c>
      <c r="R135" s="59">
        <f t="shared" si="109"/>
        <v>1267.5702837834901</v>
      </c>
      <c r="S135" s="59">
        <f ca="1">AVERAGE(OFFSET($R$3,0,0,'Données projet'!$E$9+1,1))-AVERAGE(OFFSET($H$3,0,0,'Données projet'!$E$9+1,1))</f>
        <v>481.17250315093412</v>
      </c>
      <c r="T135" s="59">
        <f t="shared" si="142"/>
        <v>413.48123190206832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38.00018061627101</v>
      </c>
      <c r="AA135" s="21">
        <f>EXP(-LN(2)/25)*AA134+(1-EXP(-LN(2)/25))/(LN(2)/25)*Calculateur!V135*Calculateur!X135*VLOOKUP('Données projet'!$B$9,Paramètres!$A$1:$I$89,3,0)*0.475*44/12</f>
        <v>3.8682744033921375</v>
      </c>
      <c r="AB135" s="21">
        <f>EXP(-LN(2)/2)*AB134+(1-EXP(-LN(2)/2))/(LN(2)/2)*V135*Y135*VLOOKUP('Données projet'!$B$9,Paramètres!$A$1:$I$89,3,0)*0.475*44/12</f>
        <v>3.4881991472706574E-17</v>
      </c>
      <c r="AC135" s="22">
        <f t="shared" si="111"/>
        <v>41.868455019663145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19.8100000000004</v>
      </c>
      <c r="AJ135" s="13">
        <f>AI135*VLOOKUP('Données projet'!$B$10,Paramètres!$A$1:$I$89,3,0)*VLOOKUP('Données projet'!$B$10,Paramètres!$A$1:$I$89,5,0)</f>
        <v>17.924088000000364</v>
      </c>
      <c r="AK135" s="13">
        <f t="shared" si="143"/>
        <v>5.9032212091029486</v>
      </c>
      <c r="AL135" s="20">
        <f t="shared" si="112"/>
        <v>41.499230205854936</v>
      </c>
      <c r="AM135" s="59">
        <f t="shared" si="113"/>
        <v>334.83256353918824</v>
      </c>
      <c r="AN135" s="59">
        <f ca="1">AVERAGE(OFFSET($AM$3,0,0,'Données projet'!$E$10+1,1))-AVERAGE(OFFSET($H$3,0,0,'Données projet'!$E$10+1,1))</f>
        <v>426.34811677569007</v>
      </c>
      <c r="AO135" s="59">
        <f t="shared" si="144"/>
        <v>209.65223938402107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271.64943470187495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271.64943470187495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19.8100000000004</v>
      </c>
      <c r="BE135" s="13">
        <f>BD135*VLOOKUP('Données projet'!$B$11,Paramètres!$A$1:$I$89,3,0)*VLOOKUP('Données projet'!$B$11,Paramètres!$A$1:$I$89,5,0)</f>
        <v>20.08734000000041</v>
      </c>
      <c r="BF135" s="13">
        <f t="shared" si="145"/>
        <v>6.5285137703520215</v>
      </c>
      <c r="BG135" s="20">
        <f t="shared" si="115"/>
        <v>46.355945316697152</v>
      </c>
      <c r="BH135" s="59">
        <f t="shared" si="116"/>
        <v>339.68927865003047</v>
      </c>
      <c r="BI135" s="59">
        <f ca="1">AVERAGE(OFFSET($BH$3,0,0,'Données projet'!$E$11+1,1))-AVERAGE(OFFSET($H$3,0,0,'Données projet'!$E$11+1,1))</f>
        <v>485.01379841128346</v>
      </c>
      <c r="BJ135" s="59">
        <f t="shared" si="146"/>
        <v>238.25679915866897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304.43471130382545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304.43471130382545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">
        <f t="shared" si="140"/>
        <v>18.168989097390945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6">
        <f t="shared" si="110"/>
        <v>436.39729767795615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763.00000000000057</v>
      </c>
      <c r="O136" s="13">
        <f>N136*VLOOKUP('Données projet'!$B$9,Paramètres!$A$1:$I$89,3,0)*VLOOKUP('Données projet'!$B$9,Paramètres!$A$1:$I$89,5,0)</f>
        <v>456.2740000000004</v>
      </c>
      <c r="P136" s="13">
        <f t="shared" si="141"/>
        <v>103.09649786611838</v>
      </c>
      <c r="Q136" s="20">
        <f t="shared" si="108"/>
        <v>974.23695045015677</v>
      </c>
      <c r="R136" s="59">
        <f t="shared" si="109"/>
        <v>1267.5702837834901</v>
      </c>
      <c r="S136" s="59">
        <f ca="1">AVERAGE(OFFSET($R$3,0,0,'Données projet'!$E$9+1,1))-AVERAGE(OFFSET($H$3,0,0,'Données projet'!$E$9+1,1))</f>
        <v>481.17250315093412</v>
      </c>
      <c r="T136" s="59">
        <f t="shared" si="142"/>
        <v>413.48123190206832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37.255020252207494</v>
      </c>
      <c r="AA136" s="21">
        <f>EXP(-LN(2)/25)*AA135+(1-EXP(-LN(2)/25))/(LN(2)/25)*Calculateur!V136*Calculateur!X136*VLOOKUP('Données projet'!$B$9,Paramètres!$A$1:$I$89,3,0)*0.475*44/12</f>
        <v>3.7624962364076695</v>
      </c>
      <c r="AB136" s="21">
        <f>EXP(-LN(2)/2)*AB135+(1-EXP(-LN(2)/2))/(LN(2)/2)*V136*Y136*VLOOKUP('Données projet'!$B$9,Paramètres!$A$1:$I$89,3,0)*0.475*44/12</f>
        <v>2.4665292711642145E-17</v>
      </c>
      <c r="AC136" s="22">
        <f t="shared" si="111"/>
        <v>41.017516488615165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19.8100000000004</v>
      </c>
      <c r="AJ136" s="13">
        <f>AI136*VLOOKUP('Données projet'!$B$10,Paramètres!$A$1:$I$89,3,0)*VLOOKUP('Données projet'!$B$10,Paramètres!$A$1:$I$89,5,0)</f>
        <v>17.924088000000364</v>
      </c>
      <c r="AK136" s="13">
        <f t="shared" si="143"/>
        <v>5.9032212091029486</v>
      </c>
      <c r="AL136" s="20">
        <f t="shared" si="112"/>
        <v>41.499230205854936</v>
      </c>
      <c r="AM136" s="59">
        <f t="shared" si="113"/>
        <v>334.83256353918824</v>
      </c>
      <c r="AN136" s="59">
        <f ca="1">AVERAGE(OFFSET($AM$3,0,0,'Données projet'!$E$10+1,1))-AVERAGE(OFFSET($H$3,0,0,'Données projet'!$E$10+1,1))</f>
        <v>426.34811677569007</v>
      </c>
      <c r="AO136" s="59">
        <f t="shared" si="144"/>
        <v>209.65223938402107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266.32255497716585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266.32255497716585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19.8100000000004</v>
      </c>
      <c r="BE136" s="13">
        <f>BD136*VLOOKUP('Données projet'!$B$11,Paramètres!$A$1:$I$89,3,0)*VLOOKUP('Données projet'!$B$11,Paramètres!$A$1:$I$89,5,0)</f>
        <v>20.08734000000041</v>
      </c>
      <c r="BF136" s="13">
        <f t="shared" si="145"/>
        <v>6.5285137703520215</v>
      </c>
      <c r="BG136" s="20">
        <f t="shared" si="115"/>
        <v>46.355945316697152</v>
      </c>
      <c r="BH136" s="59">
        <f t="shared" si="116"/>
        <v>339.68927865003047</v>
      </c>
      <c r="BI136" s="59">
        <f ca="1">AVERAGE(OFFSET($BH$3,0,0,'Données projet'!$E$11+1,1))-AVERAGE(OFFSET($H$3,0,0,'Données projet'!$E$11+1,1))</f>
        <v>485.01379841128346</v>
      </c>
      <c r="BJ136" s="59">
        <f t="shared" si="146"/>
        <v>238.25679915866897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298.46493230199627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298.46493230199627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">
        <f t="shared" si="140"/>
        <v>18.289644083550719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6">
        <f t="shared" si="110"/>
        <v>437.4451801121844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763.00000000000057</v>
      </c>
      <c r="O137" s="13">
        <f>N137*VLOOKUP('Données projet'!$B$9,Paramètres!$A$1:$I$89,3,0)*VLOOKUP('Données projet'!$B$9,Paramètres!$A$1:$I$89,5,0)</f>
        <v>456.2740000000004</v>
      </c>
      <c r="P137" s="13">
        <f t="shared" si="141"/>
        <v>103.09649786611838</v>
      </c>
      <c r="Q137" s="20">
        <f t="shared" si="108"/>
        <v>974.23695045015677</v>
      </c>
      <c r="R137" s="59">
        <f t="shared" si="109"/>
        <v>1267.5702837834901</v>
      </c>
      <c r="S137" s="59">
        <f ca="1">AVERAGE(OFFSET($R$3,0,0,'Données projet'!$E$9+1,1))-AVERAGE(OFFSET($H$3,0,0,'Données projet'!$E$9+1,1))</f>
        <v>481.17250315093412</v>
      </c>
      <c r="T137" s="59">
        <f t="shared" si="142"/>
        <v>413.48123190206832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36.524472028380316</v>
      </c>
      <c r="AA137" s="21">
        <f>EXP(-LN(2)/25)*AA136+(1-EXP(-LN(2)/25))/(LN(2)/25)*Calculateur!V137*Calculateur!X137*VLOOKUP('Données projet'!$B$9,Paramètres!$A$1:$I$89,3,0)*0.475*44/12</f>
        <v>3.6596105789620239</v>
      </c>
      <c r="AB137" s="21">
        <f>EXP(-LN(2)/2)*AB136+(1-EXP(-LN(2)/2))/(LN(2)/2)*V137*Y137*VLOOKUP('Données projet'!$B$9,Paramètres!$A$1:$I$89,3,0)*0.475*44/12</f>
        <v>1.7440995736353287E-17</v>
      </c>
      <c r="AC137" s="22">
        <f t="shared" si="111"/>
        <v>40.18408260734234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19.8100000000004</v>
      </c>
      <c r="AJ137" s="13">
        <f>AI137*VLOOKUP('Données projet'!$B$10,Paramètres!$A$1:$I$89,3,0)*VLOOKUP('Données projet'!$B$10,Paramètres!$A$1:$I$89,5,0)</f>
        <v>17.924088000000364</v>
      </c>
      <c r="AK137" s="13">
        <f t="shared" si="143"/>
        <v>5.9032212091029486</v>
      </c>
      <c r="AL137" s="20">
        <f t="shared" si="112"/>
        <v>41.499230205854936</v>
      </c>
      <c r="AM137" s="59">
        <f t="shared" si="113"/>
        <v>334.83256353918824</v>
      </c>
      <c r="AN137" s="59">
        <f ca="1">AVERAGE(OFFSET($AM$3,0,0,'Données projet'!$E$10+1,1))-AVERAGE(OFFSET($H$3,0,0,'Données projet'!$E$10+1,1))</f>
        <v>426.34811677569007</v>
      </c>
      <c r="AO137" s="59">
        <f t="shared" si="144"/>
        <v>209.65223938402107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261.10013211478247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261.10013211478247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19.8100000000004</v>
      </c>
      <c r="BE137" s="13">
        <f>BD137*VLOOKUP('Données projet'!$B$11,Paramètres!$A$1:$I$89,3,0)*VLOOKUP('Données projet'!$B$11,Paramètres!$A$1:$I$89,5,0)</f>
        <v>20.08734000000041</v>
      </c>
      <c r="BF137" s="13">
        <f t="shared" si="145"/>
        <v>6.5285137703520215</v>
      </c>
      <c r="BG137" s="20">
        <f t="shared" si="115"/>
        <v>46.355945316697152</v>
      </c>
      <c r="BH137" s="59">
        <f t="shared" si="116"/>
        <v>339.68927865003047</v>
      </c>
      <c r="BI137" s="59">
        <f ca="1">AVERAGE(OFFSET($BH$3,0,0,'Données projet'!$E$11+1,1))-AVERAGE(OFFSET($H$3,0,0,'Données projet'!$E$11+1,1))</f>
        <v>485.01379841128346</v>
      </c>
      <c r="BJ137" s="59">
        <f t="shared" si="146"/>
        <v>238.25679915866897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292.61221702518731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292.61221702518731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">
        <f t="shared" si="140"/>
        <v>18.41019430642563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6">
        <f t="shared" si="110"/>
        <v>438.49288008369155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763.00000000000057</v>
      </c>
      <c r="O138" s="13">
        <f>N138*VLOOKUP('Données projet'!$B$9,Paramètres!$A$1:$I$89,3,0)*VLOOKUP('Données projet'!$B$9,Paramètres!$A$1:$I$89,5,0)</f>
        <v>456.2740000000004</v>
      </c>
      <c r="P138" s="13">
        <f t="shared" si="141"/>
        <v>103.09649786611838</v>
      </c>
      <c r="Q138" s="20">
        <f t="shared" si="108"/>
        <v>974.23695045015677</v>
      </c>
      <c r="R138" s="59">
        <f t="shared" si="109"/>
        <v>1267.5702837834901</v>
      </c>
      <c r="S138" s="59">
        <f ca="1">AVERAGE(OFFSET($R$3,0,0,'Données projet'!$E$9+1,1))-AVERAGE(OFFSET($H$3,0,0,'Données projet'!$E$9+1,1))</f>
        <v>481.17250315093412</v>
      </c>
      <c r="T138" s="59">
        <f t="shared" si="142"/>
        <v>413.48123190206832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35.808249409631969</v>
      </c>
      <c r="AA138" s="21">
        <f>EXP(-LN(2)/25)*AA137+(1-EXP(-LN(2)/25))/(LN(2)/25)*Calculateur!V138*Calculateur!X138*VLOOKUP('Données projet'!$B$9,Paramètres!$A$1:$I$89,3,0)*0.475*44/12</f>
        <v>3.5595383352297514</v>
      </c>
      <c r="AB138" s="21">
        <f>EXP(-LN(2)/2)*AB137+(1-EXP(-LN(2)/2))/(LN(2)/2)*V138*Y138*VLOOKUP('Données projet'!$B$9,Paramètres!$A$1:$I$89,3,0)*0.475*44/12</f>
        <v>1.2332646355821072E-17</v>
      </c>
      <c r="AC138" s="22">
        <f t="shared" si="111"/>
        <v>39.367787744861722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19.8100000000004</v>
      </c>
      <c r="AJ138" s="13">
        <f>AI138*VLOOKUP('Données projet'!$B$10,Paramètres!$A$1:$I$89,3,0)*VLOOKUP('Données projet'!$B$10,Paramètres!$A$1:$I$89,5,0)</f>
        <v>17.924088000000364</v>
      </c>
      <c r="AK138" s="13">
        <f t="shared" si="143"/>
        <v>5.9032212091029486</v>
      </c>
      <c r="AL138" s="20">
        <f t="shared" si="112"/>
        <v>41.499230205854936</v>
      </c>
      <c r="AM138" s="59">
        <f t="shared" si="113"/>
        <v>334.83256353918824</v>
      </c>
      <c r="AN138" s="59">
        <f ca="1">AVERAGE(OFFSET($AM$3,0,0,'Données projet'!$E$10+1,1))-AVERAGE(OFFSET($H$3,0,0,'Données projet'!$E$10+1,1))</f>
        <v>426.34811677569007</v>
      </c>
      <c r="AO138" s="59">
        <f t="shared" si="144"/>
        <v>209.65223938402107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255.98011777936702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255.98011777936702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19.8100000000004</v>
      </c>
      <c r="BE138" s="13">
        <f>BD138*VLOOKUP('Données projet'!$B$11,Paramètres!$A$1:$I$89,3,0)*VLOOKUP('Données projet'!$B$11,Paramètres!$A$1:$I$89,5,0)</f>
        <v>20.08734000000041</v>
      </c>
      <c r="BF138" s="13">
        <f t="shared" si="145"/>
        <v>6.5285137703520215</v>
      </c>
      <c r="BG138" s="20">
        <f t="shared" si="115"/>
        <v>46.355945316697152</v>
      </c>
      <c r="BH138" s="59">
        <f t="shared" si="116"/>
        <v>339.68927865003047</v>
      </c>
      <c r="BI138" s="59">
        <f ca="1">AVERAGE(OFFSET($BH$3,0,0,'Données projet'!$E$11+1,1))-AVERAGE(OFFSET($H$3,0,0,'Données projet'!$E$11+1,1))</f>
        <v>485.01379841128346</v>
      </c>
      <c r="BJ138" s="59">
        <f t="shared" si="146"/>
        <v>238.25679915866897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286.87426992515276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286.87426992515276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">
        <f t="shared" si="140"/>
        <v>18.530640632011767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6">
        <f t="shared" si="110"/>
        <v>439.54039910075409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763.00000000000057</v>
      </c>
      <c r="O139" s="13">
        <f>N139*VLOOKUP('Données projet'!$B$9,Paramètres!$A$1:$I$89,3,0)*VLOOKUP('Données projet'!$B$9,Paramètres!$A$1:$I$89,5,0)</f>
        <v>456.2740000000004</v>
      </c>
      <c r="P139" s="13">
        <f t="shared" si="141"/>
        <v>103.09649786611838</v>
      </c>
      <c r="Q139" s="20">
        <f t="shared" si="108"/>
        <v>974.23695045015677</v>
      </c>
      <c r="R139" s="59">
        <f t="shared" si="109"/>
        <v>1267.5702837834901</v>
      </c>
      <c r="S139" s="59">
        <f ca="1">AVERAGE(OFFSET($R$3,0,0,'Données projet'!$E$9+1,1))-AVERAGE(OFFSET($H$3,0,0,'Données projet'!$E$9+1,1))</f>
        <v>481.17250315093412</v>
      </c>
      <c r="T139" s="59">
        <f t="shared" si="142"/>
        <v>413.48123190206832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35.106071479584621</v>
      </c>
      <c r="AA139" s="21">
        <f>EXP(-LN(2)/25)*AA138+(1-EXP(-LN(2)/25))/(LN(2)/25)*Calculateur!V139*Calculateur!X139*VLOOKUP('Données projet'!$B$9,Paramètres!$A$1:$I$89,3,0)*0.475*44/12</f>
        <v>3.4622025722649084</v>
      </c>
      <c r="AB139" s="21">
        <f>EXP(-LN(2)/2)*AB138+(1-EXP(-LN(2)/2))/(LN(2)/2)*V139*Y139*VLOOKUP('Données projet'!$B$9,Paramètres!$A$1:$I$89,3,0)*0.475*44/12</f>
        <v>8.7204978681766436E-18</v>
      </c>
      <c r="AC139" s="22">
        <f t="shared" si="111"/>
        <v>38.568274051849528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19.8100000000004</v>
      </c>
      <c r="AJ139" s="13">
        <f>AI139*VLOOKUP('Données projet'!$B$10,Paramètres!$A$1:$I$89,3,0)*VLOOKUP('Données projet'!$B$10,Paramètres!$A$1:$I$89,5,0)</f>
        <v>17.924088000000364</v>
      </c>
      <c r="AK139" s="13">
        <f t="shared" si="143"/>
        <v>5.9032212091029486</v>
      </c>
      <c r="AL139" s="20">
        <f t="shared" si="112"/>
        <v>41.499230205854936</v>
      </c>
      <c r="AM139" s="59">
        <f t="shared" si="113"/>
        <v>334.83256353918824</v>
      </c>
      <c r="AN139" s="59">
        <f ca="1">AVERAGE(OFFSET($AM$3,0,0,'Données projet'!$E$10+1,1))-AVERAGE(OFFSET($H$3,0,0,'Données projet'!$E$10+1,1))</f>
        <v>426.34811677569007</v>
      </c>
      <c r="AO139" s="59">
        <f t="shared" si="144"/>
        <v>209.65223938402107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250.96050380216869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250.96050380216869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19.8100000000004</v>
      </c>
      <c r="BE139" s="13">
        <f>BD139*VLOOKUP('Données projet'!$B$11,Paramètres!$A$1:$I$89,3,0)*VLOOKUP('Données projet'!$B$11,Paramètres!$A$1:$I$89,5,0)</f>
        <v>20.08734000000041</v>
      </c>
      <c r="BF139" s="13">
        <f t="shared" si="145"/>
        <v>6.5285137703520215</v>
      </c>
      <c r="BG139" s="20">
        <f t="shared" si="115"/>
        <v>46.355945316697152</v>
      </c>
      <c r="BH139" s="59">
        <f t="shared" si="116"/>
        <v>339.68927865003047</v>
      </c>
      <c r="BI139" s="59">
        <f ca="1">AVERAGE(OFFSET($BH$3,0,0,'Données projet'!$E$11+1,1))-AVERAGE(OFFSET($H$3,0,0,'Données projet'!$E$11+1,1))</f>
        <v>485.01379841128346</v>
      </c>
      <c r="BJ139" s="59">
        <f t="shared" si="146"/>
        <v>238.25679915866897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281.24884046794773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281.24884046794773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">
        <f t="shared" si="140"/>
        <v>18.65098391283415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6">
        <f t="shared" si="110"/>
        <v>440.58773864818636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763.00000000000057</v>
      </c>
      <c r="O140" s="13">
        <f>N140*VLOOKUP('Données projet'!$B$9,Paramètres!$A$1:$I$89,3,0)*VLOOKUP('Données projet'!$B$9,Paramètres!$A$1:$I$89,5,0)</f>
        <v>456.2740000000004</v>
      </c>
      <c r="P140" s="13">
        <f t="shared" si="141"/>
        <v>103.09649786611838</v>
      </c>
      <c r="Q140" s="20">
        <f t="shared" si="108"/>
        <v>974.23695045015677</v>
      </c>
      <c r="R140" s="59">
        <f t="shared" si="109"/>
        <v>1267.5702837834901</v>
      </c>
      <c r="S140" s="59">
        <f ca="1">AVERAGE(OFFSET($R$3,0,0,'Données projet'!$E$9+1,1))-AVERAGE(OFFSET($H$3,0,0,'Données projet'!$E$9+1,1))</f>
        <v>481.17250315093412</v>
      </c>
      <c r="T140" s="59">
        <f t="shared" si="142"/>
        <v>413.48123190206832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34.41766283045925</v>
      </c>
      <c r="AA140" s="21">
        <f>EXP(-LN(2)/25)*AA139+(1-EXP(-LN(2)/25))/(LN(2)/25)*Calculateur!V140*Calculateur!X140*VLOOKUP('Données projet'!$B$9,Paramètres!$A$1:$I$89,3,0)*0.475*44/12</f>
        <v>3.3675284608570042</v>
      </c>
      <c r="AB140" s="21">
        <f>EXP(-LN(2)/2)*AB139+(1-EXP(-LN(2)/2))/(LN(2)/2)*V140*Y140*VLOOKUP('Données projet'!$B$9,Paramètres!$A$1:$I$89,3,0)*0.475*44/12</f>
        <v>6.1663231779105362E-18</v>
      </c>
      <c r="AC140" s="22">
        <f t="shared" si="111"/>
        <v>37.785191291316252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19.8100000000004</v>
      </c>
      <c r="AJ140" s="13">
        <f>AI140*VLOOKUP('Données projet'!$B$10,Paramètres!$A$1:$I$89,3,0)*VLOOKUP('Données projet'!$B$10,Paramètres!$A$1:$I$89,5,0)</f>
        <v>17.924088000000364</v>
      </c>
      <c r="AK140" s="13">
        <f t="shared" si="143"/>
        <v>5.9032212091029486</v>
      </c>
      <c r="AL140" s="20">
        <f t="shared" si="112"/>
        <v>41.499230205854936</v>
      </c>
      <c r="AM140" s="59">
        <f t="shared" si="113"/>
        <v>334.83256353918824</v>
      </c>
      <c r="AN140" s="59">
        <f ca="1">AVERAGE(OFFSET($AM$3,0,0,'Données projet'!$E$10+1,1))-AVERAGE(OFFSET($H$3,0,0,'Données projet'!$E$10+1,1))</f>
        <v>426.34811677569007</v>
      </c>
      <c r="AO140" s="59">
        <f t="shared" si="144"/>
        <v>209.65223938402107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246.039321393401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246.039321393401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19.8100000000004</v>
      </c>
      <c r="BE140" s="13">
        <f>BD140*VLOOKUP('Données projet'!$B$11,Paramètres!$A$1:$I$89,3,0)*VLOOKUP('Données projet'!$B$11,Paramètres!$A$1:$I$89,5,0)</f>
        <v>20.08734000000041</v>
      </c>
      <c r="BF140" s="13">
        <f t="shared" si="145"/>
        <v>6.5285137703520215</v>
      </c>
      <c r="BG140" s="20">
        <f t="shared" si="115"/>
        <v>46.355945316697152</v>
      </c>
      <c r="BH140" s="59">
        <f t="shared" si="116"/>
        <v>339.68927865003047</v>
      </c>
      <c r="BI140" s="59">
        <f ca="1">AVERAGE(OFFSET($BH$3,0,0,'Données projet'!$E$11+1,1))-AVERAGE(OFFSET($H$3,0,0,'Données projet'!$E$11+1,1))</f>
        <v>485.01379841128346</v>
      </c>
      <c r="BJ140" s="59">
        <f t="shared" si="146"/>
        <v>238.25679915866897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275.73372225122529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275.73372225122529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">
        <f t="shared" si="140"/>
        <v>18.771224988253135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6">
        <f t="shared" si="110"/>
        <v>441.63490018787445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763.00000000000057</v>
      </c>
      <c r="O141" s="13">
        <f>N141*VLOOKUP('Données projet'!$B$9,Paramètres!$A$1:$I$89,3,0)*VLOOKUP('Données projet'!$B$9,Paramètres!$A$1:$I$89,5,0)</f>
        <v>456.2740000000004</v>
      </c>
      <c r="P141" s="13">
        <f t="shared" si="141"/>
        <v>103.09649786611838</v>
      </c>
      <c r="Q141" s="20">
        <f t="shared" si="108"/>
        <v>974.23695045015677</v>
      </c>
      <c r="R141" s="59">
        <f t="shared" si="109"/>
        <v>1267.5702837834901</v>
      </c>
      <c r="S141" s="59">
        <f ca="1">AVERAGE(OFFSET($R$3,0,0,'Données projet'!$E$9+1,1))-AVERAGE(OFFSET($H$3,0,0,'Données projet'!$E$9+1,1))</f>
        <v>481.17250315093412</v>
      </c>
      <c r="T141" s="59">
        <f t="shared" si="142"/>
        <v>413.48123190206832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33.742753455055414</v>
      </c>
      <c r="AA141" s="21">
        <f>EXP(-LN(2)/25)*AA140+(1-EXP(-LN(2)/25))/(LN(2)/25)*Calculateur!V141*Calculateur!X141*VLOOKUP('Données projet'!$B$9,Paramètres!$A$1:$I$89,3,0)*0.475*44/12</f>
        <v>3.2754432180042441</v>
      </c>
      <c r="AB141" s="21">
        <f>EXP(-LN(2)/2)*AB140+(1-EXP(-LN(2)/2))/(LN(2)/2)*V141*Y141*VLOOKUP('Données projet'!$B$9,Paramètres!$A$1:$I$89,3,0)*0.475*44/12</f>
        <v>4.3602489340883218E-18</v>
      </c>
      <c r="AC141" s="22">
        <f t="shared" si="111"/>
        <v>37.018196673059656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19.8100000000004</v>
      </c>
      <c r="AJ141" s="13">
        <f>AI141*VLOOKUP('Données projet'!$B$10,Paramètres!$A$1:$I$89,3,0)*VLOOKUP('Données projet'!$B$10,Paramètres!$A$1:$I$89,5,0)</f>
        <v>17.924088000000364</v>
      </c>
      <c r="AK141" s="13">
        <f t="shared" si="143"/>
        <v>5.9032212091029486</v>
      </c>
      <c r="AL141" s="20">
        <f t="shared" si="112"/>
        <v>41.499230205854936</v>
      </c>
      <c r="AM141" s="59">
        <f t="shared" si="113"/>
        <v>334.83256353918824</v>
      </c>
      <c r="AN141" s="59">
        <f ca="1">AVERAGE(OFFSET($AM$3,0,0,'Données projet'!$E$10+1,1))-AVERAGE(OFFSET($H$3,0,0,'Données projet'!$E$10+1,1))</f>
        <v>426.34811677569007</v>
      </c>
      <c r="AO141" s="59">
        <f t="shared" si="144"/>
        <v>209.65223938402107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241.21464037004435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241.21464037004435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19.8100000000004</v>
      </c>
      <c r="BE141" s="13">
        <f>BD141*VLOOKUP('Données projet'!$B$11,Paramètres!$A$1:$I$89,3,0)*VLOOKUP('Données projet'!$B$11,Paramètres!$A$1:$I$89,5,0)</f>
        <v>20.08734000000041</v>
      </c>
      <c r="BF141" s="13">
        <f t="shared" si="145"/>
        <v>6.5285137703520215</v>
      </c>
      <c r="BG141" s="20">
        <f t="shared" si="115"/>
        <v>46.355945316697152</v>
      </c>
      <c r="BH141" s="59">
        <f t="shared" si="116"/>
        <v>339.68927865003047</v>
      </c>
      <c r="BI141" s="59">
        <f ca="1">AVERAGE(OFFSET($BH$3,0,0,'Données projet'!$E$11+1,1))-AVERAGE(OFFSET($H$3,0,0,'Données projet'!$E$11+1,1))</f>
        <v>485.01379841128346</v>
      </c>
      <c r="BJ141" s="59">
        <f t="shared" si="146"/>
        <v>238.25679915866897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270.32675213884283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270.32675213884283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">
        <f t="shared" si="140"/>
        <v>18.891364684761506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6">
        <f t="shared" si="110"/>
        <v>442.68188515929319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763.00000000000057</v>
      </c>
      <c r="O142" s="13">
        <f>N142*VLOOKUP('Données projet'!$B$9,Paramètres!$A$1:$I$89,3,0)*VLOOKUP('Données projet'!$B$9,Paramètres!$A$1:$I$89,5,0)</f>
        <v>456.2740000000004</v>
      </c>
      <c r="P142" s="13">
        <f t="shared" si="141"/>
        <v>103.09649786611838</v>
      </c>
      <c r="Q142" s="20">
        <f t="shared" si="108"/>
        <v>974.23695045015677</v>
      </c>
      <c r="R142" s="59">
        <f t="shared" si="109"/>
        <v>1267.5702837834901</v>
      </c>
      <c r="S142" s="59">
        <f ca="1">AVERAGE(OFFSET($R$3,0,0,'Données projet'!$E$9+1,1))-AVERAGE(OFFSET($H$3,0,0,'Données projet'!$E$9+1,1))</f>
        <v>481.17250315093412</v>
      </c>
      <c r="T142" s="59">
        <f t="shared" si="142"/>
        <v>413.48123190206832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33.081078640849178</v>
      </c>
      <c r="AA142" s="21">
        <f>EXP(-LN(2)/25)*AA141+(1-EXP(-LN(2)/25))/(LN(2)/25)*Calculateur!V142*Calculateur!X142*VLOOKUP('Données projet'!$B$9,Paramètres!$A$1:$I$89,3,0)*0.475*44/12</f>
        <v>3.1858760509598452</v>
      </c>
      <c r="AB142" s="21">
        <f>EXP(-LN(2)/2)*AB141+(1-EXP(-LN(2)/2))/(LN(2)/2)*V142*Y142*VLOOKUP('Données projet'!$B$9,Paramètres!$A$1:$I$89,3,0)*0.475*44/12</f>
        <v>3.0831615889552681E-18</v>
      </c>
      <c r="AC142" s="22">
        <f t="shared" si="111"/>
        <v>36.266954691809026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19.8100000000004</v>
      </c>
      <c r="AJ142" s="13">
        <f>AI142*VLOOKUP('Données projet'!$B$10,Paramètres!$A$1:$I$89,3,0)*VLOOKUP('Données projet'!$B$10,Paramètres!$A$1:$I$89,5,0)</f>
        <v>17.924088000000364</v>
      </c>
      <c r="AK142" s="13">
        <f t="shared" si="143"/>
        <v>5.9032212091029486</v>
      </c>
      <c r="AL142" s="20">
        <f t="shared" si="112"/>
        <v>41.499230205854936</v>
      </c>
      <c r="AM142" s="59">
        <f t="shared" si="113"/>
        <v>334.83256353918824</v>
      </c>
      <c r="AN142" s="59">
        <f ca="1">AVERAGE(OFFSET($AM$3,0,0,'Données projet'!$E$10+1,1))-AVERAGE(OFFSET($H$3,0,0,'Données projet'!$E$10+1,1))</f>
        <v>426.34811677569007</v>
      </c>
      <c r="AO142" s="59">
        <f t="shared" si="144"/>
        <v>209.65223938402107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236.48456839879088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236.48456839879088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19.8100000000004</v>
      </c>
      <c r="BE142" s="13">
        <f>BD142*VLOOKUP('Données projet'!$B$11,Paramètres!$A$1:$I$89,3,0)*VLOOKUP('Données projet'!$B$11,Paramètres!$A$1:$I$89,5,0)</f>
        <v>20.08734000000041</v>
      </c>
      <c r="BF142" s="13">
        <f t="shared" si="145"/>
        <v>6.5285137703520215</v>
      </c>
      <c r="BG142" s="20">
        <f t="shared" si="115"/>
        <v>46.355945316697152</v>
      </c>
      <c r="BH142" s="59">
        <f t="shared" si="116"/>
        <v>339.68927865003047</v>
      </c>
      <c r="BI142" s="59">
        <f ca="1">AVERAGE(OFFSET($BH$3,0,0,'Données projet'!$E$11+1,1))-AVERAGE(OFFSET($H$3,0,0,'Données projet'!$E$11+1,1))</f>
        <v>485.01379841128346</v>
      </c>
      <c r="BJ142" s="59">
        <f t="shared" si="146"/>
        <v>238.25679915866897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265.02580941243809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265.02580941243809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">
        <f t="shared" si="140"/>
        <v>19.011403816272956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6">
        <f t="shared" si="110"/>
        <v>443.72869498000898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763.00000000000057</v>
      </c>
      <c r="O143" s="13">
        <f>N143*VLOOKUP('Données projet'!$B$9,Paramètres!$A$1:$I$89,3,0)*VLOOKUP('Données projet'!$B$9,Paramètres!$A$1:$I$89,5,0)</f>
        <v>456.2740000000004</v>
      </c>
      <c r="P143" s="13">
        <f t="shared" si="141"/>
        <v>103.09649786611838</v>
      </c>
      <c r="Q143" s="20">
        <f t="shared" si="108"/>
        <v>974.23695045015677</v>
      </c>
      <c r="R143" s="59">
        <f t="shared" si="109"/>
        <v>1267.5702837834901</v>
      </c>
      <c r="S143" s="59">
        <f ca="1">AVERAGE(OFFSET($R$3,0,0,'Données projet'!$E$9+1,1))-AVERAGE(OFFSET($H$3,0,0,'Données projet'!$E$9+1,1))</f>
        <v>481.17250315093412</v>
      </c>
      <c r="T143" s="59">
        <f t="shared" si="142"/>
        <v>413.48123190206832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32.432378866167738</v>
      </c>
      <c r="AA143" s="21">
        <f>EXP(-LN(2)/25)*AA142+(1-EXP(-LN(2)/25))/(LN(2)/25)*Calculateur!V143*Calculateur!X143*VLOOKUP('Données projet'!$B$9,Paramètres!$A$1:$I$89,3,0)*0.475*44/12</f>
        <v>3.0987581028084081</v>
      </c>
      <c r="AB143" s="21">
        <f>EXP(-LN(2)/2)*AB142+(1-EXP(-LN(2)/2))/(LN(2)/2)*V143*Y143*VLOOKUP('Données projet'!$B$9,Paramètres!$A$1:$I$89,3,0)*0.475*44/12</f>
        <v>2.1801244670441609E-18</v>
      </c>
      <c r="AC143" s="22">
        <f t="shared" si="111"/>
        <v>35.531136968976149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19.8100000000004</v>
      </c>
      <c r="AJ143" s="13">
        <f>AI143*VLOOKUP('Données projet'!$B$10,Paramètres!$A$1:$I$89,3,0)*VLOOKUP('Données projet'!$B$10,Paramètres!$A$1:$I$89,5,0)</f>
        <v>17.924088000000364</v>
      </c>
      <c r="AK143" s="13">
        <f t="shared" si="143"/>
        <v>5.9032212091029486</v>
      </c>
      <c r="AL143" s="20">
        <f t="shared" si="112"/>
        <v>41.499230205854936</v>
      </c>
      <c r="AM143" s="59">
        <f t="shared" si="113"/>
        <v>334.83256353918824</v>
      </c>
      <c r="AN143" s="59">
        <f ca="1">AVERAGE(OFFSET($AM$3,0,0,'Données projet'!$E$10+1,1))-AVERAGE(OFFSET($H$3,0,0,'Données projet'!$E$10+1,1))</f>
        <v>426.34811677569007</v>
      </c>
      <c r="AO143" s="59">
        <f t="shared" si="144"/>
        <v>209.65223938402107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231.84725025383466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231.84725025383466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19.8100000000004</v>
      </c>
      <c r="BE143" s="13">
        <f>BD143*VLOOKUP('Données projet'!$B$11,Paramètres!$A$1:$I$89,3,0)*VLOOKUP('Données projet'!$B$11,Paramètres!$A$1:$I$89,5,0)</f>
        <v>20.08734000000041</v>
      </c>
      <c r="BF143" s="13">
        <f t="shared" si="145"/>
        <v>6.5285137703520215</v>
      </c>
      <c r="BG143" s="20">
        <f t="shared" si="115"/>
        <v>46.355945316697152</v>
      </c>
      <c r="BH143" s="59">
        <f t="shared" si="116"/>
        <v>339.68927865003047</v>
      </c>
      <c r="BI143" s="59">
        <f ca="1">AVERAGE(OFFSET($BH$3,0,0,'Données projet'!$E$11+1,1))-AVERAGE(OFFSET($H$3,0,0,'Données projet'!$E$11+1,1))</f>
        <v>485.01379841128346</v>
      </c>
      <c r="BJ143" s="59">
        <f t="shared" si="146"/>
        <v>238.25679915866897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259.82881493964231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259.82881493964231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">
        <f t="shared" si="140"/>
        <v>19.13134318440186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6">
        <f t="shared" si="110"/>
        <v>444.7753310461668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763.00000000000057</v>
      </c>
      <c r="O144" s="13">
        <f>N144*VLOOKUP('Données projet'!$B$9,Paramètres!$A$1:$I$89,3,0)*VLOOKUP('Données projet'!$B$9,Paramètres!$A$1:$I$89,5,0)</f>
        <v>456.2740000000004</v>
      </c>
      <c r="P144" s="13">
        <f t="shared" si="141"/>
        <v>103.09649786611838</v>
      </c>
      <c r="Q144" s="20">
        <f t="shared" si="108"/>
        <v>974.23695045015677</v>
      </c>
      <c r="R144" s="59">
        <f t="shared" si="109"/>
        <v>1267.5702837834901</v>
      </c>
      <c r="S144" s="59">
        <f ca="1">AVERAGE(OFFSET($R$3,0,0,'Données projet'!$E$9+1,1))-AVERAGE(OFFSET($H$3,0,0,'Données projet'!$E$9+1,1))</f>
        <v>481.17250315093412</v>
      </c>
      <c r="T144" s="59">
        <f t="shared" si="142"/>
        <v>413.48123190206832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31.796399698400005</v>
      </c>
      <c r="AA144" s="21">
        <f>EXP(-LN(2)/25)*AA143+(1-EXP(-LN(2)/25))/(LN(2)/25)*Calculateur!V144*Calculateur!X144*VLOOKUP('Données projet'!$B$9,Paramètres!$A$1:$I$89,3,0)*0.475*44/12</f>
        <v>3.0140223995305058</v>
      </c>
      <c r="AB144" s="21">
        <f>EXP(-LN(2)/2)*AB143+(1-EXP(-LN(2)/2))/(LN(2)/2)*V144*Y144*VLOOKUP('Données projet'!$B$9,Paramètres!$A$1:$I$89,3,0)*0.475*44/12</f>
        <v>1.541580794477634E-18</v>
      </c>
      <c r="AC144" s="22">
        <f t="shared" si="111"/>
        <v>34.810422097930513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19.8100000000004</v>
      </c>
      <c r="AJ144" s="13">
        <f>AI144*VLOOKUP('Données projet'!$B$10,Paramètres!$A$1:$I$89,3,0)*VLOOKUP('Données projet'!$B$10,Paramètres!$A$1:$I$89,5,0)</f>
        <v>17.924088000000364</v>
      </c>
      <c r="AK144" s="13">
        <f t="shared" si="143"/>
        <v>5.9032212091029486</v>
      </c>
      <c r="AL144" s="20">
        <f t="shared" si="112"/>
        <v>41.499230205854936</v>
      </c>
      <c r="AM144" s="59">
        <f t="shared" si="113"/>
        <v>334.83256353918824</v>
      </c>
      <c r="AN144" s="59">
        <f ca="1">AVERAGE(OFFSET($AM$3,0,0,'Données projet'!$E$10+1,1))-AVERAGE(OFFSET($H$3,0,0,'Données projet'!$E$10+1,1))</f>
        <v>426.34811677569007</v>
      </c>
      <c r="AO144" s="59">
        <f t="shared" si="144"/>
        <v>209.65223938402107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227.30086708921627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227.30086708921627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19.8100000000004</v>
      </c>
      <c r="BE144" s="13">
        <f>BD144*VLOOKUP('Données projet'!$B$11,Paramètres!$A$1:$I$89,3,0)*VLOOKUP('Données projet'!$B$11,Paramètres!$A$1:$I$89,5,0)</f>
        <v>20.08734000000041</v>
      </c>
      <c r="BF144" s="13">
        <f t="shared" si="145"/>
        <v>6.5285137703520215</v>
      </c>
      <c r="BG144" s="20">
        <f t="shared" si="115"/>
        <v>46.355945316697152</v>
      </c>
      <c r="BH144" s="59">
        <f t="shared" si="116"/>
        <v>339.68927865003047</v>
      </c>
      <c r="BI144" s="59">
        <f ca="1">AVERAGE(OFFSET($BH$3,0,0,'Données projet'!$E$11+1,1))-AVERAGE(OFFSET($H$3,0,0,'Données projet'!$E$11+1,1))</f>
        <v>485.01379841128346</v>
      </c>
      <c r="BJ144" s="59">
        <f t="shared" si="146"/>
        <v>238.25679915866897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254.73373035860445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254.73373035860445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">
        <f t="shared" si="140"/>
        <v>19.251183578735148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6">
        <f t="shared" si="110"/>
        <v>445.82179473296389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763.00000000000057</v>
      </c>
      <c r="O145" s="13">
        <f>N145*VLOOKUP('Données projet'!$B$9,Paramètres!$A$1:$I$89,3,0)*VLOOKUP('Données projet'!$B$9,Paramètres!$A$1:$I$89,5,0)</f>
        <v>456.2740000000004</v>
      </c>
      <c r="P145" s="13">
        <f t="shared" si="141"/>
        <v>103.09649786611838</v>
      </c>
      <c r="Q145" s="20">
        <f t="shared" si="108"/>
        <v>974.23695045015677</v>
      </c>
      <c r="R145" s="59">
        <f t="shared" si="109"/>
        <v>1267.5702837834901</v>
      </c>
      <c r="S145" s="59">
        <f ca="1">AVERAGE(OFFSET($R$3,0,0,'Données projet'!$E$9+1,1))-AVERAGE(OFFSET($H$3,0,0,'Données projet'!$E$9+1,1))</f>
        <v>481.17250315093412</v>
      </c>
      <c r="T145" s="59">
        <f t="shared" si="142"/>
        <v>413.48123190206832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31.172891694203209</v>
      </c>
      <c r="AA145" s="21">
        <f>EXP(-LN(2)/25)*AA144+(1-EXP(-LN(2)/25))/(LN(2)/25)*Calculateur!V145*Calculateur!X145*VLOOKUP('Données projet'!$B$9,Paramètres!$A$1:$I$89,3,0)*0.475*44/12</f>
        <v>2.9316037985147947</v>
      </c>
      <c r="AB145" s="21">
        <f>EXP(-LN(2)/2)*AB144+(1-EXP(-LN(2)/2))/(LN(2)/2)*V145*Y145*VLOOKUP('Données projet'!$B$9,Paramètres!$A$1:$I$89,3,0)*0.475*44/12</f>
        <v>1.0900622335220805E-18</v>
      </c>
      <c r="AC145" s="22">
        <f t="shared" si="111"/>
        <v>34.104495492718002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19.8100000000004</v>
      </c>
      <c r="AJ145" s="13">
        <f>AI145*VLOOKUP('Données projet'!$B$10,Paramètres!$A$1:$I$89,3,0)*VLOOKUP('Données projet'!$B$10,Paramètres!$A$1:$I$89,5,0)</f>
        <v>17.924088000000364</v>
      </c>
      <c r="AK145" s="13">
        <f t="shared" si="143"/>
        <v>5.9032212091029486</v>
      </c>
      <c r="AL145" s="20">
        <f t="shared" si="112"/>
        <v>41.499230205854936</v>
      </c>
      <c r="AM145" s="59">
        <f t="shared" si="113"/>
        <v>334.83256353918824</v>
      </c>
      <c r="AN145" s="59">
        <f ca="1">AVERAGE(OFFSET($AM$3,0,0,'Données projet'!$E$10+1,1))-AVERAGE(OFFSET($H$3,0,0,'Données projet'!$E$10+1,1))</f>
        <v>426.34811677569007</v>
      </c>
      <c r="AO145" s="59">
        <f t="shared" si="144"/>
        <v>209.65223938402107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222.84363572543612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222.84363572543612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19.8100000000004</v>
      </c>
      <c r="BE145" s="13">
        <f>BD145*VLOOKUP('Données projet'!$B$11,Paramètres!$A$1:$I$89,3,0)*VLOOKUP('Données projet'!$B$11,Paramètres!$A$1:$I$89,5,0)</f>
        <v>20.08734000000041</v>
      </c>
      <c r="BF145" s="13">
        <f t="shared" si="145"/>
        <v>6.5285137703520215</v>
      </c>
      <c r="BG145" s="20">
        <f t="shared" si="115"/>
        <v>46.355945316697152</v>
      </c>
      <c r="BH145" s="59">
        <f t="shared" si="116"/>
        <v>339.68927865003047</v>
      </c>
      <c r="BI145" s="59">
        <f ca="1">AVERAGE(OFFSET($BH$3,0,0,'Données projet'!$E$11+1,1))-AVERAGE(OFFSET($H$3,0,0,'Données projet'!$E$11+1,1))</f>
        <v>485.01379841128346</v>
      </c>
      <c r="BJ145" s="59">
        <f t="shared" si="146"/>
        <v>238.25679915866897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249.73855727850599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249.73855727850599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">
        <f t="shared" si="140"/>
        <v>19.370925777096051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6">
        <f t="shared" si="110"/>
        <v>446.86808739510911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763.00000000000057</v>
      </c>
      <c r="O146" s="13">
        <f>N146*VLOOKUP('Données projet'!$B$9,Paramètres!$A$1:$I$89,3,0)*VLOOKUP('Données projet'!$B$9,Paramètres!$A$1:$I$89,5,0)</f>
        <v>456.2740000000004</v>
      </c>
      <c r="P146" s="13">
        <f t="shared" si="141"/>
        <v>103.09649786611838</v>
      </c>
      <c r="Q146" s="20">
        <f t="shared" si="108"/>
        <v>974.23695045015677</v>
      </c>
      <c r="R146" s="59">
        <f t="shared" si="109"/>
        <v>1267.5702837834901</v>
      </c>
      <c r="S146" s="59">
        <f ca="1">AVERAGE(OFFSET($R$3,0,0,'Données projet'!$E$9+1,1))-AVERAGE(OFFSET($H$3,0,0,'Données projet'!$E$9+1,1))</f>
        <v>481.17250315093412</v>
      </c>
      <c r="T146" s="59">
        <f t="shared" si="142"/>
        <v>413.48123190206832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30.561610301666381</v>
      </c>
      <c r="AA146" s="21">
        <f>EXP(-LN(2)/25)*AA145+(1-EXP(-LN(2)/25))/(LN(2)/25)*Calculateur!V146*Calculateur!X146*VLOOKUP('Données projet'!$B$9,Paramètres!$A$1:$I$89,3,0)*0.475*44/12</f>
        <v>2.8514389384780641</v>
      </c>
      <c r="AB146" s="21">
        <f>EXP(-LN(2)/2)*AB145+(1-EXP(-LN(2)/2))/(LN(2)/2)*V146*Y146*VLOOKUP('Données projet'!$B$9,Paramètres!$A$1:$I$89,3,0)*0.475*44/12</f>
        <v>7.7079039723881702E-19</v>
      </c>
      <c r="AC146" s="22">
        <f t="shared" si="111"/>
        <v>33.413049240144446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19.8100000000004</v>
      </c>
      <c r="AJ146" s="13">
        <f>AI146*VLOOKUP('Données projet'!$B$10,Paramètres!$A$1:$I$89,3,0)*VLOOKUP('Données projet'!$B$10,Paramètres!$A$1:$I$89,5,0)</f>
        <v>17.924088000000364</v>
      </c>
      <c r="AK146" s="13">
        <f t="shared" si="143"/>
        <v>5.9032212091029486</v>
      </c>
      <c r="AL146" s="20">
        <f t="shared" si="112"/>
        <v>41.499230205854936</v>
      </c>
      <c r="AM146" s="59">
        <f t="shared" si="113"/>
        <v>334.83256353918824</v>
      </c>
      <c r="AN146" s="59">
        <f ca="1">AVERAGE(OFFSET($AM$3,0,0,'Données projet'!$E$10+1,1))-AVERAGE(OFFSET($H$3,0,0,'Données projet'!$E$10+1,1))</f>
        <v>426.34811677569007</v>
      </c>
      <c r="AO146" s="59">
        <f t="shared" si="144"/>
        <v>209.65223938402107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218.47380795005699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218.47380795005699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19.8100000000004</v>
      </c>
      <c r="BE146" s="13">
        <f>BD146*VLOOKUP('Données projet'!$B$11,Paramètres!$A$1:$I$89,3,0)*VLOOKUP('Données projet'!$B$11,Paramètres!$A$1:$I$89,5,0)</f>
        <v>20.08734000000041</v>
      </c>
      <c r="BF146" s="13">
        <f t="shared" si="145"/>
        <v>6.5285137703520215</v>
      </c>
      <c r="BG146" s="20">
        <f t="shared" si="115"/>
        <v>46.355945316697152</v>
      </c>
      <c r="BH146" s="59">
        <f t="shared" si="116"/>
        <v>339.68927865003047</v>
      </c>
      <c r="BI146" s="59">
        <f ca="1">AVERAGE(OFFSET($BH$3,0,0,'Données projet'!$E$11+1,1))-AVERAGE(OFFSET($H$3,0,0,'Données projet'!$E$11+1,1))</f>
        <v>485.01379841128346</v>
      </c>
      <c r="BJ146" s="59">
        <f t="shared" si="146"/>
        <v>238.25679915866897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244.84133649575355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244.84133649575355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">
        <f t="shared" si="140"/>
        <v>19.49057054580048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6">
        <f t="shared" si="110"/>
        <v>447.91421036726933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763.00000000000057</v>
      </c>
      <c r="O147" s="13">
        <f>N147*VLOOKUP('Données projet'!$B$9,Paramètres!$A$1:$I$89,3,0)*VLOOKUP('Données projet'!$B$9,Paramètres!$A$1:$I$89,5,0)</f>
        <v>456.2740000000004</v>
      </c>
      <c r="P147" s="13">
        <f t="shared" si="141"/>
        <v>103.09649786611838</v>
      </c>
      <c r="Q147" s="20">
        <f t="shared" si="108"/>
        <v>974.23695045015677</v>
      </c>
      <c r="R147" s="59">
        <f t="shared" si="109"/>
        <v>1267.5702837834901</v>
      </c>
      <c r="S147" s="59">
        <f ca="1">AVERAGE(OFFSET($R$3,0,0,'Données projet'!$E$9+1,1))-AVERAGE(OFFSET($H$3,0,0,'Données projet'!$E$9+1,1))</f>
        <v>481.17250315093412</v>
      </c>
      <c r="T147" s="59">
        <f t="shared" si="142"/>
        <v>413.48123190206832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29.962315764392368</v>
      </c>
      <c r="AA147" s="21">
        <f>EXP(-LN(2)/25)*AA146+(1-EXP(-LN(2)/25))/(LN(2)/25)*Calculateur!V147*Calculateur!X147*VLOOKUP('Données projet'!$B$9,Paramètres!$A$1:$I$89,3,0)*0.475*44/12</f>
        <v>2.7734661907547249</v>
      </c>
      <c r="AB147" s="21">
        <f>EXP(-LN(2)/2)*AB146+(1-EXP(-LN(2)/2))/(LN(2)/2)*V147*Y147*VLOOKUP('Données projet'!$B$9,Paramètres!$A$1:$I$89,3,0)*0.475*44/12</f>
        <v>5.4503111676104023E-19</v>
      </c>
      <c r="AC147" s="22">
        <f t="shared" si="111"/>
        <v>32.73578195514709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19.8100000000004</v>
      </c>
      <c r="AJ147" s="13">
        <f>AI147*VLOOKUP('Données projet'!$B$10,Paramètres!$A$1:$I$89,3,0)*VLOOKUP('Données projet'!$B$10,Paramètres!$A$1:$I$89,5,0)</f>
        <v>17.924088000000364</v>
      </c>
      <c r="AK147" s="13">
        <f t="shared" si="143"/>
        <v>5.9032212091029486</v>
      </c>
      <c r="AL147" s="20">
        <f t="shared" si="112"/>
        <v>41.499230205854936</v>
      </c>
      <c r="AM147" s="59">
        <f t="shared" si="113"/>
        <v>334.83256353918824</v>
      </c>
      <c r="AN147" s="59">
        <f ca="1">AVERAGE(OFFSET($AM$3,0,0,'Données projet'!$E$10+1,1))-AVERAGE(OFFSET($H$3,0,0,'Données projet'!$E$10+1,1))</f>
        <v>426.34811677569007</v>
      </c>
      <c r="AO147" s="59">
        <f t="shared" si="144"/>
        <v>209.65223938402107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214.18966983202131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214.18966983202131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19.8100000000004</v>
      </c>
      <c r="BE147" s="13">
        <f>BD147*VLOOKUP('Données projet'!$B$11,Paramètres!$A$1:$I$89,3,0)*VLOOKUP('Données projet'!$B$11,Paramètres!$A$1:$I$89,5,0)</f>
        <v>20.08734000000041</v>
      </c>
      <c r="BF147" s="13">
        <f t="shared" si="145"/>
        <v>6.5285137703520215</v>
      </c>
      <c r="BG147" s="20">
        <f t="shared" si="115"/>
        <v>46.355945316697152</v>
      </c>
      <c r="BH147" s="59">
        <f t="shared" si="116"/>
        <v>339.68927865003047</v>
      </c>
      <c r="BI147" s="59">
        <f ca="1">AVERAGE(OFFSET($BH$3,0,0,'Données projet'!$E$11+1,1))-AVERAGE(OFFSET($H$3,0,0,'Données projet'!$E$11+1,1))</f>
        <v>485.01379841128346</v>
      </c>
      <c r="BJ147" s="59">
        <f t="shared" si="146"/>
        <v>238.25679915866897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240.04014722554115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240.04014722554115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">
        <f t="shared" si="140"/>
        <v>19.610118639905842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6">
        <f t="shared" si="110"/>
        <v>448.96016496450284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763.00000000000057</v>
      </c>
      <c r="O148" s="13">
        <f>N148*VLOOKUP('Données projet'!$B$9,Paramètres!$A$1:$I$89,3,0)*VLOOKUP('Données projet'!$B$9,Paramètres!$A$1:$I$89,5,0)</f>
        <v>456.2740000000004</v>
      </c>
      <c r="P148" s="13">
        <f t="shared" si="141"/>
        <v>103.09649786611838</v>
      </c>
      <c r="Q148" s="20">
        <f t="shared" si="108"/>
        <v>974.23695045015677</v>
      </c>
      <c r="R148" s="59">
        <f t="shared" si="109"/>
        <v>1267.5702837834901</v>
      </c>
      <c r="S148" s="59">
        <f ca="1">AVERAGE(OFFSET($R$3,0,0,'Données projet'!$E$9+1,1))-AVERAGE(OFFSET($H$3,0,0,'Données projet'!$E$9+1,1))</f>
        <v>481.17250315093412</v>
      </c>
      <c r="T148" s="59">
        <f t="shared" si="142"/>
        <v>413.48123190206832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29.374773027460723</v>
      </c>
      <c r="AA148" s="21">
        <f>EXP(-LN(2)/25)*AA147+(1-EXP(-LN(2)/25))/(LN(2)/25)*Calculateur!V148*Calculateur!X148*VLOOKUP('Données projet'!$B$9,Paramètres!$A$1:$I$89,3,0)*0.475*44/12</f>
        <v>2.6976256119182889</v>
      </c>
      <c r="AB148" s="21">
        <f>EXP(-LN(2)/2)*AB147+(1-EXP(-LN(2)/2))/(LN(2)/2)*V148*Y148*VLOOKUP('Données projet'!$B$9,Paramètres!$A$1:$I$89,3,0)*0.475*44/12</f>
        <v>3.8539519861940851E-19</v>
      </c>
      <c r="AC148" s="22">
        <f t="shared" si="111"/>
        <v>32.07239863937901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19.8100000000004</v>
      </c>
      <c r="AJ148" s="13">
        <f>AI148*VLOOKUP('Données projet'!$B$10,Paramètres!$A$1:$I$89,3,0)*VLOOKUP('Données projet'!$B$10,Paramètres!$A$1:$I$89,5,0)</f>
        <v>17.924088000000364</v>
      </c>
      <c r="AK148" s="13">
        <f t="shared" si="143"/>
        <v>5.9032212091029486</v>
      </c>
      <c r="AL148" s="20">
        <f t="shared" si="112"/>
        <v>41.499230205854936</v>
      </c>
      <c r="AM148" s="59">
        <f t="shared" si="113"/>
        <v>334.83256353918824</v>
      </c>
      <c r="AN148" s="59">
        <f ca="1">AVERAGE(OFFSET($AM$3,0,0,'Données projet'!$E$10+1,1))-AVERAGE(OFFSET($H$3,0,0,'Données projet'!$E$10+1,1))</f>
        <v>426.34811677569007</v>
      </c>
      <c r="AO148" s="59">
        <f t="shared" si="144"/>
        <v>209.65223938402107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209.98954104941407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209.98954104941407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19.8100000000004</v>
      </c>
      <c r="BE148" s="13">
        <f>BD148*VLOOKUP('Données projet'!$B$11,Paramètres!$A$1:$I$89,3,0)*VLOOKUP('Données projet'!$B$11,Paramètres!$A$1:$I$89,5,0)</f>
        <v>20.08734000000041</v>
      </c>
      <c r="BF148" s="13">
        <f t="shared" si="145"/>
        <v>6.5285137703520215</v>
      </c>
      <c r="BG148" s="20">
        <f t="shared" si="115"/>
        <v>46.355945316697152</v>
      </c>
      <c r="BH148" s="59">
        <f t="shared" si="116"/>
        <v>339.68927865003047</v>
      </c>
      <c r="BI148" s="59">
        <f ca="1">AVERAGE(OFFSET($BH$3,0,0,'Données projet'!$E$11+1,1))-AVERAGE(OFFSET($H$3,0,0,'Données projet'!$E$11+1,1))</f>
        <v>485.01379841128346</v>
      </c>
      <c r="BJ148" s="59">
        <f t="shared" si="146"/>
        <v>238.25679915866897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235.33310634848129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235.33310634848129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">
        <f t="shared" si="140"/>
        <v>19.729570803453061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6">
        <f t="shared" si="110"/>
        <v>450.00595248268087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763.00000000000057</v>
      </c>
      <c r="O149" s="13">
        <f>N149*VLOOKUP('Données projet'!$B$9,Paramètres!$A$1:$I$89,3,0)*VLOOKUP('Données projet'!$B$9,Paramètres!$A$1:$I$89,5,0)</f>
        <v>456.2740000000004</v>
      </c>
      <c r="P149" s="13">
        <f t="shared" si="141"/>
        <v>103.09649786611838</v>
      </c>
      <c r="Q149" s="20">
        <f t="shared" si="108"/>
        <v>974.23695045015677</v>
      </c>
      <c r="R149" s="59">
        <f t="shared" si="109"/>
        <v>1267.5702837834901</v>
      </c>
      <c r="S149" s="59">
        <f ca="1">AVERAGE(OFFSET($R$3,0,0,'Données projet'!$E$9+1,1))-AVERAGE(OFFSET($H$3,0,0,'Données projet'!$E$9+1,1))</f>
        <v>481.17250315093412</v>
      </c>
      <c r="T149" s="59">
        <f t="shared" si="142"/>
        <v>413.48123190206832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28.798751645234624</v>
      </c>
      <c r="AA149" s="21">
        <f>EXP(-LN(2)/25)*AA148+(1-EXP(-LN(2)/25))/(LN(2)/25)*Calculateur!V149*Calculateur!X149*VLOOKUP('Données projet'!$B$9,Paramètres!$A$1:$I$89,3,0)*0.475*44/12</f>
        <v>2.6238588976984176</v>
      </c>
      <c r="AB149" s="21">
        <f>EXP(-LN(2)/2)*AB148+(1-EXP(-LN(2)/2))/(LN(2)/2)*V149*Y149*VLOOKUP('Données projet'!$B$9,Paramètres!$A$1:$I$89,3,0)*0.475*44/12</f>
        <v>2.7251555838052011E-19</v>
      </c>
      <c r="AC149" s="22">
        <f t="shared" si="111"/>
        <v>31.422610542933043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19.8100000000004</v>
      </c>
      <c r="AJ149" s="13">
        <f>AI149*VLOOKUP('Données projet'!$B$10,Paramètres!$A$1:$I$89,3,0)*VLOOKUP('Données projet'!$B$10,Paramètres!$A$1:$I$89,5,0)</f>
        <v>17.924088000000364</v>
      </c>
      <c r="AK149" s="13">
        <f t="shared" si="143"/>
        <v>5.9032212091029486</v>
      </c>
      <c r="AL149" s="20">
        <f t="shared" si="112"/>
        <v>41.499230205854936</v>
      </c>
      <c r="AM149" s="59">
        <f t="shared" si="113"/>
        <v>334.83256353918824</v>
      </c>
      <c r="AN149" s="59">
        <f ca="1">AVERAGE(OFFSET($AM$3,0,0,'Données projet'!$E$10+1,1))-AVERAGE(OFFSET($H$3,0,0,'Données projet'!$E$10+1,1))</f>
        <v>426.34811677569007</v>
      </c>
      <c r="AO149" s="59">
        <f t="shared" si="144"/>
        <v>209.65223938402107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205.87177423040816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205.87177423040816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19.8100000000004</v>
      </c>
      <c r="BE149" s="13">
        <f>BD149*VLOOKUP('Données projet'!$B$11,Paramètres!$A$1:$I$89,3,0)*VLOOKUP('Données projet'!$B$11,Paramètres!$A$1:$I$89,5,0)</f>
        <v>20.08734000000041</v>
      </c>
      <c r="BF149" s="13">
        <f t="shared" si="145"/>
        <v>6.5285137703520215</v>
      </c>
      <c r="BG149" s="20">
        <f t="shared" si="115"/>
        <v>46.355945316697152</v>
      </c>
      <c r="BH149" s="59">
        <f t="shared" si="116"/>
        <v>339.68927865003047</v>
      </c>
      <c r="BI149" s="59">
        <f ca="1">AVERAGE(OFFSET($BH$3,0,0,'Données projet'!$E$11+1,1))-AVERAGE(OFFSET($H$3,0,0,'Données projet'!$E$11+1,1))</f>
        <v>485.01379841128346</v>
      </c>
      <c r="BJ149" s="59">
        <f t="shared" si="146"/>
        <v>238.25679915866897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230.71836767200915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230.71836767200915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">
        <f t="shared" si="140"/>
        <v>19.848927769701536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6">
        <f t="shared" si="110"/>
        <v>451.05157419889701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763.00000000000057</v>
      </c>
      <c r="O150" s="13">
        <f>N150*VLOOKUP('Données projet'!$B$9,Paramètres!$A$1:$I$89,3,0)*VLOOKUP('Données projet'!$B$9,Paramètres!$A$1:$I$89,5,0)</f>
        <v>456.2740000000004</v>
      </c>
      <c r="P150" s="13">
        <f t="shared" si="141"/>
        <v>103.09649786611838</v>
      </c>
      <c r="Q150" s="20">
        <f t="shared" si="108"/>
        <v>974.23695045015677</v>
      </c>
      <c r="R150" s="59">
        <f t="shared" si="109"/>
        <v>1267.5702837834901</v>
      </c>
      <c r="S150" s="59">
        <f ca="1">AVERAGE(OFFSET($R$3,0,0,'Données projet'!$E$9+1,1))-AVERAGE(OFFSET($H$3,0,0,'Données projet'!$E$9+1,1))</f>
        <v>481.17250315093412</v>
      </c>
      <c r="T150" s="59">
        <f t="shared" si="142"/>
        <v>413.48123190206832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28.234025690975628</v>
      </c>
      <c r="AA150" s="21">
        <f>EXP(-LN(2)/25)*AA149+(1-EXP(-LN(2)/25))/(LN(2)/25)*Calculateur!V150*Calculateur!X150*VLOOKUP('Données projet'!$B$9,Paramètres!$A$1:$I$89,3,0)*0.475*44/12</f>
        <v>2.5521093381581119</v>
      </c>
      <c r="AB150" s="21">
        <f>EXP(-LN(2)/2)*AB149+(1-EXP(-LN(2)/2))/(LN(2)/2)*V150*Y150*VLOOKUP('Données projet'!$B$9,Paramètres!$A$1:$I$89,3,0)*0.475*44/12</f>
        <v>1.9269759930970426E-19</v>
      </c>
      <c r="AC150" s="22">
        <f t="shared" si="111"/>
        <v>30.786135029133739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19.8100000000004</v>
      </c>
      <c r="AJ150" s="13">
        <f>AI150*VLOOKUP('Données projet'!$B$10,Paramètres!$A$1:$I$89,3,0)*VLOOKUP('Données projet'!$B$10,Paramètres!$A$1:$I$89,5,0)</f>
        <v>17.924088000000364</v>
      </c>
      <c r="AK150" s="13">
        <f t="shared" si="143"/>
        <v>5.9032212091029486</v>
      </c>
      <c r="AL150" s="20">
        <f t="shared" si="112"/>
        <v>41.499230205854936</v>
      </c>
      <c r="AM150" s="59">
        <f t="shared" si="113"/>
        <v>334.83256353918824</v>
      </c>
      <c r="AN150" s="59">
        <f ca="1">AVERAGE(OFFSET($AM$3,0,0,'Données projet'!$E$10+1,1))-AVERAGE(OFFSET($H$3,0,0,'Données projet'!$E$10+1,1))</f>
        <v>426.34811677569007</v>
      </c>
      <c r="AO150" s="59">
        <f t="shared" si="144"/>
        <v>209.65223938402107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201.83475430713318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201.83475430713318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19.8100000000004</v>
      </c>
      <c r="BE150" s="13">
        <f>BD150*VLOOKUP('Données projet'!$B$11,Paramètres!$A$1:$I$89,3,0)*VLOOKUP('Données projet'!$B$11,Paramètres!$A$1:$I$89,5,0)</f>
        <v>20.08734000000041</v>
      </c>
      <c r="BF150" s="13">
        <f t="shared" si="145"/>
        <v>6.5285137703520215</v>
      </c>
      <c r="BG150" s="20">
        <f t="shared" si="115"/>
        <v>46.355945316697152</v>
      </c>
      <c r="BH150" s="59">
        <f t="shared" si="116"/>
        <v>339.68927865003047</v>
      </c>
      <c r="BI150" s="59">
        <f ca="1">AVERAGE(OFFSET($BH$3,0,0,'Données projet'!$E$11+1,1))-AVERAGE(OFFSET($H$3,0,0,'Données projet'!$E$11+1,1))</f>
        <v>485.01379841128346</v>
      </c>
      <c r="BJ150" s="59">
        <f t="shared" si="146"/>
        <v>238.25679915866897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226.19412120626995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226.19412120626995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">
        <f t="shared" si="140"/>
        <v>19.968190261357677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6">
        <f t="shared" si="110"/>
        <v>452.09703137186477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763.00000000000057</v>
      </c>
      <c r="O151" s="13">
        <f>N151*VLOOKUP('Données projet'!$B$9,Paramètres!$A$1:$I$89,3,0)*VLOOKUP('Données projet'!$B$9,Paramètres!$A$1:$I$89,5,0)</f>
        <v>456.2740000000004</v>
      </c>
      <c r="P151" s="13">
        <f t="shared" si="141"/>
        <v>103.09649786611838</v>
      </c>
      <c r="Q151" s="20">
        <f t="shared" si="108"/>
        <v>974.23695045015677</v>
      </c>
      <c r="R151" s="59">
        <f t="shared" si="109"/>
        <v>1267.5702837834901</v>
      </c>
      <c r="S151" s="59">
        <f ca="1">AVERAGE(OFFSET($R$3,0,0,'Données projet'!$E$9+1,1))-AVERAGE(OFFSET($H$3,0,0,'Données projet'!$E$9+1,1))</f>
        <v>481.17250315093412</v>
      </c>
      <c r="T151" s="59">
        <f t="shared" si="142"/>
        <v>413.48123190206832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27.680373668230828</v>
      </c>
      <c r="AA151" s="21">
        <f>EXP(-LN(2)/25)*AA150+(1-EXP(-LN(2)/25))/(LN(2)/25)*Calculateur!V151*Calculateur!X151*VLOOKUP('Données projet'!$B$9,Paramètres!$A$1:$I$89,3,0)*0.475*44/12</f>
        <v>2.4823217740965813</v>
      </c>
      <c r="AB151" s="21">
        <f>EXP(-LN(2)/2)*AB150+(1-EXP(-LN(2)/2))/(LN(2)/2)*V151*Y151*VLOOKUP('Données projet'!$B$9,Paramètres!$A$1:$I$89,3,0)*0.475*44/12</f>
        <v>1.3625777919026006E-19</v>
      </c>
      <c r="AC151" s="22">
        <f t="shared" si="111"/>
        <v>30.162695442327411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19.8100000000004</v>
      </c>
      <c r="AJ151" s="13">
        <f>AI151*VLOOKUP('Données projet'!$B$10,Paramètres!$A$1:$I$89,3,0)*VLOOKUP('Données projet'!$B$10,Paramètres!$A$1:$I$89,5,0)</f>
        <v>17.924088000000364</v>
      </c>
      <c r="AK151" s="13">
        <f t="shared" si="143"/>
        <v>5.9032212091029486</v>
      </c>
      <c r="AL151" s="20">
        <f t="shared" si="112"/>
        <v>41.499230205854936</v>
      </c>
      <c r="AM151" s="59">
        <f t="shared" si="113"/>
        <v>334.83256353918824</v>
      </c>
      <c r="AN151" s="59">
        <f ca="1">AVERAGE(OFFSET($AM$3,0,0,'Données projet'!$E$10+1,1))-AVERAGE(OFFSET($H$3,0,0,'Données projet'!$E$10+1,1))</f>
        <v>426.34811677569007</v>
      </c>
      <c r="AO151" s="59">
        <f t="shared" si="144"/>
        <v>209.65223938402107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197.87689788221462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197.87689788221462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19.8100000000004</v>
      </c>
      <c r="BE151" s="13">
        <f>BD151*VLOOKUP('Données projet'!$B$11,Paramètres!$A$1:$I$89,3,0)*VLOOKUP('Données projet'!$B$11,Paramètres!$A$1:$I$89,5,0)</f>
        <v>20.08734000000041</v>
      </c>
      <c r="BF151" s="13">
        <f t="shared" si="145"/>
        <v>6.5285137703520215</v>
      </c>
      <c r="BG151" s="20">
        <f t="shared" si="115"/>
        <v>46.355945316697152</v>
      </c>
      <c r="BH151" s="59">
        <f t="shared" si="116"/>
        <v>339.68927865003047</v>
      </c>
      <c r="BI151" s="59">
        <f ca="1">AVERAGE(OFFSET($BH$3,0,0,'Données projet'!$E$11+1,1))-AVERAGE(OFFSET($H$3,0,0,'Données projet'!$E$11+1,1))</f>
        <v>485.01379841128346</v>
      </c>
      <c r="BJ151" s="59">
        <f t="shared" si="146"/>
        <v>238.25679915866897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221.75859245420605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221.75859245420605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">
        <f t="shared" si="140"/>
        <v>20.087358990796993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6">
        <f t="shared" si="110"/>
        <v>453.14232524230488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763.00000000000057</v>
      </c>
      <c r="O152" s="13">
        <f>N152*VLOOKUP('Données projet'!$B$9,Paramètres!$A$1:$I$89,3,0)*VLOOKUP('Données projet'!$B$9,Paramètres!$A$1:$I$89,5,0)</f>
        <v>456.2740000000004</v>
      </c>
      <c r="P152" s="13">
        <f t="shared" si="141"/>
        <v>103.09649786611838</v>
      </c>
      <c r="Q152" s="20">
        <f t="shared" si="108"/>
        <v>974.23695045015677</v>
      </c>
      <c r="R152" s="59">
        <f t="shared" si="109"/>
        <v>1267.5702837834901</v>
      </c>
      <c r="S152" s="59">
        <f ca="1">AVERAGE(OFFSET($R$3,0,0,'Données projet'!$E$9+1,1))-AVERAGE(OFFSET($H$3,0,0,'Données projet'!$E$9+1,1))</f>
        <v>481.17250315093412</v>
      </c>
      <c r="T152" s="59">
        <f t="shared" si="142"/>
        <v>413.48123190206832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27.137578423957667</v>
      </c>
      <c r="AA152" s="21">
        <f>EXP(-LN(2)/25)*AA151+(1-EXP(-LN(2)/25))/(LN(2)/25)*Calculateur!V152*Calculateur!X152*VLOOKUP('Données projet'!$B$9,Paramètres!$A$1:$I$89,3,0)*0.475*44/12</f>
        <v>2.4144425546442814</v>
      </c>
      <c r="AB152" s="21">
        <f>EXP(-LN(2)/2)*AB151+(1-EXP(-LN(2)/2))/(LN(2)/2)*V152*Y152*VLOOKUP('Données projet'!$B$9,Paramètres!$A$1:$I$89,3,0)*0.475*44/12</f>
        <v>9.6348799654852128E-20</v>
      </c>
      <c r="AC152" s="22">
        <f t="shared" si="111"/>
        <v>29.552020978601949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19.8100000000004</v>
      </c>
      <c r="AJ152" s="13">
        <f>AI152*VLOOKUP('Données projet'!$B$10,Paramètres!$A$1:$I$89,3,0)*VLOOKUP('Données projet'!$B$10,Paramètres!$A$1:$I$89,5,0)</f>
        <v>17.924088000000364</v>
      </c>
      <c r="AK152" s="13">
        <f t="shared" si="143"/>
        <v>5.9032212091029486</v>
      </c>
      <c r="AL152" s="20">
        <f t="shared" si="112"/>
        <v>41.499230205854936</v>
      </c>
      <c r="AM152" s="59">
        <f t="shared" si="113"/>
        <v>334.83256353918824</v>
      </c>
      <c r="AN152" s="59">
        <f ca="1">AVERAGE(OFFSET($AM$3,0,0,'Données projet'!$E$10+1,1))-AVERAGE(OFFSET($H$3,0,0,'Données projet'!$E$10+1,1))</f>
        <v>426.34811677569007</v>
      </c>
      <c r="AO152" s="59">
        <f t="shared" si="144"/>
        <v>209.65223938402107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193.99665260773466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193.99665260773466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19.8100000000004</v>
      </c>
      <c r="BE152" s="13">
        <f>BD152*VLOOKUP('Données projet'!$B$11,Paramètres!$A$1:$I$89,3,0)*VLOOKUP('Données projet'!$B$11,Paramètres!$A$1:$I$89,5,0)</f>
        <v>20.08734000000041</v>
      </c>
      <c r="BF152" s="13">
        <f t="shared" si="145"/>
        <v>6.5285137703520215</v>
      </c>
      <c r="BG152" s="20">
        <f t="shared" si="115"/>
        <v>46.355945316697152</v>
      </c>
      <c r="BH152" s="59">
        <f t="shared" si="116"/>
        <v>339.68927865003047</v>
      </c>
      <c r="BI152" s="59">
        <f ca="1">AVERAGE(OFFSET($BH$3,0,0,'Données projet'!$E$11+1,1))-AVERAGE(OFFSET($H$3,0,0,'Données projet'!$E$11+1,1))</f>
        <v>485.01379841128346</v>
      </c>
      <c r="BJ152" s="59">
        <f t="shared" si="146"/>
        <v>238.25679915866897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217.41004171556472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217.41004171556472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">
        <f t="shared" si="140"/>
        <v>20.206434660280181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6">
        <f t="shared" si="110"/>
        <v>454.18745703332144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763.00000000000057</v>
      </c>
      <c r="O153" s="13">
        <f>N153*VLOOKUP('Données projet'!$B$9,Paramètres!$A$1:$I$89,3,0)*VLOOKUP('Données projet'!$B$9,Paramètres!$A$1:$I$89,5,0)</f>
        <v>456.2740000000004</v>
      </c>
      <c r="P153" s="13">
        <f t="shared" si="141"/>
        <v>103.09649786611838</v>
      </c>
      <c r="Q153" s="20">
        <f t="shared" si="108"/>
        <v>974.23695045015677</v>
      </c>
      <c r="R153" s="59">
        <f t="shared" si="109"/>
        <v>1267.5702837834901</v>
      </c>
      <c r="S153" s="59">
        <f ca="1">AVERAGE(OFFSET($R$3,0,0,'Données projet'!$E$9+1,1))-AVERAGE(OFFSET($H$3,0,0,'Données projet'!$E$9+1,1))</f>
        <v>481.17250315093412</v>
      </c>
      <c r="T153" s="59">
        <f t="shared" si="142"/>
        <v>413.48123190206832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26.605427063352291</v>
      </c>
      <c r="AA153" s="21">
        <f>EXP(-LN(2)/25)*AA152+(1-EXP(-LN(2)/25))/(LN(2)/25)*Calculateur!V153*Calculateur!X153*VLOOKUP('Données projet'!$B$9,Paramètres!$A$1:$I$89,3,0)*0.475*44/12</f>
        <v>2.348419496017518</v>
      </c>
      <c r="AB153" s="21">
        <f>EXP(-LN(2)/2)*AB152+(1-EXP(-LN(2)/2))/(LN(2)/2)*V153*Y153*VLOOKUP('Données projet'!$B$9,Paramètres!$A$1:$I$89,3,0)*0.475*44/12</f>
        <v>6.8128889595130028E-20</v>
      </c>
      <c r="AC153" s="22">
        <f t="shared" si="111"/>
        <v>28.953846559369808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19.8100000000004</v>
      </c>
      <c r="AJ153" s="13">
        <f>AI153*VLOOKUP('Données projet'!$B$10,Paramètres!$A$1:$I$89,3,0)*VLOOKUP('Données projet'!$B$10,Paramètres!$A$1:$I$89,5,0)</f>
        <v>17.924088000000364</v>
      </c>
      <c r="AK153" s="13">
        <f t="shared" si="143"/>
        <v>5.9032212091029486</v>
      </c>
      <c r="AL153" s="20">
        <f t="shared" si="112"/>
        <v>41.499230205854936</v>
      </c>
      <c r="AM153" s="59">
        <f t="shared" si="113"/>
        <v>334.83256353918824</v>
      </c>
      <c r="AN153" s="59">
        <f ca="1">AVERAGE(OFFSET($AM$3,0,0,'Données projet'!$E$10+1,1))-AVERAGE(OFFSET($H$3,0,0,'Données projet'!$E$10+1,1))</f>
        <v>426.34811677569007</v>
      </c>
      <c r="AO153" s="59">
        <f t="shared" si="144"/>
        <v>209.65223938402107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190.19249657637133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190.19249657637133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19.8100000000004</v>
      </c>
      <c r="BE153" s="13">
        <f>BD153*VLOOKUP('Données projet'!$B$11,Paramètres!$A$1:$I$89,3,0)*VLOOKUP('Données projet'!$B$11,Paramètres!$A$1:$I$89,5,0)</f>
        <v>20.08734000000041</v>
      </c>
      <c r="BF153" s="13">
        <f t="shared" si="145"/>
        <v>6.5285137703520215</v>
      </c>
      <c r="BG153" s="20">
        <f t="shared" si="115"/>
        <v>46.355945316697152</v>
      </c>
      <c r="BH153" s="59">
        <f t="shared" si="116"/>
        <v>339.68927865003047</v>
      </c>
      <c r="BI153" s="59">
        <f ca="1">AVERAGE(OFFSET($BH$3,0,0,'Données projet'!$E$11+1,1))-AVERAGE(OFFSET($H$3,0,0,'Données projet'!$E$11+1,1))</f>
        <v>485.01379841128346</v>
      </c>
      <c r="BJ153" s="59">
        <f t="shared" si="146"/>
        <v>238.25679915866897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213.14676340455409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213.14676340455409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">
        <f t="shared" si="140"/>
        <v>20.325417962163076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6">
        <f t="shared" si="110"/>
        <v>455.23242795076749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763.00000000000057</v>
      </c>
      <c r="O154" s="13">
        <f>N154*VLOOKUP('Données projet'!$B$9,Paramètres!$A$1:$I$89,3,0)*VLOOKUP('Données projet'!$B$9,Paramètres!$A$1:$I$89,5,0)</f>
        <v>456.2740000000004</v>
      </c>
      <c r="P154" s="13">
        <f t="shared" si="141"/>
        <v>103.09649786611838</v>
      </c>
      <c r="Q154" s="20">
        <f t="shared" ref="Q154:Q203" si="162">(O154+P154)*0.475*44/12</f>
        <v>974.23695045015677</v>
      </c>
      <c r="R154" s="59">
        <f t="shared" si="109"/>
        <v>1267.5702837834901</v>
      </c>
      <c r="S154" s="59">
        <f ca="1">AVERAGE(OFFSET($R$3,0,0,'Données projet'!$E$9+1,1))-AVERAGE(OFFSET($H$3,0,0,'Données projet'!$E$9+1,1))</f>
        <v>481.17250315093412</v>
      </c>
      <c r="T154" s="59">
        <f t="shared" si="142"/>
        <v>413.48123190206832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26.08371086634811</v>
      </c>
      <c r="AA154" s="21">
        <f>EXP(-LN(2)/25)*AA153+(1-EXP(-LN(2)/25))/(LN(2)/25)*Calculateur!V154*Calculateur!X154*VLOOKUP('Données projet'!$B$9,Paramètres!$A$1:$I$89,3,0)*0.475*44/12</f>
        <v>2.2842018414009049</v>
      </c>
      <c r="AB154" s="21">
        <f>EXP(-LN(2)/2)*AB153+(1-EXP(-LN(2)/2))/(LN(2)/2)*V154*Y154*VLOOKUP('Données projet'!$B$9,Paramètres!$A$1:$I$89,3,0)*0.475*44/12</f>
        <v>4.8174399827426064E-20</v>
      </c>
      <c r="AC154" s="22">
        <f t="shared" ref="AC154:AC203" si="163">SUM(Z154:AB154)</f>
        <v>28.367912707749014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19.8100000000004</v>
      </c>
      <c r="AJ154" s="13">
        <f>AI154*VLOOKUP('Données projet'!$B$10,Paramètres!$A$1:$I$89,3,0)*VLOOKUP('Données projet'!$B$10,Paramètres!$A$1:$I$89,5,0)</f>
        <v>17.924088000000364</v>
      </c>
      <c r="AK154" s="13">
        <f t="shared" ref="AK154:AK203" si="164">EXP(-1.0587+0.8836*LN(AJ154)+0.284)</f>
        <v>5.9032212091029486</v>
      </c>
      <c r="AL154" s="20">
        <f t="shared" ref="AL154:AL203" si="165">(AJ154+AK154)*0.475*44/12</f>
        <v>41.499230205854936</v>
      </c>
      <c r="AM154" s="59">
        <f t="shared" si="113"/>
        <v>334.83256353918824</v>
      </c>
      <c r="AN154" s="59">
        <f ca="1">AVERAGE(OFFSET($AM$3,0,0,'Données projet'!$E$10+1,1))-AVERAGE(OFFSET($H$3,0,0,'Données projet'!$E$10+1,1))</f>
        <v>426.34811677569007</v>
      </c>
      <c r="AO154" s="59">
        <f t="shared" si="144"/>
        <v>209.65223938402107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186.46293772447694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186.46293772447694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19.8100000000004</v>
      </c>
      <c r="BE154" s="13">
        <f>BD154*VLOOKUP('Données projet'!$B$11,Paramètres!$A$1:$I$89,3,0)*VLOOKUP('Données projet'!$B$11,Paramètres!$A$1:$I$89,5,0)</f>
        <v>20.08734000000041</v>
      </c>
      <c r="BF154" s="13">
        <f t="shared" ref="BF154:BF203" si="167">EXP(-1.0587+0.8836*LN(BE154)+0.284)</f>
        <v>6.5285137703520215</v>
      </c>
      <c r="BG154" s="20">
        <f t="shared" ref="BG154:BG203" si="168">(BE154+BF154)*0.475*44/12</f>
        <v>46.355945316697152</v>
      </c>
      <c r="BH154" s="59">
        <f t="shared" si="116"/>
        <v>339.68927865003047</v>
      </c>
      <c r="BI154" s="59">
        <f ca="1">AVERAGE(OFFSET($BH$3,0,0,'Données projet'!$E$11+1,1))-AVERAGE(OFFSET($H$3,0,0,'Données projet'!$E$11+1,1))</f>
        <v>485.01379841128346</v>
      </c>
      <c r="BJ154" s="59">
        <f t="shared" si="146"/>
        <v>238.25679915866897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208.96708538087938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208.96708538087938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">
        <f t="shared" si="140"/>
        <v>20.444309579101091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6">
        <f t="shared" si="110"/>
        <v>456.27723918360118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763.00000000000057</v>
      </c>
      <c r="O155" s="13">
        <f>N155*VLOOKUP('Données projet'!$B$9,Paramètres!$A$1:$I$89,3,0)*VLOOKUP('Données projet'!$B$9,Paramètres!$A$1:$I$89,5,0)</f>
        <v>456.2740000000004</v>
      </c>
      <c r="P155" s="13">
        <f t="shared" si="141"/>
        <v>103.09649786611838</v>
      </c>
      <c r="Q155" s="20">
        <f t="shared" si="162"/>
        <v>974.23695045015677</v>
      </c>
      <c r="R155" s="59">
        <f t="shared" si="109"/>
        <v>1267.5702837834901</v>
      </c>
      <c r="S155" s="59">
        <f ca="1">AVERAGE(OFFSET($R$3,0,0,'Données projet'!$E$9+1,1))-AVERAGE(OFFSET($H$3,0,0,'Données projet'!$E$9+1,1))</f>
        <v>481.17250315093412</v>
      </c>
      <c r="T155" s="59">
        <f t="shared" si="142"/>
        <v>413.48123190206832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25.572225205751721</v>
      </c>
      <c r="AA155" s="21">
        <f>EXP(-LN(2)/25)*AA154+(1-EXP(-LN(2)/25))/(LN(2)/25)*Calculateur!V155*Calculateur!X155*VLOOKUP('Données projet'!$B$9,Paramètres!$A$1:$I$89,3,0)*0.475*44/12</f>
        <v>2.2217402219268427</v>
      </c>
      <c r="AB155" s="21">
        <f>EXP(-LN(2)/2)*AB154+(1-EXP(-LN(2)/2))/(LN(2)/2)*V155*Y155*VLOOKUP('Données projet'!$B$9,Paramètres!$A$1:$I$89,3,0)*0.475*44/12</f>
        <v>3.4064444797565014E-20</v>
      </c>
      <c r="AC155" s="22">
        <f t="shared" si="163"/>
        <v>27.793965427678565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19.8100000000004</v>
      </c>
      <c r="AJ155" s="13">
        <f>AI155*VLOOKUP('Données projet'!$B$10,Paramètres!$A$1:$I$89,3,0)*VLOOKUP('Données projet'!$B$10,Paramètres!$A$1:$I$89,5,0)</f>
        <v>17.924088000000364</v>
      </c>
      <c r="AK155" s="13">
        <f t="shared" si="164"/>
        <v>5.9032212091029486</v>
      </c>
      <c r="AL155" s="20">
        <f t="shared" si="165"/>
        <v>41.499230205854936</v>
      </c>
      <c r="AM155" s="59">
        <f t="shared" si="113"/>
        <v>334.83256353918824</v>
      </c>
      <c r="AN155" s="59">
        <f ca="1">AVERAGE(OFFSET($AM$3,0,0,'Données projet'!$E$10+1,1))-AVERAGE(OFFSET($H$3,0,0,'Données projet'!$E$10+1,1))</f>
        <v>426.34811677569007</v>
      </c>
      <c r="AO155" s="59">
        <f t="shared" si="144"/>
        <v>209.65223938402107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182.80651324686195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182.80651324686195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19.8100000000004</v>
      </c>
      <c r="BE155" s="13">
        <f>BD155*VLOOKUP('Données projet'!$B$11,Paramètres!$A$1:$I$89,3,0)*VLOOKUP('Données projet'!$B$11,Paramètres!$A$1:$I$89,5,0)</f>
        <v>20.08734000000041</v>
      </c>
      <c r="BF155" s="13">
        <f t="shared" si="167"/>
        <v>6.5285137703520215</v>
      </c>
      <c r="BG155" s="20">
        <f t="shared" si="168"/>
        <v>46.355945316697152</v>
      </c>
      <c r="BH155" s="59">
        <f t="shared" si="116"/>
        <v>339.68927865003047</v>
      </c>
      <c r="BI155" s="59">
        <f ca="1">AVERAGE(OFFSET($BH$3,0,0,'Données projet'!$E$11+1,1))-AVERAGE(OFFSET($H$3,0,0,'Données projet'!$E$11+1,1))</f>
        <v>485.01379841128346</v>
      </c>
      <c r="BJ155" s="59">
        <f t="shared" si="146"/>
        <v>238.25679915866897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204.86936829389705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204.86936829389705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">
        <f t="shared" si="140"/>
        <v>20.563110184247964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6">
        <f t="shared" si="110"/>
        <v>457.32189190423196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763.00000000000057</v>
      </c>
      <c r="O156" s="13">
        <f>N156*VLOOKUP('Données projet'!$B$9,Paramètres!$A$1:$I$89,3,0)*VLOOKUP('Données projet'!$B$9,Paramètres!$A$1:$I$89,5,0)</f>
        <v>456.2740000000004</v>
      </c>
      <c r="P156" s="13">
        <f t="shared" si="141"/>
        <v>103.09649786611838</v>
      </c>
      <c r="Q156" s="20">
        <f t="shared" si="162"/>
        <v>974.23695045015677</v>
      </c>
      <c r="R156" s="59">
        <f t="shared" si="109"/>
        <v>1267.5702837834901</v>
      </c>
      <c r="S156" s="59">
        <f ca="1">AVERAGE(OFFSET($R$3,0,0,'Données projet'!$E$9+1,1))-AVERAGE(OFFSET($H$3,0,0,'Données projet'!$E$9+1,1))</f>
        <v>481.17250315093412</v>
      </c>
      <c r="T156" s="59">
        <f t="shared" si="142"/>
        <v>413.48123190206832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25.070769466984178</v>
      </c>
      <c r="AA156" s="21">
        <f>EXP(-LN(2)/25)*AA155+(1-EXP(-LN(2)/25))/(LN(2)/25)*Calculateur!V156*Calculateur!X156*VLOOKUP('Données projet'!$B$9,Paramètres!$A$1:$I$89,3,0)*0.475*44/12</f>
        <v>2.1609866187220126</v>
      </c>
      <c r="AB156" s="21">
        <f>EXP(-LN(2)/2)*AB155+(1-EXP(-LN(2)/2))/(LN(2)/2)*V156*Y156*VLOOKUP('Données projet'!$B$9,Paramètres!$A$1:$I$89,3,0)*0.475*44/12</f>
        <v>2.4087199913713032E-20</v>
      </c>
      <c r="AC156" s="22">
        <f t="shared" si="163"/>
        <v>27.231756085706191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19.8100000000004</v>
      </c>
      <c r="AJ156" s="13">
        <f>AI156*VLOOKUP('Données projet'!$B$10,Paramètres!$A$1:$I$89,3,0)*VLOOKUP('Données projet'!$B$10,Paramètres!$A$1:$I$89,5,0)</f>
        <v>17.924088000000364</v>
      </c>
      <c r="AK156" s="13">
        <f t="shared" si="164"/>
        <v>5.9032212091029486</v>
      </c>
      <c r="AL156" s="20">
        <f t="shared" si="165"/>
        <v>41.499230205854936</v>
      </c>
      <c r="AM156" s="59">
        <f t="shared" si="113"/>
        <v>334.83256353918824</v>
      </c>
      <c r="AN156" s="59">
        <f ca="1">AVERAGE(OFFSET($AM$3,0,0,'Données projet'!$E$10+1,1))-AVERAGE(OFFSET($H$3,0,0,'Données projet'!$E$10+1,1))</f>
        <v>426.34811677569007</v>
      </c>
      <c r="AO156" s="59">
        <f t="shared" si="144"/>
        <v>209.65223938402107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179.22178902305427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179.22178902305427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19.8100000000004</v>
      </c>
      <c r="BE156" s="13">
        <f>BD156*VLOOKUP('Données projet'!$B$11,Paramètres!$A$1:$I$89,3,0)*VLOOKUP('Données projet'!$B$11,Paramètres!$A$1:$I$89,5,0)</f>
        <v>20.08734000000041</v>
      </c>
      <c r="BF156" s="13">
        <f t="shared" si="167"/>
        <v>6.5285137703520215</v>
      </c>
      <c r="BG156" s="20">
        <f t="shared" si="168"/>
        <v>46.355945316697152</v>
      </c>
      <c r="BH156" s="59">
        <f t="shared" si="116"/>
        <v>339.68927865003047</v>
      </c>
      <c r="BI156" s="59">
        <f ca="1">AVERAGE(OFFSET($BH$3,0,0,'Données projet'!$E$11+1,1))-AVERAGE(OFFSET($H$3,0,0,'Données projet'!$E$11+1,1))</f>
        <v>485.01379841128346</v>
      </c>
      <c r="BJ156" s="59">
        <f t="shared" si="146"/>
        <v>238.25679915866897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200.85200493962981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200.85200493962981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">
        <f t="shared" si="140"/>
        <v>20.681820441449297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6">
        <f t="shared" si="110"/>
        <v>458.36638726885758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763.00000000000057</v>
      </c>
      <c r="O157" s="13">
        <f>N157*VLOOKUP('Données projet'!$B$9,Paramètres!$A$1:$I$89,3,0)*VLOOKUP('Données projet'!$B$9,Paramètres!$A$1:$I$89,5,0)</f>
        <v>456.2740000000004</v>
      </c>
      <c r="P157" s="13">
        <f t="shared" si="141"/>
        <v>103.09649786611838</v>
      </c>
      <c r="Q157" s="20">
        <f t="shared" si="162"/>
        <v>974.23695045015677</v>
      </c>
      <c r="R157" s="59">
        <f t="shared" si="109"/>
        <v>1267.5702837834901</v>
      </c>
      <c r="S157" s="59">
        <f ca="1">AVERAGE(OFFSET($R$3,0,0,'Données projet'!$E$9+1,1))-AVERAGE(OFFSET($H$3,0,0,'Données projet'!$E$9+1,1))</f>
        <v>481.17250315093412</v>
      </c>
      <c r="T157" s="59">
        <f t="shared" si="142"/>
        <v>413.48123190206832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24.579146969396067</v>
      </c>
      <c r="AA157" s="21">
        <f>EXP(-LN(2)/25)*AA156+(1-EXP(-LN(2)/25))/(LN(2)/25)*Calculateur!V157*Calculateur!X157*VLOOKUP('Données projet'!$B$9,Paramètres!$A$1:$I$89,3,0)*0.475*44/12</f>
        <v>2.101894325991712</v>
      </c>
      <c r="AB157" s="21">
        <f>EXP(-LN(2)/2)*AB156+(1-EXP(-LN(2)/2))/(LN(2)/2)*V157*Y157*VLOOKUP('Données projet'!$B$9,Paramètres!$A$1:$I$89,3,0)*0.475*44/12</f>
        <v>1.7032222398782507E-20</v>
      </c>
      <c r="AC157" s="22">
        <f t="shared" si="163"/>
        <v>26.681041295387779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19.8100000000004</v>
      </c>
      <c r="AJ157" s="13">
        <f>AI157*VLOOKUP('Données projet'!$B$10,Paramètres!$A$1:$I$89,3,0)*VLOOKUP('Données projet'!$B$10,Paramètres!$A$1:$I$89,5,0)</f>
        <v>17.924088000000364</v>
      </c>
      <c r="AK157" s="13">
        <f t="shared" si="164"/>
        <v>5.9032212091029486</v>
      </c>
      <c r="AL157" s="20">
        <f t="shared" si="165"/>
        <v>41.499230205854936</v>
      </c>
      <c r="AM157" s="59">
        <f t="shared" si="113"/>
        <v>334.83256353918824</v>
      </c>
      <c r="AN157" s="59">
        <f ca="1">AVERAGE(OFFSET($AM$3,0,0,'Données projet'!$E$10+1,1))-AVERAGE(OFFSET($H$3,0,0,'Données projet'!$E$10+1,1))</f>
        <v>426.34811677569007</v>
      </c>
      <c r="AO157" s="59">
        <f t="shared" si="144"/>
        <v>209.65223938402107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175.70735905480956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175.70735905480956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19.8100000000004</v>
      </c>
      <c r="BE157" s="13">
        <f>BD157*VLOOKUP('Données projet'!$B$11,Paramètres!$A$1:$I$89,3,0)*VLOOKUP('Données projet'!$B$11,Paramètres!$A$1:$I$89,5,0)</f>
        <v>20.08734000000041</v>
      </c>
      <c r="BF157" s="13">
        <f t="shared" si="167"/>
        <v>6.5285137703520215</v>
      </c>
      <c r="BG157" s="20">
        <f t="shared" si="168"/>
        <v>46.355945316697152</v>
      </c>
      <c r="BH157" s="59">
        <f t="shared" si="116"/>
        <v>339.68927865003047</v>
      </c>
      <c r="BI157" s="59">
        <f ca="1">AVERAGE(OFFSET($BH$3,0,0,'Données projet'!$E$11+1,1))-AVERAGE(OFFSET($H$3,0,0,'Données projet'!$E$11+1,1))</f>
        <v>485.01379841128346</v>
      </c>
      <c r="BJ157" s="59">
        <f t="shared" si="146"/>
        <v>238.25679915866897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196.91341963039005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196.91341963039005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">
        <f t="shared" si="140"/>
        <v>20.800441005430773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6">
        <f t="shared" si="110"/>
        <v>459.41072641779198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763.00000000000057</v>
      </c>
      <c r="O158" s="13">
        <f>N158*VLOOKUP('Données projet'!$B$9,Paramètres!$A$1:$I$89,3,0)*VLOOKUP('Données projet'!$B$9,Paramètres!$A$1:$I$89,5,0)</f>
        <v>456.2740000000004</v>
      </c>
      <c r="P158" s="13">
        <f t="shared" si="141"/>
        <v>103.09649786611838</v>
      </c>
      <c r="Q158" s="20">
        <f t="shared" si="162"/>
        <v>974.23695045015677</v>
      </c>
      <c r="R158" s="59">
        <f t="shared" si="109"/>
        <v>1267.5702837834901</v>
      </c>
      <c r="S158" s="59">
        <f ca="1">AVERAGE(OFFSET($R$3,0,0,'Données projet'!$E$9+1,1))-AVERAGE(OFFSET($H$3,0,0,'Données projet'!$E$9+1,1))</f>
        <v>481.17250315093412</v>
      </c>
      <c r="T158" s="59">
        <f t="shared" si="142"/>
        <v>413.48123190206832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24.097164889125544</v>
      </c>
      <c r="AA158" s="21">
        <f>EXP(-LN(2)/25)*AA157+(1-EXP(-LN(2)/25))/(LN(2)/25)*Calculateur!V158*Calculateur!X158*VLOOKUP('Données projet'!$B$9,Paramètres!$A$1:$I$89,3,0)*0.475*44/12</f>
        <v>2.0444179151136499</v>
      </c>
      <c r="AB158" s="21">
        <f>EXP(-LN(2)/2)*AB157+(1-EXP(-LN(2)/2))/(LN(2)/2)*V158*Y158*VLOOKUP('Données projet'!$B$9,Paramètres!$A$1:$I$89,3,0)*0.475*44/12</f>
        <v>1.2043599956856516E-20</v>
      </c>
      <c r="AC158" s="22">
        <f t="shared" si="163"/>
        <v>26.141582804239192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19.8100000000004</v>
      </c>
      <c r="AJ158" s="13">
        <f>AI158*VLOOKUP('Données projet'!$B$10,Paramètres!$A$1:$I$89,3,0)*VLOOKUP('Données projet'!$B$10,Paramètres!$A$1:$I$89,5,0)</f>
        <v>17.924088000000364</v>
      </c>
      <c r="AK158" s="13">
        <f t="shared" si="164"/>
        <v>5.9032212091029486</v>
      </c>
      <c r="AL158" s="20">
        <f t="shared" si="165"/>
        <v>41.499230205854936</v>
      </c>
      <c r="AM158" s="59">
        <f t="shared" si="113"/>
        <v>334.83256353918824</v>
      </c>
      <c r="AN158" s="59">
        <f ca="1">AVERAGE(OFFSET($AM$3,0,0,'Données projet'!$E$10+1,1))-AVERAGE(OFFSET($H$3,0,0,'Données projet'!$E$10+1,1))</f>
        <v>426.34811677569007</v>
      </c>
      <c r="AO158" s="59">
        <f t="shared" si="144"/>
        <v>209.65223938402107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172.2618449146515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172.2618449146515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19.8100000000004</v>
      </c>
      <c r="BE158" s="13">
        <f>BD158*VLOOKUP('Données projet'!$B$11,Paramètres!$A$1:$I$89,3,0)*VLOOKUP('Données projet'!$B$11,Paramètres!$A$1:$I$89,5,0)</f>
        <v>20.08734000000041</v>
      </c>
      <c r="BF158" s="13">
        <f t="shared" si="167"/>
        <v>6.5285137703520215</v>
      </c>
      <c r="BG158" s="20">
        <f t="shared" si="168"/>
        <v>46.355945316697152</v>
      </c>
      <c r="BH158" s="59">
        <f t="shared" si="116"/>
        <v>339.68927865003047</v>
      </c>
      <c r="BI158" s="59">
        <f ca="1">AVERAGE(OFFSET($BH$3,0,0,'Données projet'!$E$11+1,1))-AVERAGE(OFFSET($H$3,0,0,'Données projet'!$E$11+1,1))</f>
        <v>485.01379841128346</v>
      </c>
      <c r="BJ158" s="59">
        <f t="shared" si="146"/>
        <v>238.25679915866897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193.05206757676467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193.05206757676467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">
        <f t="shared" si="140"/>
        <v>20.918972521981534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6">
        <f t="shared" si="110"/>
        <v>460.45491047578457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763.00000000000057</v>
      </c>
      <c r="O159" s="13">
        <f>N159*VLOOKUP('Données projet'!$B$9,Paramètres!$A$1:$I$89,3,0)*VLOOKUP('Données projet'!$B$9,Paramètres!$A$1:$I$89,5,0)</f>
        <v>456.2740000000004</v>
      </c>
      <c r="P159" s="13">
        <f t="shared" si="141"/>
        <v>103.09649786611838</v>
      </c>
      <c r="Q159" s="20">
        <f t="shared" si="162"/>
        <v>974.23695045015677</v>
      </c>
      <c r="R159" s="59">
        <f t="shared" si="109"/>
        <v>1267.5702837834901</v>
      </c>
      <c r="S159" s="59">
        <f ca="1">AVERAGE(OFFSET($R$3,0,0,'Données projet'!$E$9+1,1))-AVERAGE(OFFSET($H$3,0,0,'Données projet'!$E$9+1,1))</f>
        <v>481.17250315093412</v>
      </c>
      <c r="T159" s="59">
        <f t="shared" si="142"/>
        <v>413.48123190206832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23.624634183469084</v>
      </c>
      <c r="AA159" s="21">
        <f>EXP(-LN(2)/25)*AA158+(1-EXP(-LN(2)/25))/(LN(2)/25)*Calculateur!V159*Calculateur!X159*VLOOKUP('Données projet'!$B$9,Paramètres!$A$1:$I$89,3,0)*0.475*44/12</f>
        <v>1.9885131997136016</v>
      </c>
      <c r="AB159" s="21">
        <f>EXP(-LN(2)/2)*AB158+(1-EXP(-LN(2)/2))/(LN(2)/2)*V159*Y159*VLOOKUP('Données projet'!$B$9,Paramètres!$A$1:$I$89,3,0)*0.475*44/12</f>
        <v>8.5161111993912535E-21</v>
      </c>
      <c r="AC159" s="22">
        <f t="shared" si="163"/>
        <v>25.613147383182685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19.8100000000004</v>
      </c>
      <c r="AJ159" s="13">
        <f>AI159*VLOOKUP('Données projet'!$B$10,Paramètres!$A$1:$I$89,3,0)*VLOOKUP('Données projet'!$B$10,Paramètres!$A$1:$I$89,5,0)</f>
        <v>17.924088000000364</v>
      </c>
      <c r="AK159" s="13">
        <f t="shared" si="164"/>
        <v>5.9032212091029486</v>
      </c>
      <c r="AL159" s="20">
        <f t="shared" si="165"/>
        <v>41.499230205854936</v>
      </c>
      <c r="AM159" s="59">
        <f t="shared" si="113"/>
        <v>334.83256353918824</v>
      </c>
      <c r="AN159" s="59">
        <f ca="1">AVERAGE(OFFSET($AM$3,0,0,'Données projet'!$E$10+1,1))-AVERAGE(OFFSET($H$3,0,0,'Données projet'!$E$10+1,1))</f>
        <v>426.34811677569007</v>
      </c>
      <c r="AO159" s="59">
        <f t="shared" si="144"/>
        <v>209.65223938402107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168.88389520522585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168.88389520522585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19.8100000000004</v>
      </c>
      <c r="BE159" s="13">
        <f>BD159*VLOOKUP('Données projet'!$B$11,Paramètres!$A$1:$I$89,3,0)*VLOOKUP('Données projet'!$B$11,Paramètres!$A$1:$I$89,5,0)</f>
        <v>20.08734000000041</v>
      </c>
      <c r="BF159" s="13">
        <f t="shared" si="167"/>
        <v>6.5285137703520215</v>
      </c>
      <c r="BG159" s="20">
        <f t="shared" si="168"/>
        <v>46.355945316697152</v>
      </c>
      <c r="BH159" s="59">
        <f t="shared" si="116"/>
        <v>339.68927865003047</v>
      </c>
      <c r="BI159" s="59">
        <f ca="1">AVERAGE(OFFSET($BH$3,0,0,'Données projet'!$E$11+1,1))-AVERAGE(OFFSET($H$3,0,0,'Données projet'!$E$11+1,1))</f>
        <v>485.01379841128346</v>
      </c>
      <c r="BJ159" s="59">
        <f t="shared" si="146"/>
        <v>238.25679915866897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189.26643428171869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189.26643428171869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">
        <f t="shared" si="140"/>
        <v>21.037415628132592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6">
        <f t="shared" si="110"/>
        <v>461.49894055233096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763.00000000000057</v>
      </c>
      <c r="O160" s="13">
        <f>N160*VLOOKUP('Données projet'!$B$9,Paramètres!$A$1:$I$89,3,0)*VLOOKUP('Données projet'!$B$9,Paramètres!$A$1:$I$89,5,0)</f>
        <v>456.2740000000004</v>
      </c>
      <c r="P160" s="13">
        <f t="shared" si="141"/>
        <v>103.09649786611838</v>
      </c>
      <c r="Q160" s="20">
        <f t="shared" si="162"/>
        <v>974.23695045015677</v>
      </c>
      <c r="R160" s="59">
        <f t="shared" si="109"/>
        <v>1267.5702837834901</v>
      </c>
      <c r="S160" s="59">
        <f ca="1">AVERAGE(OFFSET($R$3,0,0,'Données projet'!$E$9+1,1))-AVERAGE(OFFSET($H$3,0,0,'Données projet'!$E$9+1,1))</f>
        <v>481.17250315093412</v>
      </c>
      <c r="T160" s="59">
        <f t="shared" si="142"/>
        <v>413.48123190206832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23.161369516735277</v>
      </c>
      <c r="AA160" s="21">
        <f>EXP(-LN(2)/25)*AA159+(1-EXP(-LN(2)/25))/(LN(2)/25)*Calculateur!V160*Calculateur!X160*VLOOKUP('Données projet'!$B$9,Paramètres!$A$1:$I$89,3,0)*0.475*44/12</f>
        <v>1.9341372016960687</v>
      </c>
      <c r="AB160" s="21">
        <f>EXP(-LN(2)/2)*AB159+(1-EXP(-LN(2)/2))/(LN(2)/2)*V160*Y160*VLOOKUP('Données projet'!$B$9,Paramètres!$A$1:$I$89,3,0)*0.475*44/12</f>
        <v>6.021799978428258E-21</v>
      </c>
      <c r="AC160" s="22">
        <f t="shared" si="163"/>
        <v>25.095506718431345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19.8100000000004</v>
      </c>
      <c r="AJ160" s="13">
        <f>AI160*VLOOKUP('Données projet'!$B$10,Paramètres!$A$1:$I$89,3,0)*VLOOKUP('Données projet'!$B$10,Paramètres!$A$1:$I$89,5,0)</f>
        <v>17.924088000000364</v>
      </c>
      <c r="AK160" s="13">
        <f t="shared" si="164"/>
        <v>5.9032212091029486</v>
      </c>
      <c r="AL160" s="20">
        <f t="shared" si="165"/>
        <v>41.499230205854936</v>
      </c>
      <c r="AM160" s="59">
        <f t="shared" si="113"/>
        <v>334.83256353918824</v>
      </c>
      <c r="AN160" s="59">
        <f ca="1">AVERAGE(OFFSET($AM$3,0,0,'Données projet'!$E$10+1,1))-AVERAGE(OFFSET($H$3,0,0,'Données projet'!$E$10+1,1))</f>
        <v>426.34811677569007</v>
      </c>
      <c r="AO160" s="59">
        <f t="shared" si="144"/>
        <v>209.65223938402107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165.57218502925616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165.57218502925616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19.8100000000004</v>
      </c>
      <c r="BE160" s="13">
        <f>BD160*VLOOKUP('Données projet'!$B$11,Paramètres!$A$1:$I$89,3,0)*VLOOKUP('Données projet'!$B$11,Paramètres!$A$1:$I$89,5,0)</f>
        <v>20.08734000000041</v>
      </c>
      <c r="BF160" s="13">
        <f t="shared" si="167"/>
        <v>6.5285137703520215</v>
      </c>
      <c r="BG160" s="20">
        <f t="shared" si="168"/>
        <v>46.355945316697152</v>
      </c>
      <c r="BH160" s="59">
        <f t="shared" si="116"/>
        <v>339.68927865003047</v>
      </c>
      <c r="BI160" s="59">
        <f ca="1">AVERAGE(OFFSET($BH$3,0,0,'Données projet'!$E$11+1,1))-AVERAGE(OFFSET($H$3,0,0,'Données projet'!$E$11+1,1))</f>
        <v>485.01379841128346</v>
      </c>
      <c r="BJ160" s="59">
        <f t="shared" si="146"/>
        <v>238.25679915866897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185.55503494658024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185.55503494658024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">
        <f t="shared" si="140"/>
        <v>21.155770952330599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6">
        <f t="shared" si="110"/>
        <v>462.5428177419758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763.00000000000057</v>
      </c>
      <c r="O161" s="13">
        <f>N161*VLOOKUP('Données projet'!$B$9,Paramètres!$A$1:$I$89,3,0)*VLOOKUP('Données projet'!$B$9,Paramètres!$A$1:$I$89,5,0)</f>
        <v>456.2740000000004</v>
      </c>
      <c r="P161" s="13">
        <f t="shared" si="141"/>
        <v>103.09649786611838</v>
      </c>
      <c r="Q161" s="20">
        <f t="shared" si="162"/>
        <v>974.23695045015677</v>
      </c>
      <c r="R161" s="59">
        <f t="shared" si="109"/>
        <v>1267.5702837834901</v>
      </c>
      <c r="S161" s="59">
        <f ca="1">AVERAGE(OFFSET($R$3,0,0,'Données projet'!$E$9+1,1))-AVERAGE(OFFSET($H$3,0,0,'Données projet'!$E$9+1,1))</f>
        <v>481.17250315093412</v>
      </c>
      <c r="T161" s="59">
        <f t="shared" si="142"/>
        <v>413.48123190206832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22.707189187552576</v>
      </c>
      <c r="AA161" s="21">
        <f>EXP(-LN(2)/25)*AA160+(1-EXP(-LN(2)/25))/(LN(2)/25)*Calculateur!V161*Calculateur!X161*VLOOKUP('Données projet'!$B$9,Paramètres!$A$1:$I$89,3,0)*0.475*44/12</f>
        <v>1.8812481182038348</v>
      </c>
      <c r="AB161" s="21">
        <f>EXP(-LN(2)/2)*AB160+(1-EXP(-LN(2)/2))/(LN(2)/2)*V161*Y161*VLOOKUP('Données projet'!$B$9,Paramètres!$A$1:$I$89,3,0)*0.475*44/12</f>
        <v>4.2580555996956268E-21</v>
      </c>
      <c r="AC161" s="22">
        <f t="shared" si="163"/>
        <v>24.588437305756411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19.8100000000004</v>
      </c>
      <c r="AJ161" s="13">
        <f>AI161*VLOOKUP('Données projet'!$B$10,Paramètres!$A$1:$I$89,3,0)*VLOOKUP('Données projet'!$B$10,Paramètres!$A$1:$I$89,5,0)</f>
        <v>17.924088000000364</v>
      </c>
      <c r="AK161" s="13">
        <f t="shared" si="164"/>
        <v>5.9032212091029486</v>
      </c>
      <c r="AL161" s="20">
        <f t="shared" si="165"/>
        <v>41.499230205854936</v>
      </c>
      <c r="AM161" s="59">
        <f t="shared" si="113"/>
        <v>334.83256353918824</v>
      </c>
      <c r="AN161" s="59">
        <f ca="1">AVERAGE(OFFSET($AM$3,0,0,'Données projet'!$E$10+1,1))-AVERAGE(OFFSET($H$3,0,0,'Données projet'!$E$10+1,1))</f>
        <v>426.34811677569007</v>
      </c>
      <c r="AO161" s="59">
        <f t="shared" si="144"/>
        <v>209.65223938402107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162.32541546989347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162.32541546989347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19.8100000000004</v>
      </c>
      <c r="BE161" s="13">
        <f>BD161*VLOOKUP('Données projet'!$B$11,Paramètres!$A$1:$I$89,3,0)*VLOOKUP('Données projet'!$B$11,Paramètres!$A$1:$I$89,5,0)</f>
        <v>20.08734000000041</v>
      </c>
      <c r="BF161" s="13">
        <f t="shared" si="167"/>
        <v>6.5285137703520215</v>
      </c>
      <c r="BG161" s="20">
        <f t="shared" si="168"/>
        <v>46.355945316697152</v>
      </c>
      <c r="BH161" s="59">
        <f t="shared" si="116"/>
        <v>339.68927865003047</v>
      </c>
      <c r="BI161" s="59">
        <f ca="1">AVERAGE(OFFSET($BH$3,0,0,'Données projet'!$E$11+1,1))-AVERAGE(OFFSET($H$3,0,0,'Données projet'!$E$11+1,1))</f>
        <v>485.01379841128346</v>
      </c>
      <c r="BJ161" s="59">
        <f t="shared" si="146"/>
        <v>238.25679915866897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181.91641388867379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181.91641388867379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">
        <f t="shared" si="140"/>
        <v>21.274039114607188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6">
        <f t="shared" si="110"/>
        <v>463.58654312460754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763.00000000000057</v>
      </c>
      <c r="O162" s="13">
        <f>N162*VLOOKUP('Données projet'!$B$9,Paramètres!$A$1:$I$89,3,0)*VLOOKUP('Données projet'!$B$9,Paramètres!$A$1:$I$89,5,0)</f>
        <v>456.2740000000004</v>
      </c>
      <c r="P162" s="13">
        <f t="shared" si="141"/>
        <v>103.09649786611838</v>
      </c>
      <c r="Q162" s="20">
        <f t="shared" si="162"/>
        <v>974.23695045015677</v>
      </c>
      <c r="R162" s="59">
        <f t="shared" si="109"/>
        <v>1267.5702837834901</v>
      </c>
      <c r="S162" s="59">
        <f ca="1">AVERAGE(OFFSET($R$3,0,0,'Données projet'!$E$9+1,1))-AVERAGE(OFFSET($H$3,0,0,'Données projet'!$E$9+1,1))</f>
        <v>481.17250315093412</v>
      </c>
      <c r="T162" s="59">
        <f t="shared" si="142"/>
        <v>413.48123190206832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22.261915057602497</v>
      </c>
      <c r="AA162" s="21">
        <f>EXP(-LN(2)/25)*AA161+(1-EXP(-LN(2)/25))/(LN(2)/25)*Calculateur!V162*Calculateur!X162*VLOOKUP('Données projet'!$B$9,Paramètres!$A$1:$I$89,3,0)*0.475*44/12</f>
        <v>1.829805289481012</v>
      </c>
      <c r="AB162" s="21">
        <f>EXP(-LN(2)/2)*AB161+(1-EXP(-LN(2)/2))/(LN(2)/2)*V162*Y162*VLOOKUP('Données projet'!$B$9,Paramètres!$A$1:$I$89,3,0)*0.475*44/12</f>
        <v>3.010899989214129E-21</v>
      </c>
      <c r="AC162" s="22">
        <f t="shared" si="163"/>
        <v>24.091720347083509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19.8100000000004</v>
      </c>
      <c r="AJ162" s="13">
        <f>AI162*VLOOKUP('Données projet'!$B$10,Paramètres!$A$1:$I$89,3,0)*VLOOKUP('Données projet'!$B$10,Paramètres!$A$1:$I$89,5,0)</f>
        <v>17.924088000000364</v>
      </c>
      <c r="AK162" s="13">
        <f t="shared" si="164"/>
        <v>5.9032212091029486</v>
      </c>
      <c r="AL162" s="20">
        <f t="shared" si="165"/>
        <v>41.499230205854936</v>
      </c>
      <c r="AM162" s="59">
        <f t="shared" si="113"/>
        <v>334.83256353918824</v>
      </c>
      <c r="AN162" s="59">
        <f ca="1">AVERAGE(OFFSET($AM$3,0,0,'Données projet'!$E$10+1,1))-AVERAGE(OFFSET($H$3,0,0,'Données projet'!$E$10+1,1))</f>
        <v>426.34811677569007</v>
      </c>
      <c r="AO162" s="59">
        <f t="shared" si="144"/>
        <v>209.65223938402107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159.14231308125599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159.14231308125599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19.8100000000004</v>
      </c>
      <c r="BE162" s="13">
        <f>BD162*VLOOKUP('Données projet'!$B$11,Paramètres!$A$1:$I$89,3,0)*VLOOKUP('Données projet'!$B$11,Paramètres!$A$1:$I$89,5,0)</f>
        <v>20.08734000000041</v>
      </c>
      <c r="BF162" s="13">
        <f t="shared" si="167"/>
        <v>6.5285137703520215</v>
      </c>
      <c r="BG162" s="20">
        <f t="shared" si="168"/>
        <v>46.355945316697152</v>
      </c>
      <c r="BH162" s="59">
        <f t="shared" si="116"/>
        <v>339.68927865003047</v>
      </c>
      <c r="BI162" s="59">
        <f ca="1">AVERAGE(OFFSET($BH$3,0,0,'Données projet'!$E$11+1,1))-AVERAGE(OFFSET($H$3,0,0,'Données projet'!$E$11+1,1))</f>
        <v>485.01379841128346</v>
      </c>
      <c r="BJ162" s="59">
        <f t="shared" si="146"/>
        <v>238.25679915866897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178.34914397037318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178.34914397037318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">
        <f t="shared" si="140"/>
        <v>21.392220726743776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6">
        <f t="shared" si="110"/>
        <v>464.63011776574541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763.00000000000057</v>
      </c>
      <c r="O163" s="13">
        <f>N163*VLOOKUP('Données projet'!$B$9,Paramètres!$A$1:$I$89,3,0)*VLOOKUP('Données projet'!$B$9,Paramètres!$A$1:$I$89,5,0)</f>
        <v>456.2740000000004</v>
      </c>
      <c r="P163" s="13">
        <f t="shared" si="141"/>
        <v>103.09649786611838</v>
      </c>
      <c r="Q163" s="20">
        <f t="shared" si="162"/>
        <v>974.23695045015677</v>
      </c>
      <c r="R163" s="59">
        <f t="shared" si="109"/>
        <v>1267.5702837834901</v>
      </c>
      <c r="S163" s="59">
        <f ca="1">AVERAGE(OFFSET($R$3,0,0,'Données projet'!$E$9+1,1))-AVERAGE(OFFSET($H$3,0,0,'Données projet'!$E$9+1,1))</f>
        <v>481.17250315093412</v>
      </c>
      <c r="T163" s="59">
        <f t="shared" si="142"/>
        <v>413.48123190206832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21.825372481750339</v>
      </c>
      <c r="AA163" s="21">
        <f>EXP(-LN(2)/25)*AA162+(1-EXP(-LN(2)/25))/(LN(2)/25)*Calculateur!V163*Calculateur!X163*VLOOKUP('Données projet'!$B$9,Paramètres!$A$1:$I$89,3,0)*0.475*44/12</f>
        <v>1.7797691676148757</v>
      </c>
      <c r="AB163" s="21">
        <f>EXP(-LN(2)/2)*AB162+(1-EXP(-LN(2)/2))/(LN(2)/2)*V163*Y163*VLOOKUP('Données projet'!$B$9,Paramètres!$A$1:$I$89,3,0)*0.475*44/12</f>
        <v>2.1290277998478134E-21</v>
      </c>
      <c r="AC163" s="22">
        <f t="shared" si="163"/>
        <v>23.605141649365216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19.8100000000004</v>
      </c>
      <c r="AJ163" s="13">
        <f>AI163*VLOOKUP('Données projet'!$B$10,Paramètres!$A$1:$I$89,3,0)*VLOOKUP('Données projet'!$B$10,Paramètres!$A$1:$I$89,5,0)</f>
        <v>17.924088000000364</v>
      </c>
      <c r="AK163" s="13">
        <f t="shared" si="164"/>
        <v>5.9032212091029486</v>
      </c>
      <c r="AL163" s="20">
        <f t="shared" si="165"/>
        <v>41.499230205854936</v>
      </c>
      <c r="AM163" s="59">
        <f t="shared" si="113"/>
        <v>334.83256353918824</v>
      </c>
      <c r="AN163" s="59">
        <f ca="1">AVERAGE(OFFSET($AM$3,0,0,'Données projet'!$E$10+1,1))-AVERAGE(OFFSET($H$3,0,0,'Données projet'!$E$10+1,1))</f>
        <v>426.34811677569007</v>
      </c>
      <c r="AO163" s="59">
        <f t="shared" si="144"/>
        <v>209.65223938402107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156.02162938895896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156.02162938895896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19.8100000000004</v>
      </c>
      <c r="BE163" s="13">
        <f>BD163*VLOOKUP('Données projet'!$B$11,Paramètres!$A$1:$I$89,3,0)*VLOOKUP('Données projet'!$B$11,Paramètres!$A$1:$I$89,5,0)</f>
        <v>20.08734000000041</v>
      </c>
      <c r="BF163" s="13">
        <f t="shared" si="167"/>
        <v>6.5285137703520215</v>
      </c>
      <c r="BG163" s="20">
        <f t="shared" si="168"/>
        <v>46.355945316697152</v>
      </c>
      <c r="BH163" s="59">
        <f t="shared" si="116"/>
        <v>339.68927865003047</v>
      </c>
      <c r="BI163" s="59">
        <f ca="1">AVERAGE(OFFSET($BH$3,0,0,'Données projet'!$E$11+1,1))-AVERAGE(OFFSET($H$3,0,0,'Données projet'!$E$11+1,1))</f>
        <v>485.01379841128346</v>
      </c>
      <c r="BJ163" s="59">
        <f t="shared" si="146"/>
        <v>238.25679915866897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174.85182603935064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174.85182603935064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">
        <f t="shared" si="140"/>
        <v>21.51031639243222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6">
        <f t="shared" si="110"/>
        <v>465.67354271681944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763.00000000000057</v>
      </c>
      <c r="O164" s="13">
        <f>N164*VLOOKUP('Données projet'!$B$9,Paramètres!$A$1:$I$89,3,0)*VLOOKUP('Données projet'!$B$9,Paramètres!$A$1:$I$89,5,0)</f>
        <v>456.2740000000004</v>
      </c>
      <c r="P164" s="13">
        <f t="shared" si="141"/>
        <v>103.09649786611838</v>
      </c>
      <c r="Q164" s="20">
        <f t="shared" si="162"/>
        <v>974.23695045015677</v>
      </c>
      <c r="R164" s="59">
        <f t="shared" si="109"/>
        <v>1267.5702837834901</v>
      </c>
      <c r="S164" s="59">
        <f ca="1">AVERAGE(OFFSET($R$3,0,0,'Données projet'!$E$9+1,1))-AVERAGE(OFFSET($H$3,0,0,'Données projet'!$E$9+1,1))</f>
        <v>481.17250315093412</v>
      </c>
      <c r="T164" s="59">
        <f t="shared" si="142"/>
        <v>413.48123190206832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21.397390239545963</v>
      </c>
      <c r="AA164" s="21">
        <f>EXP(-LN(2)/25)*AA163+(1-EXP(-LN(2)/25))/(LN(2)/25)*Calculateur!V164*Calculateur!X164*VLOOKUP('Données projet'!$B$9,Paramètres!$A$1:$I$89,3,0)*0.475*44/12</f>
        <v>1.7311012861324542</v>
      </c>
      <c r="AB164" s="21">
        <f>EXP(-LN(2)/2)*AB163+(1-EXP(-LN(2)/2))/(LN(2)/2)*V164*Y164*VLOOKUP('Données projet'!$B$9,Paramètres!$A$1:$I$89,3,0)*0.475*44/12</f>
        <v>1.5054499946070645E-21</v>
      </c>
      <c r="AC164" s="22">
        <f t="shared" si="163"/>
        <v>23.128491525678417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19.8100000000004</v>
      </c>
      <c r="AJ164" s="13">
        <f>AI164*VLOOKUP('Données projet'!$B$10,Paramètres!$A$1:$I$89,3,0)*VLOOKUP('Données projet'!$B$10,Paramètres!$A$1:$I$89,5,0)</f>
        <v>17.924088000000364</v>
      </c>
      <c r="AK164" s="13">
        <f t="shared" si="164"/>
        <v>5.9032212091029486</v>
      </c>
      <c r="AL164" s="20">
        <f t="shared" si="165"/>
        <v>41.499230205854936</v>
      </c>
      <c r="AM164" s="59">
        <f t="shared" si="113"/>
        <v>334.83256353918824</v>
      </c>
      <c r="AN164" s="59">
        <f ca="1">AVERAGE(OFFSET($AM$3,0,0,'Données projet'!$E$10+1,1))-AVERAGE(OFFSET($H$3,0,0,'Données projet'!$E$10+1,1))</f>
        <v>426.34811677569007</v>
      </c>
      <c r="AO164" s="59">
        <f t="shared" si="144"/>
        <v>209.65223938402107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152.96214040043876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152.96214040043876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19.8100000000004</v>
      </c>
      <c r="BE164" s="13">
        <f>BD164*VLOOKUP('Données projet'!$B$11,Paramètres!$A$1:$I$89,3,0)*VLOOKUP('Données projet'!$B$11,Paramètres!$A$1:$I$89,5,0)</f>
        <v>20.08734000000041</v>
      </c>
      <c r="BF164" s="13">
        <f t="shared" si="167"/>
        <v>6.5285137703520215</v>
      </c>
      <c r="BG164" s="20">
        <f t="shared" si="168"/>
        <v>46.355945316697152</v>
      </c>
      <c r="BH164" s="59">
        <f t="shared" si="116"/>
        <v>339.68927865003047</v>
      </c>
      <c r="BI164" s="59">
        <f ca="1">AVERAGE(OFFSET($BH$3,0,0,'Données projet'!$E$11+1,1))-AVERAGE(OFFSET($H$3,0,0,'Données projet'!$E$11+1,1))</f>
        <v>485.01379841128346</v>
      </c>
      <c r="BJ164" s="59">
        <f t="shared" si="146"/>
        <v>238.25679915866897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171.42308837980212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171.42308837980212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">
        <f t="shared" si="140"/>
        <v>21.628326707431373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6">
        <f t="shared" si="110"/>
        <v>466.71681901544298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763.00000000000057</v>
      </c>
      <c r="O165" s="13">
        <f>N165*VLOOKUP('Données projet'!$B$9,Paramètres!$A$1:$I$89,3,0)*VLOOKUP('Données projet'!$B$9,Paramètres!$A$1:$I$89,5,0)</f>
        <v>456.2740000000004</v>
      </c>
      <c r="P165" s="13">
        <f t="shared" si="141"/>
        <v>103.09649786611838</v>
      </c>
      <c r="Q165" s="20">
        <f t="shared" si="162"/>
        <v>974.23695045015677</v>
      </c>
      <c r="R165" s="59">
        <f t="shared" si="109"/>
        <v>1267.5702837834901</v>
      </c>
      <c r="S165" s="59">
        <f ca="1">AVERAGE(OFFSET($R$3,0,0,'Données projet'!$E$9+1,1))-AVERAGE(OFFSET($H$3,0,0,'Données projet'!$E$9+1,1))</f>
        <v>481.17250315093412</v>
      </c>
      <c r="T165" s="59">
        <f t="shared" si="142"/>
        <v>413.48123190206832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20.977800468067823</v>
      </c>
      <c r="AA165" s="21">
        <f>EXP(-LN(2)/25)*AA164+(1-EXP(-LN(2)/25))/(LN(2)/25)*Calculateur!V165*Calculateur!X165*VLOOKUP('Données projet'!$B$9,Paramètres!$A$1:$I$89,3,0)*0.475*44/12</f>
        <v>1.6837642304285021</v>
      </c>
      <c r="AB165" s="21">
        <f>EXP(-LN(2)/2)*AB164+(1-EXP(-LN(2)/2))/(LN(2)/2)*V165*Y165*VLOOKUP('Données projet'!$B$9,Paramètres!$A$1:$I$89,3,0)*0.475*44/12</f>
        <v>1.0645138999239067E-21</v>
      </c>
      <c r="AC165" s="22">
        <f t="shared" si="163"/>
        <v>22.661564698496324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19.8100000000004</v>
      </c>
      <c r="AJ165" s="13">
        <f>AI165*VLOOKUP('Données projet'!$B$10,Paramètres!$A$1:$I$89,3,0)*VLOOKUP('Données projet'!$B$10,Paramètres!$A$1:$I$89,5,0)</f>
        <v>17.924088000000364</v>
      </c>
      <c r="AK165" s="13">
        <f t="shared" si="164"/>
        <v>5.9032212091029486</v>
      </c>
      <c r="AL165" s="20">
        <f t="shared" si="165"/>
        <v>41.499230205854936</v>
      </c>
      <c r="AM165" s="59">
        <f t="shared" si="113"/>
        <v>334.83256353918824</v>
      </c>
      <c r="AN165" s="59">
        <f ca="1">AVERAGE(OFFSET($AM$3,0,0,'Données projet'!$E$10+1,1))-AVERAGE(OFFSET($H$3,0,0,'Données projet'!$E$10+1,1))</f>
        <v>426.34811677569007</v>
      </c>
      <c r="AO165" s="59">
        <f t="shared" si="144"/>
        <v>209.65223938402107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149.96264612487943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149.96264612487943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19.8100000000004</v>
      </c>
      <c r="BE165" s="13">
        <f>BD165*VLOOKUP('Données projet'!$B$11,Paramètres!$A$1:$I$89,3,0)*VLOOKUP('Données projet'!$B$11,Paramètres!$A$1:$I$89,5,0)</f>
        <v>20.08734000000041</v>
      </c>
      <c r="BF165" s="13">
        <f t="shared" si="167"/>
        <v>6.5285137703520215</v>
      </c>
      <c r="BG165" s="20">
        <f t="shared" si="168"/>
        <v>46.355945316697152</v>
      </c>
      <c r="BH165" s="59">
        <f t="shared" si="116"/>
        <v>339.68927865003047</v>
      </c>
      <c r="BI165" s="59">
        <f ca="1">AVERAGE(OFFSET($BH$3,0,0,'Données projet'!$E$11+1,1))-AVERAGE(OFFSET($H$3,0,0,'Données projet'!$E$11+1,1))</f>
        <v>485.01379841128346</v>
      </c>
      <c r="BJ165" s="59">
        <f t="shared" si="146"/>
        <v>238.25679915866897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168.0615861744339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168.0615861744339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">
        <f t="shared" si="140"/>
        <v>21.74625225971964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6">
        <f t="shared" si="110"/>
        <v>467.75994768567836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763.00000000000057</v>
      </c>
      <c r="O166" s="13">
        <f>N166*VLOOKUP('Données projet'!$B$9,Paramètres!$A$1:$I$89,3,0)*VLOOKUP('Données projet'!$B$9,Paramètres!$A$1:$I$89,5,0)</f>
        <v>456.2740000000004</v>
      </c>
      <c r="P166" s="13">
        <f t="shared" si="141"/>
        <v>103.09649786611838</v>
      </c>
      <c r="Q166" s="20">
        <f t="shared" si="162"/>
        <v>974.23695045015677</v>
      </c>
      <c r="R166" s="59">
        <f t="shared" si="109"/>
        <v>1267.5702837834901</v>
      </c>
      <c r="S166" s="59">
        <f ca="1">AVERAGE(OFFSET($R$3,0,0,'Données projet'!$E$9+1,1))-AVERAGE(OFFSET($H$3,0,0,'Données projet'!$E$9+1,1))</f>
        <v>481.17250315093412</v>
      </c>
      <c r="T166" s="59">
        <f t="shared" si="142"/>
        <v>413.48123190206832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20.566438596083877</v>
      </c>
      <c r="AA166" s="21">
        <f>EXP(-LN(2)/25)*AA165+(1-EXP(-LN(2)/25))/(LN(2)/25)*Calculateur!V166*Calculateur!X166*VLOOKUP('Données projet'!$B$9,Paramètres!$A$1:$I$89,3,0)*0.475*44/12</f>
        <v>1.637721609002122</v>
      </c>
      <c r="AB166" s="21">
        <f>EXP(-LN(2)/2)*AB165+(1-EXP(-LN(2)/2))/(LN(2)/2)*V166*Y166*VLOOKUP('Données projet'!$B$9,Paramètres!$A$1:$I$89,3,0)*0.475*44/12</f>
        <v>7.5272499730353225E-22</v>
      </c>
      <c r="AC166" s="22">
        <f t="shared" si="163"/>
        <v>22.204160205085998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19.8100000000004</v>
      </c>
      <c r="AJ166" s="13">
        <f>AI166*VLOOKUP('Données projet'!$B$10,Paramètres!$A$1:$I$89,3,0)*VLOOKUP('Données projet'!$B$10,Paramètres!$A$1:$I$89,5,0)</f>
        <v>17.924088000000364</v>
      </c>
      <c r="AK166" s="13">
        <f t="shared" si="164"/>
        <v>5.9032212091029486</v>
      </c>
      <c r="AL166" s="20">
        <f t="shared" si="165"/>
        <v>41.499230205854936</v>
      </c>
      <c r="AM166" s="59">
        <f t="shared" si="113"/>
        <v>334.83256353918824</v>
      </c>
      <c r="AN166" s="59">
        <f ca="1">AVERAGE(OFFSET($AM$3,0,0,'Données projet'!$E$10+1,1))-AVERAGE(OFFSET($H$3,0,0,'Données projet'!$E$10+1,1))</f>
        <v>426.34811677569007</v>
      </c>
      <c r="AO166" s="59">
        <f t="shared" si="144"/>
        <v>209.65223938402107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147.02197010255296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147.02197010255296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19.8100000000004</v>
      </c>
      <c r="BE166" s="13">
        <f>BD166*VLOOKUP('Données projet'!$B$11,Paramètres!$A$1:$I$89,3,0)*VLOOKUP('Données projet'!$B$11,Paramètres!$A$1:$I$89,5,0)</f>
        <v>20.08734000000041</v>
      </c>
      <c r="BF166" s="13">
        <f t="shared" si="167"/>
        <v>6.5285137703520215</v>
      </c>
      <c r="BG166" s="20">
        <f t="shared" si="168"/>
        <v>46.355945316697152</v>
      </c>
      <c r="BH166" s="59">
        <f t="shared" si="116"/>
        <v>339.68927865003047</v>
      </c>
      <c r="BI166" s="59">
        <f ca="1">AVERAGE(OFFSET($BH$3,0,0,'Données projet'!$E$11+1,1))-AVERAGE(OFFSET($H$3,0,0,'Données projet'!$E$11+1,1))</f>
        <v>485.01379841128346</v>
      </c>
      <c r="BJ166" s="59">
        <f t="shared" si="146"/>
        <v>238.25679915866897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164.76600097699904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164.76600097699904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">
        <f t="shared" si="140"/>
        <v>21.864093629643623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6">
        <f t="shared" si="110"/>
        <v>468.80292973829592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763.00000000000057</v>
      </c>
      <c r="O167" s="13">
        <f>N167*VLOOKUP('Données projet'!$B$9,Paramètres!$A$1:$I$89,3,0)*VLOOKUP('Données projet'!$B$9,Paramètres!$A$1:$I$89,5,0)</f>
        <v>456.2740000000004</v>
      </c>
      <c r="P167" s="13">
        <f t="shared" si="141"/>
        <v>103.09649786611838</v>
      </c>
      <c r="Q167" s="20">
        <f t="shared" si="162"/>
        <v>974.23695045015677</v>
      </c>
      <c r="R167" s="59">
        <f t="shared" si="109"/>
        <v>1267.5702837834901</v>
      </c>
      <c r="S167" s="59">
        <f ca="1">AVERAGE(OFFSET($R$3,0,0,'Données projet'!$E$9+1,1))-AVERAGE(OFFSET($H$3,0,0,'Données projet'!$E$9+1,1))</f>
        <v>481.17250315093412</v>
      </c>
      <c r="T167" s="59">
        <f t="shared" si="142"/>
        <v>413.48123190206832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20.163143279503569</v>
      </c>
      <c r="AA167" s="21">
        <f>EXP(-LN(2)/25)*AA166+(1-EXP(-LN(2)/25))/(LN(2)/25)*Calculateur!V167*Calculateur!X167*VLOOKUP('Données projet'!$B$9,Paramètres!$A$1:$I$89,3,0)*0.475*44/12</f>
        <v>1.5929380254799226</v>
      </c>
      <c r="AB167" s="21">
        <f>EXP(-LN(2)/2)*AB166+(1-EXP(-LN(2)/2))/(LN(2)/2)*V167*Y167*VLOOKUP('Données projet'!$B$9,Paramètres!$A$1:$I$89,3,0)*0.475*44/12</f>
        <v>5.3225694996195335E-22</v>
      </c>
      <c r="AC167" s="22">
        <f t="shared" si="163"/>
        <v>21.756081304983493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19.8100000000004</v>
      </c>
      <c r="AJ167" s="13">
        <f>AI167*VLOOKUP('Données projet'!$B$10,Paramètres!$A$1:$I$89,3,0)*VLOOKUP('Données projet'!$B$10,Paramètres!$A$1:$I$89,5,0)</f>
        <v>17.924088000000364</v>
      </c>
      <c r="AK167" s="13">
        <f t="shared" si="164"/>
        <v>5.9032212091029486</v>
      </c>
      <c r="AL167" s="20">
        <f t="shared" si="165"/>
        <v>41.499230205854936</v>
      </c>
      <c r="AM167" s="59">
        <f t="shared" si="113"/>
        <v>334.83256353918824</v>
      </c>
      <c r="AN167" s="59">
        <f ca="1">AVERAGE(OFFSET($AM$3,0,0,'Données projet'!$E$10+1,1))-AVERAGE(OFFSET($H$3,0,0,'Données projet'!$E$10+1,1))</f>
        <v>426.34811677569007</v>
      </c>
      <c r="AO167" s="59">
        <f t="shared" si="144"/>
        <v>209.65223938402107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144.13895894338904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144.13895894338904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19.8100000000004</v>
      </c>
      <c r="BE167" s="13">
        <f>BD167*VLOOKUP('Données projet'!$B$11,Paramètres!$A$1:$I$89,3,0)*VLOOKUP('Données projet'!$B$11,Paramètres!$A$1:$I$89,5,0)</f>
        <v>20.08734000000041</v>
      </c>
      <c r="BF167" s="13">
        <f t="shared" si="167"/>
        <v>6.5285137703520215</v>
      </c>
      <c r="BG167" s="20">
        <f t="shared" si="168"/>
        <v>46.355945316697152</v>
      </c>
      <c r="BH167" s="59">
        <f t="shared" si="116"/>
        <v>339.68927865003047</v>
      </c>
      <c r="BI167" s="59">
        <f ca="1">AVERAGE(OFFSET($BH$3,0,0,'Données projet'!$E$11+1,1))-AVERAGE(OFFSET($H$3,0,0,'Données projet'!$E$11+1,1))</f>
        <v>485.01379841128346</v>
      </c>
      <c r="BJ167" s="59">
        <f t="shared" si="146"/>
        <v>238.25679915866897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161.5350401951774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161.5350401951774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">
        <f t="shared" si="140"/>
        <v>21.981851390063195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6">
        <f t="shared" si="110"/>
        <v>469.8457661710267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763.00000000000057</v>
      </c>
      <c r="O168" s="13">
        <f>N168*VLOOKUP('Données projet'!$B$9,Paramètres!$A$1:$I$89,3,0)*VLOOKUP('Données projet'!$B$9,Paramètres!$A$1:$I$89,5,0)</f>
        <v>456.2740000000004</v>
      </c>
      <c r="P168" s="13">
        <f t="shared" si="141"/>
        <v>103.09649786611838</v>
      </c>
      <c r="Q168" s="20">
        <f t="shared" si="162"/>
        <v>974.23695045015677</v>
      </c>
      <c r="R168" s="59">
        <f t="shared" si="109"/>
        <v>1267.5702837834901</v>
      </c>
      <c r="S168" s="59">
        <f ca="1">AVERAGE(OFFSET($R$3,0,0,'Données projet'!$E$9+1,1))-AVERAGE(OFFSET($H$3,0,0,'Données projet'!$E$9+1,1))</f>
        <v>481.17250315093412</v>
      </c>
      <c r="T168" s="59">
        <f t="shared" si="142"/>
        <v>413.48123190206832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19.767756338095548</v>
      </c>
      <c r="AA168" s="21">
        <f>EXP(-LN(2)/25)*AA167+(1-EXP(-LN(2)/25))/(LN(2)/25)*Calculateur!V168*Calculateur!X168*VLOOKUP('Données projet'!$B$9,Paramètres!$A$1:$I$89,3,0)*0.475*44/12</f>
        <v>1.5493790514042041</v>
      </c>
      <c r="AB168" s="21">
        <f>EXP(-LN(2)/2)*AB167+(1-EXP(-LN(2)/2))/(LN(2)/2)*V168*Y168*VLOOKUP('Données projet'!$B$9,Paramètres!$A$1:$I$89,3,0)*0.475*44/12</f>
        <v>3.7636249865176612E-22</v>
      </c>
      <c r="AC168" s="22">
        <f t="shared" si="163"/>
        <v>21.317135389499754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19.8100000000004</v>
      </c>
      <c r="AJ168" s="13">
        <f>AI168*VLOOKUP('Données projet'!$B$10,Paramètres!$A$1:$I$89,3,0)*VLOOKUP('Données projet'!$B$10,Paramètres!$A$1:$I$89,5,0)</f>
        <v>17.924088000000364</v>
      </c>
      <c r="AK168" s="13">
        <f t="shared" si="164"/>
        <v>5.9032212091029486</v>
      </c>
      <c r="AL168" s="20">
        <f t="shared" si="165"/>
        <v>41.499230205854936</v>
      </c>
      <c r="AM168" s="59">
        <f t="shared" si="113"/>
        <v>334.83256353918824</v>
      </c>
      <c r="AN168" s="59">
        <f ca="1">AVERAGE(OFFSET($AM$3,0,0,'Données projet'!$E$10+1,1))-AVERAGE(OFFSET($H$3,0,0,'Données projet'!$E$10+1,1))</f>
        <v>426.34811677569007</v>
      </c>
      <c r="AO168" s="59">
        <f t="shared" si="144"/>
        <v>209.65223938402107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141.31248187459315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141.31248187459315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19.8100000000004</v>
      </c>
      <c r="BE168" s="13">
        <f>BD168*VLOOKUP('Données projet'!$B$11,Paramètres!$A$1:$I$89,3,0)*VLOOKUP('Données projet'!$B$11,Paramètres!$A$1:$I$89,5,0)</f>
        <v>20.08734000000041</v>
      </c>
      <c r="BF168" s="13">
        <f t="shared" si="167"/>
        <v>6.5285137703520215</v>
      </c>
      <c r="BG168" s="20">
        <f t="shared" si="168"/>
        <v>46.355945316697152</v>
      </c>
      <c r="BH168" s="59">
        <f t="shared" si="116"/>
        <v>339.68927865003047</v>
      </c>
      <c r="BI168" s="59">
        <f ca="1">AVERAGE(OFFSET($BH$3,0,0,'Données projet'!$E$11+1,1))-AVERAGE(OFFSET($H$3,0,0,'Données projet'!$E$11+1,1))</f>
        <v>485.01379841128346</v>
      </c>
      <c r="BJ168" s="59">
        <f t="shared" si="146"/>
        <v>238.25679915866897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158.3674365835958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158.3674365835958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">
        <f t="shared" si="140"/>
        <v>22.099526106492764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6">
        <f t="shared" si="110"/>
        <v>470.88845796880821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763.00000000000057</v>
      </c>
      <c r="O169" s="13">
        <f>N169*VLOOKUP('Données projet'!$B$9,Paramètres!$A$1:$I$89,3,0)*VLOOKUP('Données projet'!$B$9,Paramètres!$A$1:$I$89,5,0)</f>
        <v>456.2740000000004</v>
      </c>
      <c r="P169" s="13">
        <f t="shared" si="141"/>
        <v>103.09649786611838</v>
      </c>
      <c r="Q169" s="20">
        <f t="shared" si="162"/>
        <v>974.23695045015677</v>
      </c>
      <c r="R169" s="59">
        <f t="shared" si="109"/>
        <v>1267.5702837834901</v>
      </c>
      <c r="S169" s="59">
        <f ca="1">AVERAGE(OFFSET($R$3,0,0,'Données projet'!$E$9+1,1))-AVERAGE(OFFSET($H$3,0,0,'Données projet'!$E$9+1,1))</f>
        <v>481.17250315093412</v>
      </c>
      <c r="T169" s="59">
        <f t="shared" si="142"/>
        <v>413.48123190206832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19.380122693446317</v>
      </c>
      <c r="AA169" s="21">
        <f>EXP(-LN(2)/25)*AA168+(1-EXP(-LN(2)/25))/(LN(2)/25)*Calculateur!V169*Calculateur!X169*VLOOKUP('Données projet'!$B$9,Paramètres!$A$1:$I$89,3,0)*0.475*44/12</f>
        <v>1.5070111997652529</v>
      </c>
      <c r="AB169" s="21">
        <f>EXP(-LN(2)/2)*AB168+(1-EXP(-LN(2)/2))/(LN(2)/2)*V169*Y169*VLOOKUP('Données projet'!$B$9,Paramètres!$A$1:$I$89,3,0)*0.475*44/12</f>
        <v>2.6612847498097667E-22</v>
      </c>
      <c r="AC169" s="22">
        <f t="shared" si="163"/>
        <v>20.887133893211569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19.8100000000004</v>
      </c>
      <c r="AJ169" s="13">
        <f>AI169*VLOOKUP('Données projet'!$B$10,Paramètres!$A$1:$I$89,3,0)*VLOOKUP('Données projet'!$B$10,Paramètres!$A$1:$I$89,5,0)</f>
        <v>17.924088000000364</v>
      </c>
      <c r="AK169" s="13">
        <f t="shared" si="164"/>
        <v>5.9032212091029486</v>
      </c>
      <c r="AL169" s="20">
        <f t="shared" si="165"/>
        <v>41.499230205854936</v>
      </c>
      <c r="AM169" s="59">
        <f t="shared" si="113"/>
        <v>334.83256353918824</v>
      </c>
      <c r="AN169" s="59">
        <f ca="1">AVERAGE(OFFSET($AM$3,0,0,'Données projet'!$E$10+1,1))-AVERAGE(OFFSET($H$3,0,0,'Données projet'!$E$10+1,1))</f>
        <v>426.34811677569007</v>
      </c>
      <c r="AO169" s="59">
        <f t="shared" si="144"/>
        <v>209.65223938402107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138.54143029713555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138.54143029713555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19.8100000000004</v>
      </c>
      <c r="BE169" s="13">
        <f>BD169*VLOOKUP('Données projet'!$B$11,Paramètres!$A$1:$I$89,3,0)*VLOOKUP('Données projet'!$B$11,Paramètres!$A$1:$I$89,5,0)</f>
        <v>20.08734000000041</v>
      </c>
      <c r="BF169" s="13">
        <f t="shared" si="167"/>
        <v>6.5285137703520215</v>
      </c>
      <c r="BG169" s="20">
        <f t="shared" si="168"/>
        <v>46.355945316697152</v>
      </c>
      <c r="BH169" s="59">
        <f t="shared" si="116"/>
        <v>339.68927865003047</v>
      </c>
      <c r="BI169" s="59">
        <f ca="1">AVERAGE(OFFSET($BH$3,0,0,'Données projet'!$E$11+1,1))-AVERAGE(OFFSET($H$3,0,0,'Données projet'!$E$11+1,1))</f>
        <v>485.01379841128346</v>
      </c>
      <c r="BJ169" s="59">
        <f t="shared" si="146"/>
        <v>238.25679915866897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155.26194774678987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155.26194774678987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">
        <f t="shared" si="140"/>
        <v>22.217118337239182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6">
        <f t="shared" si="110"/>
        <v>471.93100610402485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763.00000000000057</v>
      </c>
      <c r="O170" s="13">
        <f>N170*VLOOKUP('Données projet'!$B$9,Paramètres!$A$1:$I$89,3,0)*VLOOKUP('Données projet'!$B$9,Paramètres!$A$1:$I$89,5,0)</f>
        <v>456.2740000000004</v>
      </c>
      <c r="P170" s="13">
        <f t="shared" si="141"/>
        <v>103.09649786611838</v>
      </c>
      <c r="Q170" s="20">
        <f t="shared" si="162"/>
        <v>974.23695045015677</v>
      </c>
      <c r="R170" s="59">
        <f t="shared" si="109"/>
        <v>1267.5702837834901</v>
      </c>
      <c r="S170" s="59">
        <f ca="1">AVERAGE(OFFSET($R$3,0,0,'Données projet'!$E$9+1,1))-AVERAGE(OFFSET($H$3,0,0,'Données projet'!$E$9+1,1))</f>
        <v>481.17250315093412</v>
      </c>
      <c r="T170" s="59">
        <f t="shared" si="142"/>
        <v>413.48123190206832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19.00009030813548</v>
      </c>
      <c r="AA170" s="21">
        <f>EXP(-LN(2)/25)*AA169+(1-EXP(-LN(2)/25))/(LN(2)/25)*Calculateur!V170*Calculateur!X170*VLOOKUP('Données projet'!$B$9,Paramètres!$A$1:$I$89,3,0)*0.475*44/12</f>
        <v>1.4658018992573973</v>
      </c>
      <c r="AB170" s="21">
        <f>EXP(-LN(2)/2)*AB169+(1-EXP(-LN(2)/2))/(LN(2)/2)*V170*Y170*VLOOKUP('Données projet'!$B$9,Paramètres!$A$1:$I$89,3,0)*0.475*44/12</f>
        <v>1.8818124932588306E-22</v>
      </c>
      <c r="AC170" s="22">
        <f t="shared" si="163"/>
        <v>20.465892207392876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19.8100000000004</v>
      </c>
      <c r="AJ170" s="13">
        <f>AI170*VLOOKUP('Données projet'!$B$10,Paramètres!$A$1:$I$89,3,0)*VLOOKUP('Données projet'!$B$10,Paramètres!$A$1:$I$89,5,0)</f>
        <v>17.924088000000364</v>
      </c>
      <c r="AK170" s="13">
        <f t="shared" si="164"/>
        <v>5.9032212091029486</v>
      </c>
      <c r="AL170" s="20">
        <f t="shared" si="165"/>
        <v>41.499230205854936</v>
      </c>
      <c r="AM170" s="59">
        <f t="shared" si="113"/>
        <v>334.83256353918824</v>
      </c>
      <c r="AN170" s="59">
        <f ca="1">AVERAGE(OFFSET($AM$3,0,0,'Données projet'!$E$10+1,1))-AVERAGE(OFFSET($H$3,0,0,'Données projet'!$E$10+1,1))</f>
        <v>426.34811677569007</v>
      </c>
      <c r="AO170" s="59">
        <f t="shared" si="144"/>
        <v>209.65223938402107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135.82471735093733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135.82471735093733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19.8100000000004</v>
      </c>
      <c r="BE170" s="13">
        <f>BD170*VLOOKUP('Données projet'!$B$11,Paramètres!$A$1:$I$89,3,0)*VLOOKUP('Données projet'!$B$11,Paramètres!$A$1:$I$89,5,0)</f>
        <v>20.08734000000041</v>
      </c>
      <c r="BF170" s="13">
        <f t="shared" si="167"/>
        <v>6.5285137703520215</v>
      </c>
      <c r="BG170" s="20">
        <f t="shared" si="168"/>
        <v>46.355945316697152</v>
      </c>
      <c r="BH170" s="59">
        <f t="shared" si="116"/>
        <v>339.68927865003047</v>
      </c>
      <c r="BI170" s="59">
        <f ca="1">AVERAGE(OFFSET($BH$3,0,0,'Données projet'!$E$11+1,1))-AVERAGE(OFFSET($H$3,0,0,'Données projet'!$E$11+1,1))</f>
        <v>485.01379841128346</v>
      </c>
      <c r="BJ170" s="59">
        <f t="shared" si="146"/>
        <v>238.25679915866897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152.21735565191256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152.21735565191256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">
        <f t="shared" si="140"/>
        <v>22.334628633536209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6">
        <f t="shared" si="110"/>
        <v>472.97341153674216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763.00000000000057</v>
      </c>
      <c r="O171" s="13">
        <f>N171*VLOOKUP('Données projet'!$B$9,Paramètres!$A$1:$I$89,3,0)*VLOOKUP('Données projet'!$B$9,Paramètres!$A$1:$I$89,5,0)</f>
        <v>456.2740000000004</v>
      </c>
      <c r="P171" s="13">
        <f t="shared" si="141"/>
        <v>103.09649786611838</v>
      </c>
      <c r="Q171" s="20">
        <f t="shared" si="162"/>
        <v>974.23695045015677</v>
      </c>
      <c r="R171" s="59">
        <f t="shared" si="109"/>
        <v>1267.5702837834901</v>
      </c>
      <c r="S171" s="59">
        <f ca="1">AVERAGE(OFFSET($R$3,0,0,'Données projet'!$E$9+1,1))-AVERAGE(OFFSET($H$3,0,0,'Données projet'!$E$9+1,1))</f>
        <v>481.17250315093412</v>
      </c>
      <c r="T171" s="59">
        <f t="shared" si="142"/>
        <v>413.48123190206832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18.627510126103722</v>
      </c>
      <c r="AA171" s="21">
        <f>EXP(-LN(2)/25)*AA170+(1-EXP(-LN(2)/25))/(LN(2)/25)*Calculateur!V171*Calculateur!X171*VLOOKUP('Données projet'!$B$9,Paramètres!$A$1:$I$89,3,0)*0.475*44/12</f>
        <v>1.425719469239032</v>
      </c>
      <c r="AB171" s="21">
        <f>EXP(-LN(2)/2)*AB170+(1-EXP(-LN(2)/2))/(LN(2)/2)*V171*Y171*VLOOKUP('Données projet'!$B$9,Paramètres!$A$1:$I$89,3,0)*0.475*44/12</f>
        <v>1.3306423749048834E-22</v>
      </c>
      <c r="AC171" s="22">
        <f t="shared" si="163"/>
        <v>20.053229595342753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19.8100000000004</v>
      </c>
      <c r="AJ171" s="13">
        <f>AI171*VLOOKUP('Données projet'!$B$10,Paramètres!$A$1:$I$89,3,0)*VLOOKUP('Données projet'!$B$10,Paramètres!$A$1:$I$89,5,0)</f>
        <v>17.924088000000364</v>
      </c>
      <c r="AK171" s="13">
        <f t="shared" si="164"/>
        <v>5.9032212091029486</v>
      </c>
      <c r="AL171" s="20">
        <f t="shared" si="165"/>
        <v>41.499230205854936</v>
      </c>
      <c r="AM171" s="59">
        <f t="shared" si="113"/>
        <v>334.83256353918824</v>
      </c>
      <c r="AN171" s="59">
        <f ca="1">AVERAGE(OFFSET($AM$3,0,0,'Données projet'!$E$10+1,1))-AVERAGE(OFFSET($H$3,0,0,'Données projet'!$E$10+1,1))</f>
        <v>426.34811677569007</v>
      </c>
      <c r="AO171" s="59">
        <f t="shared" si="144"/>
        <v>209.65223938402107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133.16127748858278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133.16127748858278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19.8100000000004</v>
      </c>
      <c r="BE171" s="13">
        <f>BD171*VLOOKUP('Données projet'!$B$11,Paramètres!$A$1:$I$89,3,0)*VLOOKUP('Données projet'!$B$11,Paramètres!$A$1:$I$89,5,0)</f>
        <v>20.08734000000041</v>
      </c>
      <c r="BF171" s="13">
        <f t="shared" si="167"/>
        <v>6.5285137703520215</v>
      </c>
      <c r="BG171" s="20">
        <f t="shared" si="168"/>
        <v>46.355945316697152</v>
      </c>
      <c r="BH171" s="59">
        <f t="shared" si="116"/>
        <v>339.68927865003047</v>
      </c>
      <c r="BI171" s="59">
        <f ca="1">AVERAGE(OFFSET($BH$3,0,0,'Données projet'!$E$11+1,1))-AVERAGE(OFFSET($H$3,0,0,'Données projet'!$E$11+1,1))</f>
        <v>485.01379841128346</v>
      </c>
      <c r="BJ171" s="59">
        <f t="shared" si="146"/>
        <v>238.25679915866897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149.23246615099796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149.23246615099796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">
        <f t="shared" si="140"/>
        <v>22.452057539675593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6">
        <f t="shared" si="110"/>
        <v>474.0156752149349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763.00000000000057</v>
      </c>
      <c r="O172" s="13">
        <f>N172*VLOOKUP('Données projet'!$B$9,Paramètres!$A$1:$I$89,3,0)*VLOOKUP('Données projet'!$B$9,Paramètres!$A$1:$I$89,5,0)</f>
        <v>456.2740000000004</v>
      </c>
      <c r="P172" s="13">
        <f t="shared" si="141"/>
        <v>103.09649786611838</v>
      </c>
      <c r="Q172" s="20">
        <f t="shared" si="162"/>
        <v>974.23695045015677</v>
      </c>
      <c r="R172" s="59">
        <f t="shared" si="109"/>
        <v>1267.5702837834901</v>
      </c>
      <c r="S172" s="59">
        <f ca="1">AVERAGE(OFFSET($R$3,0,0,'Données projet'!$E$9+1,1))-AVERAGE(OFFSET($H$3,0,0,'Données projet'!$E$9+1,1))</f>
        <v>481.17250315093412</v>
      </c>
      <c r="T172" s="59">
        <f t="shared" si="142"/>
        <v>413.48123190206832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18.262236014190133</v>
      </c>
      <c r="AA172" s="21">
        <f>EXP(-LN(2)/25)*AA171+(1-EXP(-LN(2)/25))/(LN(2)/25)*Calculateur!V172*Calculateur!X172*VLOOKUP('Données projet'!$B$9,Paramètres!$A$1:$I$89,3,0)*0.475*44/12</f>
        <v>1.3867330953773624</v>
      </c>
      <c r="AB172" s="21">
        <f>EXP(-LN(2)/2)*AB171+(1-EXP(-LN(2)/2))/(LN(2)/2)*V172*Y172*VLOOKUP('Données projet'!$B$9,Paramètres!$A$1:$I$89,3,0)*0.475*44/12</f>
        <v>9.4090624662941531E-23</v>
      </c>
      <c r="AC172" s="22">
        <f t="shared" si="163"/>
        <v>19.648969109567496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19.8100000000004</v>
      </c>
      <c r="AJ172" s="13">
        <f>AI172*VLOOKUP('Données projet'!$B$10,Paramètres!$A$1:$I$89,3,0)*VLOOKUP('Données projet'!$B$10,Paramètres!$A$1:$I$89,5,0)</f>
        <v>17.924088000000364</v>
      </c>
      <c r="AK172" s="13">
        <f t="shared" si="164"/>
        <v>5.9032212091029486</v>
      </c>
      <c r="AL172" s="20">
        <f t="shared" si="165"/>
        <v>41.499230205854936</v>
      </c>
      <c r="AM172" s="59">
        <f t="shared" si="113"/>
        <v>334.83256353918824</v>
      </c>
      <c r="AN172" s="59">
        <f ca="1">AVERAGE(OFFSET($AM$3,0,0,'Données projet'!$E$10+1,1))-AVERAGE(OFFSET($H$3,0,0,'Données projet'!$E$10+1,1))</f>
        <v>426.34811677569007</v>
      </c>
      <c r="AO172" s="59">
        <f t="shared" si="144"/>
        <v>209.65223938402107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130.55006605739109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130.55006605739109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19.8100000000004</v>
      </c>
      <c r="BE172" s="13">
        <f>BD172*VLOOKUP('Données projet'!$B$11,Paramètres!$A$1:$I$89,3,0)*VLOOKUP('Données projet'!$B$11,Paramètres!$A$1:$I$89,5,0)</f>
        <v>20.08734000000041</v>
      </c>
      <c r="BF172" s="13">
        <f t="shared" si="167"/>
        <v>6.5285137703520215</v>
      </c>
      <c r="BG172" s="20">
        <f t="shared" si="168"/>
        <v>46.355945316697152</v>
      </c>
      <c r="BH172" s="59">
        <f t="shared" si="116"/>
        <v>339.68927865003047</v>
      </c>
      <c r="BI172" s="59">
        <f ca="1">AVERAGE(OFFSET($BH$3,0,0,'Données projet'!$E$11+1,1))-AVERAGE(OFFSET($H$3,0,0,'Données projet'!$E$11+1,1))</f>
        <v>485.01379841128346</v>
      </c>
      <c r="BJ172" s="59">
        <f t="shared" si="146"/>
        <v>238.25679915866897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146.30610851259348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146.30610851259348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">
        <f t="shared" si="140"/>
        <v>22.569405593135201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6">
        <f t="shared" si="110"/>
        <v>475.05779807471038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763.00000000000057</v>
      </c>
      <c r="O173" s="13">
        <f>N173*VLOOKUP('Données projet'!$B$9,Paramètres!$A$1:$I$89,3,0)*VLOOKUP('Données projet'!$B$9,Paramètres!$A$1:$I$89,5,0)</f>
        <v>456.2740000000004</v>
      </c>
      <c r="P173" s="13">
        <f t="shared" si="141"/>
        <v>103.09649786611838</v>
      </c>
      <c r="Q173" s="20">
        <f t="shared" si="162"/>
        <v>974.23695045015677</v>
      </c>
      <c r="R173" s="59">
        <f t="shared" si="109"/>
        <v>1267.5702837834901</v>
      </c>
      <c r="S173" s="59">
        <f ca="1">AVERAGE(OFFSET($R$3,0,0,'Données projet'!$E$9+1,1))-AVERAGE(OFFSET($H$3,0,0,'Données projet'!$E$9+1,1))</f>
        <v>481.17250315093412</v>
      </c>
      <c r="T173" s="59">
        <f t="shared" si="142"/>
        <v>413.48123190206832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17.904124704815963</v>
      </c>
      <c r="AA173" s="21">
        <f>EXP(-LN(2)/25)*AA172+(1-EXP(-LN(2)/25))/(LN(2)/25)*Calculateur!V173*Calculateur!X173*VLOOKUP('Données projet'!$B$9,Paramètres!$A$1:$I$89,3,0)*0.475*44/12</f>
        <v>1.3488128059591444</v>
      </c>
      <c r="AB173" s="21">
        <f>EXP(-LN(2)/2)*AB172+(1-EXP(-LN(2)/2))/(LN(2)/2)*V173*Y173*VLOOKUP('Données projet'!$B$9,Paramètres!$A$1:$I$89,3,0)*0.475*44/12</f>
        <v>6.6532118745244168E-23</v>
      </c>
      <c r="AC173" s="22">
        <f t="shared" si="163"/>
        <v>19.252937510775109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19.8100000000004</v>
      </c>
      <c r="AJ173" s="13">
        <f>AI173*VLOOKUP('Données projet'!$B$10,Paramètres!$A$1:$I$89,3,0)*VLOOKUP('Données projet'!$B$10,Paramètres!$A$1:$I$89,5,0)</f>
        <v>17.924088000000364</v>
      </c>
      <c r="AK173" s="13">
        <f t="shared" si="164"/>
        <v>5.9032212091029486</v>
      </c>
      <c r="AL173" s="20">
        <f t="shared" si="165"/>
        <v>41.499230205854936</v>
      </c>
      <c r="AM173" s="59">
        <f t="shared" si="113"/>
        <v>334.83256353918824</v>
      </c>
      <c r="AN173" s="59">
        <f ca="1">AVERAGE(OFFSET($AM$3,0,0,'Données projet'!$E$10+1,1))-AVERAGE(OFFSET($H$3,0,0,'Données projet'!$E$10+1,1))</f>
        <v>426.34811677569007</v>
      </c>
      <c r="AO173" s="59">
        <f t="shared" si="144"/>
        <v>209.65223938402107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127.99005888968337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127.99005888968337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19.8100000000004</v>
      </c>
      <c r="BE173" s="13">
        <f>BD173*VLOOKUP('Données projet'!$B$11,Paramètres!$A$1:$I$89,3,0)*VLOOKUP('Données projet'!$B$11,Paramètres!$A$1:$I$89,5,0)</f>
        <v>20.08734000000041</v>
      </c>
      <c r="BF173" s="13">
        <f t="shared" si="167"/>
        <v>6.5285137703520215</v>
      </c>
      <c r="BG173" s="20">
        <f t="shared" si="168"/>
        <v>46.355945316697152</v>
      </c>
      <c r="BH173" s="59">
        <f t="shared" si="116"/>
        <v>339.68927865003047</v>
      </c>
      <c r="BI173" s="59">
        <f ca="1">AVERAGE(OFFSET($BH$3,0,0,'Données projet'!$E$11+1,1))-AVERAGE(OFFSET($H$3,0,0,'Données projet'!$E$11+1,1))</f>
        <v>485.01379841128346</v>
      </c>
      <c r="BJ173" s="59">
        <f t="shared" si="146"/>
        <v>238.25679915866897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143.43713496257621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143.43713496257621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">
        <f t="shared" si="140"/>
        <v>22.686673324703712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6">
        <f t="shared" si="110"/>
        <v>476.0997810405255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763.00000000000057</v>
      </c>
      <c r="O174" s="13">
        <f>N174*VLOOKUP('Données projet'!$B$9,Paramètres!$A$1:$I$89,3,0)*VLOOKUP('Données projet'!$B$9,Paramètres!$A$1:$I$89,5,0)</f>
        <v>456.2740000000004</v>
      </c>
      <c r="P174" s="13">
        <f t="shared" si="141"/>
        <v>103.09649786611838</v>
      </c>
      <c r="Q174" s="20">
        <f t="shared" si="162"/>
        <v>974.23695045015677</v>
      </c>
      <c r="R174" s="59">
        <f t="shared" si="109"/>
        <v>1267.5702837834901</v>
      </c>
      <c r="S174" s="59">
        <f ca="1">AVERAGE(OFFSET($R$3,0,0,'Données projet'!$E$9+1,1))-AVERAGE(OFFSET($H$3,0,0,'Données projet'!$E$9+1,1))</f>
        <v>481.17250315093412</v>
      </c>
      <c r="T174" s="59">
        <f t="shared" si="142"/>
        <v>413.48123190206832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17.553035739792289</v>
      </c>
      <c r="AA174" s="21">
        <f>EXP(-LN(2)/25)*AA173+(1-EXP(-LN(2)/25))/(LN(2)/25)*Calculateur!V174*Calculateur!X174*VLOOKUP('Données projet'!$B$9,Paramètres!$A$1:$I$89,3,0)*0.475*44/12</f>
        <v>1.3119294488492088</v>
      </c>
      <c r="AB174" s="21">
        <f>EXP(-LN(2)/2)*AB173+(1-EXP(-LN(2)/2))/(LN(2)/2)*V174*Y174*VLOOKUP('Données projet'!$B$9,Paramètres!$A$1:$I$89,3,0)*0.475*44/12</f>
        <v>4.7045312331470766E-23</v>
      </c>
      <c r="AC174" s="22">
        <f t="shared" si="163"/>
        <v>18.864965188641499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19.8100000000004</v>
      </c>
      <c r="AJ174" s="13">
        <f>AI174*VLOOKUP('Données projet'!$B$10,Paramètres!$A$1:$I$89,3,0)*VLOOKUP('Données projet'!$B$10,Paramètres!$A$1:$I$89,5,0)</f>
        <v>17.924088000000364</v>
      </c>
      <c r="AK174" s="13">
        <f t="shared" si="164"/>
        <v>5.9032212091029486</v>
      </c>
      <c r="AL174" s="20">
        <f t="shared" si="165"/>
        <v>41.499230205854936</v>
      </c>
      <c r="AM174" s="59">
        <f t="shared" si="113"/>
        <v>334.83256353918824</v>
      </c>
      <c r="AN174" s="59">
        <f ca="1">AVERAGE(OFFSET($AM$3,0,0,'Données projet'!$E$10+1,1))-AVERAGE(OFFSET($H$3,0,0,'Données projet'!$E$10+1,1))</f>
        <v>426.34811677569007</v>
      </c>
      <c r="AO174" s="59">
        <f t="shared" si="144"/>
        <v>209.65223938402107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125.4802519010842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125.4802519010842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19.8100000000004</v>
      </c>
      <c r="BE174" s="13">
        <f>BD174*VLOOKUP('Données projet'!$B$11,Paramètres!$A$1:$I$89,3,0)*VLOOKUP('Données projet'!$B$11,Paramètres!$A$1:$I$89,5,0)</f>
        <v>20.08734000000041</v>
      </c>
      <c r="BF174" s="13">
        <f t="shared" si="167"/>
        <v>6.5285137703520215</v>
      </c>
      <c r="BG174" s="20">
        <f t="shared" si="168"/>
        <v>46.355945316697152</v>
      </c>
      <c r="BH174" s="59">
        <f t="shared" si="116"/>
        <v>339.68927865003047</v>
      </c>
      <c r="BI174" s="59">
        <f ca="1">AVERAGE(OFFSET($BH$3,0,0,'Données projet'!$E$11+1,1))-AVERAGE(OFFSET($H$3,0,0,'Données projet'!$E$11+1,1))</f>
        <v>485.01379841128346</v>
      </c>
      <c r="BJ174" s="59">
        <f t="shared" si="146"/>
        <v>238.25679915866897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140.62442023397369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140.62442023397369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">
        <f t="shared" si="140"/>
        <v>22.803861258602598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6">
        <f t="shared" si="110"/>
        <v>477.14162502539943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763.00000000000057</v>
      </c>
      <c r="O175" s="13">
        <f>N175*VLOOKUP('Données projet'!$B$9,Paramètres!$A$1:$I$89,3,0)*VLOOKUP('Données projet'!$B$9,Paramètres!$A$1:$I$89,5,0)</f>
        <v>456.2740000000004</v>
      </c>
      <c r="P175" s="13">
        <f t="shared" si="141"/>
        <v>103.09649786611838</v>
      </c>
      <c r="Q175" s="20">
        <f t="shared" si="162"/>
        <v>974.23695045015677</v>
      </c>
      <c r="R175" s="59">
        <f t="shared" si="109"/>
        <v>1267.5702837834901</v>
      </c>
      <c r="S175" s="59">
        <f ca="1">AVERAGE(OFFSET($R$3,0,0,'Données projet'!$E$9+1,1))-AVERAGE(OFFSET($H$3,0,0,'Données projet'!$E$9+1,1))</f>
        <v>481.17250315093412</v>
      </c>
      <c r="T175" s="59">
        <f t="shared" si="142"/>
        <v>413.48123190206832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17.208831415229604</v>
      </c>
      <c r="AA175" s="21">
        <f>EXP(-LN(2)/25)*AA174+(1-EXP(-LN(2)/25))/(LN(2)/25)*Calculateur!V175*Calculateur!X175*VLOOKUP('Données projet'!$B$9,Paramètres!$A$1:$I$89,3,0)*0.475*44/12</f>
        <v>1.276054669079056</v>
      </c>
      <c r="AB175" s="21">
        <f>EXP(-LN(2)/2)*AB174+(1-EXP(-LN(2)/2))/(LN(2)/2)*V175*Y175*VLOOKUP('Données projet'!$B$9,Paramètres!$A$1:$I$89,3,0)*0.475*44/12</f>
        <v>3.3266059372622084E-23</v>
      </c>
      <c r="AC175" s="22">
        <f t="shared" si="163"/>
        <v>18.484886084308659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19.8100000000004</v>
      </c>
      <c r="AJ175" s="13">
        <f>AI175*VLOOKUP('Données projet'!$B$10,Paramètres!$A$1:$I$89,3,0)*VLOOKUP('Données projet'!$B$10,Paramètres!$A$1:$I$89,5,0)</f>
        <v>17.924088000000364</v>
      </c>
      <c r="AK175" s="13">
        <f t="shared" si="164"/>
        <v>5.9032212091029486</v>
      </c>
      <c r="AL175" s="20">
        <f t="shared" si="165"/>
        <v>41.499230205854936</v>
      </c>
      <c r="AM175" s="59">
        <f t="shared" si="113"/>
        <v>334.83256353918824</v>
      </c>
      <c r="AN175" s="59">
        <f ca="1">AVERAGE(OFFSET($AM$3,0,0,'Données projet'!$E$10+1,1))-AVERAGE(OFFSET($H$3,0,0,'Données projet'!$E$10+1,1))</f>
        <v>426.34811677569007</v>
      </c>
      <c r="AO175" s="59">
        <f t="shared" si="144"/>
        <v>209.65223938402107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123.01966069670036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123.01966069670036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19.8100000000004</v>
      </c>
      <c r="BE175" s="13">
        <f>BD175*VLOOKUP('Données projet'!$B$11,Paramètres!$A$1:$I$89,3,0)*VLOOKUP('Données projet'!$B$11,Paramètres!$A$1:$I$89,5,0)</f>
        <v>20.08734000000041</v>
      </c>
      <c r="BF175" s="13">
        <f t="shared" si="167"/>
        <v>6.5285137703520215</v>
      </c>
      <c r="BG175" s="20">
        <f t="shared" si="168"/>
        <v>46.355945316697152</v>
      </c>
      <c r="BH175" s="59">
        <f t="shared" si="116"/>
        <v>339.68927865003047</v>
      </c>
      <c r="BI175" s="59">
        <f ca="1">AVERAGE(OFFSET($BH$3,0,0,'Données projet'!$E$11+1,1))-AVERAGE(OFFSET($H$3,0,0,'Données projet'!$E$11+1,1))</f>
        <v>485.01379841128346</v>
      </c>
      <c r="BJ175" s="59">
        <f t="shared" si="146"/>
        <v>238.25679915866897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137.8668611256125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137.8668611256125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">
        <f t="shared" si="140"/>
        <v>22.920969912605038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6">
        <f t="shared" si="110"/>
        <v>478.18333093112028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763.00000000000057</v>
      </c>
      <c r="O176" s="13">
        <f>N176*VLOOKUP('Données projet'!$B$9,Paramètres!$A$1:$I$89,3,0)*VLOOKUP('Données projet'!$B$9,Paramètres!$A$1:$I$89,5,0)</f>
        <v>456.2740000000004</v>
      </c>
      <c r="P176" s="13">
        <f t="shared" si="141"/>
        <v>103.09649786611838</v>
      </c>
      <c r="Q176" s="20">
        <f t="shared" si="162"/>
        <v>974.23695045015677</v>
      </c>
      <c r="R176" s="59">
        <f t="shared" si="109"/>
        <v>1267.5702837834901</v>
      </c>
      <c r="S176" s="59">
        <f ca="1">AVERAGE(OFFSET($R$3,0,0,'Données projet'!$E$9+1,1))-AVERAGE(OFFSET($H$3,0,0,'Données projet'!$E$9+1,1))</f>
        <v>481.17250315093412</v>
      </c>
      <c r="T176" s="59">
        <f t="shared" si="142"/>
        <v>413.48123190206832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16.871376727527686</v>
      </c>
      <c r="AA176" s="21">
        <f>EXP(-LN(2)/25)*AA175+(1-EXP(-LN(2)/25))/(LN(2)/25)*Calculateur!V176*Calculateur!X176*VLOOKUP('Données projet'!$B$9,Paramètres!$A$1:$I$89,3,0)*0.475*44/12</f>
        <v>1.2411608870482906</v>
      </c>
      <c r="AB176" s="21">
        <f>EXP(-LN(2)/2)*AB175+(1-EXP(-LN(2)/2))/(LN(2)/2)*V176*Y176*VLOOKUP('Données projet'!$B$9,Paramètres!$A$1:$I$89,3,0)*0.475*44/12</f>
        <v>2.3522656165735383E-23</v>
      </c>
      <c r="AC176" s="22">
        <f t="shared" si="163"/>
        <v>18.112537614575977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19.8100000000004</v>
      </c>
      <c r="AJ176" s="13">
        <f>AI176*VLOOKUP('Données projet'!$B$10,Paramètres!$A$1:$I$89,3,0)*VLOOKUP('Données projet'!$B$10,Paramètres!$A$1:$I$89,5,0)</f>
        <v>17.924088000000364</v>
      </c>
      <c r="AK176" s="13">
        <f t="shared" si="164"/>
        <v>5.9032212091029486</v>
      </c>
      <c r="AL176" s="20">
        <f t="shared" si="165"/>
        <v>41.499230205854936</v>
      </c>
      <c r="AM176" s="59">
        <f t="shared" si="113"/>
        <v>334.83256353918824</v>
      </c>
      <c r="AN176" s="59">
        <f ca="1">AVERAGE(OFFSET($AM$3,0,0,'Données projet'!$E$10+1,1))-AVERAGE(OFFSET($H$3,0,0,'Données projet'!$E$10+1,1))</f>
        <v>426.34811677569007</v>
      </c>
      <c r="AO176" s="59">
        <f t="shared" si="144"/>
        <v>209.65223938402107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120.60732018502203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120.60732018502203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19.8100000000004</v>
      </c>
      <c r="BE176" s="13">
        <f>BD176*VLOOKUP('Données projet'!$B$11,Paramètres!$A$1:$I$89,3,0)*VLOOKUP('Données projet'!$B$11,Paramètres!$A$1:$I$89,5,0)</f>
        <v>20.08734000000041</v>
      </c>
      <c r="BF176" s="13">
        <f t="shared" si="167"/>
        <v>6.5285137703520215</v>
      </c>
      <c r="BG176" s="20">
        <f t="shared" si="168"/>
        <v>46.355945316697152</v>
      </c>
      <c r="BH176" s="59">
        <f t="shared" si="116"/>
        <v>339.68927865003047</v>
      </c>
      <c r="BI176" s="59">
        <f ca="1">AVERAGE(OFFSET($BH$3,0,0,'Données projet'!$E$11+1,1))-AVERAGE(OFFSET($H$3,0,0,'Données projet'!$E$11+1,1))</f>
        <v>485.01379841128346</v>
      </c>
      <c r="BJ176" s="59">
        <f t="shared" si="146"/>
        <v>238.25679915866897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135.16337606942128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135.16337606942128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">
        <f t="shared" si="140"/>
        <v>23.037999798152033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6">
        <f t="shared" si="110"/>
        <v>479.224899648448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763.00000000000057</v>
      </c>
      <c r="O177" s="13">
        <f>N177*VLOOKUP('Données projet'!$B$9,Paramètres!$A$1:$I$89,3,0)*VLOOKUP('Données projet'!$B$9,Paramètres!$A$1:$I$89,5,0)</f>
        <v>456.2740000000004</v>
      </c>
      <c r="P177" s="13">
        <f t="shared" si="141"/>
        <v>103.09649786611838</v>
      </c>
      <c r="Q177" s="20">
        <f t="shared" si="162"/>
        <v>974.23695045015677</v>
      </c>
      <c r="R177" s="59">
        <f t="shared" si="109"/>
        <v>1267.5702837834901</v>
      </c>
      <c r="S177" s="59">
        <f ca="1">AVERAGE(OFFSET($R$3,0,0,'Données projet'!$E$9+1,1))-AVERAGE(OFFSET($H$3,0,0,'Données projet'!$E$9+1,1))</f>
        <v>481.17250315093412</v>
      </c>
      <c r="T177" s="59">
        <f t="shared" si="142"/>
        <v>413.48123190206832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16.540539320424568</v>
      </c>
      <c r="AA177" s="21">
        <f>EXP(-LN(2)/25)*AA176+(1-EXP(-LN(2)/25))/(LN(2)/25)*Calculateur!V177*Calculateur!X177*VLOOKUP('Données projet'!$B$9,Paramètres!$A$1:$I$89,3,0)*0.475*44/12</f>
        <v>1.2072212773221407</v>
      </c>
      <c r="AB177" s="21">
        <f>EXP(-LN(2)/2)*AB176+(1-EXP(-LN(2)/2))/(LN(2)/2)*V177*Y177*VLOOKUP('Données projet'!$B$9,Paramètres!$A$1:$I$89,3,0)*0.475*44/12</f>
        <v>1.6633029686311042E-23</v>
      </c>
      <c r="AC177" s="22">
        <f t="shared" si="163"/>
        <v>17.747760597746709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19.8100000000004</v>
      </c>
      <c r="AJ177" s="13">
        <f>AI177*VLOOKUP('Données projet'!$B$10,Paramètres!$A$1:$I$89,3,0)*VLOOKUP('Données projet'!$B$10,Paramètres!$A$1:$I$89,5,0)</f>
        <v>17.924088000000364</v>
      </c>
      <c r="AK177" s="13">
        <f t="shared" si="164"/>
        <v>5.9032212091029486</v>
      </c>
      <c r="AL177" s="20">
        <f t="shared" si="165"/>
        <v>41.499230205854936</v>
      </c>
      <c r="AM177" s="59">
        <f t="shared" si="113"/>
        <v>334.83256353918824</v>
      </c>
      <c r="AN177" s="59">
        <f ca="1">AVERAGE(OFFSET($AM$3,0,0,'Données projet'!$E$10+1,1))-AVERAGE(OFFSET($H$3,0,0,'Données projet'!$E$10+1,1))</f>
        <v>426.34811677569007</v>
      </c>
      <c r="AO177" s="59">
        <f t="shared" si="144"/>
        <v>209.65223938402107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118.2422841993953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118.2422841993953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19.8100000000004</v>
      </c>
      <c r="BE177" s="13">
        <f>BD177*VLOOKUP('Données projet'!$B$11,Paramètres!$A$1:$I$89,3,0)*VLOOKUP('Données projet'!$B$11,Paramètres!$A$1:$I$89,5,0)</f>
        <v>20.08734000000041</v>
      </c>
      <c r="BF177" s="13">
        <f t="shared" si="167"/>
        <v>6.5285137703520215</v>
      </c>
      <c r="BG177" s="20">
        <f t="shared" si="168"/>
        <v>46.355945316697152</v>
      </c>
      <c r="BH177" s="59">
        <f t="shared" si="116"/>
        <v>339.68927865003047</v>
      </c>
      <c r="BI177" s="59">
        <f ca="1">AVERAGE(OFFSET($BH$3,0,0,'Données projet'!$E$11+1,1))-AVERAGE(OFFSET($H$3,0,0,'Données projet'!$E$11+1,1))</f>
        <v>485.01379841128346</v>
      </c>
      <c r="BJ177" s="59">
        <f t="shared" si="146"/>
        <v>238.25679915866897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132.5129047062189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132.5129047062189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">
        <f t="shared" si="140"/>
        <v>23.154951420465835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6">
        <f t="shared" si="110"/>
        <v>480.26633205731122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763.00000000000057</v>
      </c>
      <c r="O178" s="13">
        <f>N178*VLOOKUP('Données projet'!$B$9,Paramètres!$A$1:$I$89,3,0)*VLOOKUP('Données projet'!$B$9,Paramètres!$A$1:$I$89,5,0)</f>
        <v>456.2740000000004</v>
      </c>
      <c r="P178" s="13">
        <f t="shared" si="141"/>
        <v>103.09649786611838</v>
      </c>
      <c r="Q178" s="20">
        <f t="shared" si="162"/>
        <v>974.23695045015677</v>
      </c>
      <c r="R178" s="59">
        <f t="shared" si="109"/>
        <v>1267.5702837834901</v>
      </c>
      <c r="S178" s="59">
        <f ca="1">AVERAGE(OFFSET($R$3,0,0,'Données projet'!$E$9+1,1))-AVERAGE(OFFSET($H$3,0,0,'Données projet'!$E$9+1,1))</f>
        <v>481.17250315093412</v>
      </c>
      <c r="T178" s="59">
        <f t="shared" si="142"/>
        <v>413.48123190206832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16.216189433083848</v>
      </c>
      <c r="AA178" s="21">
        <f>EXP(-LN(2)/25)*AA177+(1-EXP(-LN(2)/25))/(LN(2)/25)*Calculateur!V178*Calculateur!X178*VLOOKUP('Données projet'!$B$9,Paramètres!$A$1:$I$89,3,0)*0.475*44/12</f>
        <v>1.174209748008759</v>
      </c>
      <c r="AB178" s="21">
        <f>EXP(-LN(2)/2)*AB177+(1-EXP(-LN(2)/2))/(LN(2)/2)*V178*Y178*VLOOKUP('Données projet'!$B$9,Paramètres!$A$1:$I$89,3,0)*0.475*44/12</f>
        <v>1.1761328082867691E-23</v>
      </c>
      <c r="AC178" s="22">
        <f t="shared" si="163"/>
        <v>17.390399181092608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19.8100000000004</v>
      </c>
      <c r="AJ178" s="13">
        <f>AI178*VLOOKUP('Données projet'!$B$10,Paramètres!$A$1:$I$89,3,0)*VLOOKUP('Données projet'!$B$10,Paramètres!$A$1:$I$89,5,0)</f>
        <v>17.924088000000364</v>
      </c>
      <c r="AK178" s="13">
        <f t="shared" si="164"/>
        <v>5.9032212091029486</v>
      </c>
      <c r="AL178" s="20">
        <f t="shared" si="165"/>
        <v>41.499230205854936</v>
      </c>
      <c r="AM178" s="59">
        <f t="shared" si="113"/>
        <v>334.83256353918824</v>
      </c>
      <c r="AN178" s="59">
        <f ca="1">AVERAGE(OFFSET($AM$3,0,0,'Données projet'!$E$10+1,1))-AVERAGE(OFFSET($H$3,0,0,'Données projet'!$E$10+1,1))</f>
        <v>426.34811677569007</v>
      </c>
      <c r="AO178" s="59">
        <f t="shared" si="144"/>
        <v>209.65223938402107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115.9236251269172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115.9236251269172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19.8100000000004</v>
      </c>
      <c r="BE178" s="13">
        <f>BD178*VLOOKUP('Données projet'!$B$11,Paramètres!$A$1:$I$89,3,0)*VLOOKUP('Données projet'!$B$11,Paramètres!$A$1:$I$89,5,0)</f>
        <v>20.08734000000041</v>
      </c>
      <c r="BF178" s="13">
        <f t="shared" si="167"/>
        <v>6.5285137703520215</v>
      </c>
      <c r="BG178" s="20">
        <f t="shared" si="168"/>
        <v>46.355945316697152</v>
      </c>
      <c r="BH178" s="59">
        <f t="shared" si="116"/>
        <v>339.68927865003047</v>
      </c>
      <c r="BI178" s="59">
        <f ca="1">AVERAGE(OFFSET($BH$3,0,0,'Données projet'!$E$11+1,1))-AVERAGE(OFFSET($H$3,0,0,'Données projet'!$E$11+1,1))</f>
        <v>485.01379841128346</v>
      </c>
      <c r="BJ178" s="59">
        <f t="shared" si="146"/>
        <v>238.25679915866897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129.91440746982101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129.91440746982101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">
        <f t="shared" si="140"/>
        <v>23.271825278660558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6">
        <f t="shared" si="110"/>
        <v>481.3076290270003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763.00000000000057</v>
      </c>
      <c r="O179" s="13">
        <f>N179*VLOOKUP('Données projet'!$B$9,Paramètres!$A$1:$I$89,3,0)*VLOOKUP('Données projet'!$B$9,Paramètres!$A$1:$I$89,5,0)</f>
        <v>456.2740000000004</v>
      </c>
      <c r="P179" s="13">
        <f t="shared" si="141"/>
        <v>103.09649786611838</v>
      </c>
      <c r="Q179" s="20">
        <f t="shared" si="162"/>
        <v>974.23695045015677</v>
      </c>
      <c r="R179" s="59">
        <f t="shared" si="109"/>
        <v>1267.5702837834901</v>
      </c>
      <c r="S179" s="59">
        <f ca="1">AVERAGE(OFFSET($R$3,0,0,'Données projet'!$E$9+1,1))-AVERAGE(OFFSET($H$3,0,0,'Données projet'!$E$9+1,1))</f>
        <v>481.17250315093412</v>
      </c>
      <c r="T179" s="59">
        <f t="shared" si="142"/>
        <v>413.48123190206832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15.898199849199983</v>
      </c>
      <c r="AA179" s="21">
        <f>EXP(-LN(2)/25)*AA178+(1-EXP(-LN(2)/25))/(LN(2)/25)*Calculateur!V179*Calculateur!X179*VLOOKUP('Données projet'!$B$9,Paramètres!$A$1:$I$89,3,0)*0.475*44/12</f>
        <v>1.1421009207004524</v>
      </c>
      <c r="AB179" s="21">
        <f>EXP(-LN(2)/2)*AB178+(1-EXP(-LN(2)/2))/(LN(2)/2)*V179*Y179*VLOOKUP('Données projet'!$B$9,Paramètres!$A$1:$I$89,3,0)*0.475*44/12</f>
        <v>8.316514843155521E-24</v>
      </c>
      <c r="AC179" s="22">
        <f t="shared" si="163"/>
        <v>17.040300769900437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19.8100000000004</v>
      </c>
      <c r="AJ179" s="13">
        <f>AI179*VLOOKUP('Données projet'!$B$10,Paramètres!$A$1:$I$89,3,0)*VLOOKUP('Données projet'!$B$10,Paramètres!$A$1:$I$89,5,0)</f>
        <v>17.924088000000364</v>
      </c>
      <c r="AK179" s="13">
        <f t="shared" si="164"/>
        <v>5.9032212091029486</v>
      </c>
      <c r="AL179" s="20">
        <f t="shared" si="165"/>
        <v>41.499230205854936</v>
      </c>
      <c r="AM179" s="59">
        <f t="shared" si="113"/>
        <v>334.83256353918824</v>
      </c>
      <c r="AN179" s="59">
        <f ca="1">AVERAGE(OFFSET($AM$3,0,0,'Données projet'!$E$10+1,1))-AVERAGE(OFFSET($H$3,0,0,'Données projet'!$E$10+1,1))</f>
        <v>426.34811677569007</v>
      </c>
      <c r="AO179" s="59">
        <f t="shared" si="144"/>
        <v>209.65223938402107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113.65043354460801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113.65043354460801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19.8100000000004</v>
      </c>
      <c r="BE179" s="13">
        <f>BD179*VLOOKUP('Données projet'!$B$11,Paramètres!$A$1:$I$89,3,0)*VLOOKUP('Données projet'!$B$11,Paramètres!$A$1:$I$89,5,0)</f>
        <v>20.08734000000041</v>
      </c>
      <c r="BF179" s="13">
        <f t="shared" si="167"/>
        <v>6.5285137703520215</v>
      </c>
      <c r="BG179" s="20">
        <f t="shared" si="168"/>
        <v>46.355945316697152</v>
      </c>
      <c r="BH179" s="59">
        <f t="shared" si="116"/>
        <v>339.68927865003047</v>
      </c>
      <c r="BI179" s="59">
        <f ca="1">AVERAGE(OFFSET($BH$3,0,0,'Données projet'!$E$11+1,1))-AVERAGE(OFFSET($H$3,0,0,'Données projet'!$E$11+1,1))</f>
        <v>485.01379841128346</v>
      </c>
      <c r="BJ179" s="59">
        <f t="shared" si="146"/>
        <v>238.25679915866897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127.36686517930208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127.36686517930208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">
        <f t="shared" si="140"/>
        <v>23.388621865850421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6">
        <f t="shared" si="110"/>
        <v>482.34879141635599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763.00000000000057</v>
      </c>
      <c r="O180" s="13">
        <f>N180*VLOOKUP('Données projet'!$B$9,Paramètres!$A$1:$I$89,3,0)*VLOOKUP('Données projet'!$B$9,Paramètres!$A$1:$I$89,5,0)</f>
        <v>456.2740000000004</v>
      </c>
      <c r="P180" s="13">
        <f t="shared" si="141"/>
        <v>103.09649786611838</v>
      </c>
      <c r="Q180" s="20">
        <f t="shared" si="162"/>
        <v>974.23695045015677</v>
      </c>
      <c r="R180" s="59">
        <f t="shared" si="109"/>
        <v>1267.5702837834901</v>
      </c>
      <c r="S180" s="59">
        <f ca="1">AVERAGE(OFFSET($R$3,0,0,'Données projet'!$E$9+1,1))-AVERAGE(OFFSET($H$3,0,0,'Données projet'!$E$9+1,1))</f>
        <v>481.17250315093412</v>
      </c>
      <c r="T180" s="59">
        <f t="shared" si="142"/>
        <v>413.48123190206832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15.586445847101587</v>
      </c>
      <c r="AA180" s="21">
        <f>EXP(-LN(2)/25)*AA179+(1-EXP(-LN(2)/25))/(LN(2)/25)*Calculateur!V180*Calculateur!X180*VLOOKUP('Données projet'!$B$9,Paramètres!$A$1:$I$89,3,0)*0.475*44/12</f>
        <v>1.1108701109634214</v>
      </c>
      <c r="AB180" s="21">
        <f>EXP(-LN(2)/2)*AB179+(1-EXP(-LN(2)/2))/(LN(2)/2)*V180*Y180*VLOOKUP('Données projet'!$B$9,Paramètres!$A$1:$I$89,3,0)*0.475*44/12</f>
        <v>5.8806640414338457E-24</v>
      </c>
      <c r="AC180" s="22">
        <f t="shared" si="163"/>
        <v>16.697315958065008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19.8100000000004</v>
      </c>
      <c r="AJ180" s="13">
        <f>AI180*VLOOKUP('Données projet'!$B$10,Paramètres!$A$1:$I$89,3,0)*VLOOKUP('Données projet'!$B$10,Paramètres!$A$1:$I$89,5,0)</f>
        <v>17.924088000000364</v>
      </c>
      <c r="AK180" s="13">
        <f t="shared" si="164"/>
        <v>5.9032212091029486</v>
      </c>
      <c r="AL180" s="20">
        <f t="shared" si="165"/>
        <v>41.499230205854936</v>
      </c>
      <c r="AM180" s="59">
        <f t="shared" si="113"/>
        <v>334.83256353918824</v>
      </c>
      <c r="AN180" s="59">
        <f ca="1">AVERAGE(OFFSET($AM$3,0,0,'Données projet'!$E$10+1,1))-AVERAGE(OFFSET($H$3,0,0,'Données projet'!$E$10+1,1))</f>
        <v>426.34811677569007</v>
      </c>
      <c r="AO180" s="59">
        <f t="shared" si="144"/>
        <v>209.65223938402107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111.42181786271793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111.42181786271793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19.8100000000004</v>
      </c>
      <c r="BE180" s="13">
        <f>BD180*VLOOKUP('Données projet'!$B$11,Paramètres!$A$1:$I$89,3,0)*VLOOKUP('Données projet'!$B$11,Paramètres!$A$1:$I$89,5,0)</f>
        <v>20.08734000000041</v>
      </c>
      <c r="BF180" s="13">
        <f t="shared" si="167"/>
        <v>6.5285137703520215</v>
      </c>
      <c r="BG180" s="20">
        <f t="shared" si="168"/>
        <v>46.355945316697152</v>
      </c>
      <c r="BH180" s="59">
        <f t="shared" si="116"/>
        <v>339.68927865003047</v>
      </c>
      <c r="BI180" s="59">
        <f ca="1">AVERAGE(OFFSET($BH$3,0,0,'Données projet'!$E$11+1,1))-AVERAGE(OFFSET($H$3,0,0,'Données projet'!$E$11+1,1))</f>
        <v>485.01379841128346</v>
      </c>
      <c r="BJ180" s="59">
        <f t="shared" si="146"/>
        <v>238.25679915866897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124.86927863925285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124.86927863925285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">
        <f t="shared" si="140"/>
        <v>23.505341669255241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6">
        <f t="shared" si="110"/>
        <v>483.38982007395271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763.00000000000057</v>
      </c>
      <c r="O181" s="13">
        <f>N181*VLOOKUP('Données projet'!$B$9,Paramètres!$A$1:$I$89,3,0)*VLOOKUP('Données projet'!$B$9,Paramètres!$A$1:$I$89,5,0)</f>
        <v>456.2740000000004</v>
      </c>
      <c r="P181" s="13">
        <f t="shared" si="141"/>
        <v>103.09649786611838</v>
      </c>
      <c r="Q181" s="20">
        <f t="shared" si="162"/>
        <v>974.23695045015677</v>
      </c>
      <c r="R181" s="59">
        <f t="shared" si="109"/>
        <v>1267.5702837834901</v>
      </c>
      <c r="S181" s="59">
        <f ca="1">AVERAGE(OFFSET($R$3,0,0,'Données projet'!$E$9+1,1))-AVERAGE(OFFSET($H$3,0,0,'Données projet'!$E$9+1,1))</f>
        <v>481.17250315093412</v>
      </c>
      <c r="T181" s="59">
        <f t="shared" si="142"/>
        <v>413.48123190206832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15.280805150833173</v>
      </c>
      <c r="AA181" s="21">
        <f>EXP(-LN(2)/25)*AA180+(1-EXP(-LN(2)/25))/(LN(2)/25)*Calculateur!V181*Calculateur!X181*VLOOKUP('Données projet'!$B$9,Paramètres!$A$1:$I$89,3,0)*0.475*44/12</f>
        <v>1.0804933093610063</v>
      </c>
      <c r="AB181" s="21">
        <f>EXP(-LN(2)/2)*AB180+(1-EXP(-LN(2)/2))/(LN(2)/2)*V181*Y181*VLOOKUP('Données projet'!$B$9,Paramètres!$A$1:$I$89,3,0)*0.475*44/12</f>
        <v>4.1582574215777605E-24</v>
      </c>
      <c r="AC181" s="22">
        <f t="shared" si="163"/>
        <v>16.361298460194178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19.8100000000004</v>
      </c>
      <c r="AJ181" s="13">
        <f>AI181*VLOOKUP('Données projet'!$B$10,Paramètres!$A$1:$I$89,3,0)*VLOOKUP('Données projet'!$B$10,Paramètres!$A$1:$I$89,5,0)</f>
        <v>17.924088000000364</v>
      </c>
      <c r="AK181" s="13">
        <f t="shared" si="164"/>
        <v>5.9032212091029486</v>
      </c>
      <c r="AL181" s="20">
        <f t="shared" si="165"/>
        <v>41.499230205854936</v>
      </c>
      <c r="AM181" s="59">
        <f t="shared" si="113"/>
        <v>334.83256353918824</v>
      </c>
      <c r="AN181" s="59">
        <f ca="1">AVERAGE(OFFSET($AM$3,0,0,'Données projet'!$E$10+1,1))-AVERAGE(OFFSET($H$3,0,0,'Données projet'!$E$10+1,1))</f>
        <v>426.34811677569007</v>
      </c>
      <c r="AO181" s="59">
        <f t="shared" si="144"/>
        <v>209.65223938402107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109.23690397502837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109.23690397502837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19.8100000000004</v>
      </c>
      <c r="BE181" s="13">
        <f>BD181*VLOOKUP('Données projet'!$B$11,Paramètres!$A$1:$I$89,3,0)*VLOOKUP('Données projet'!$B$11,Paramètres!$A$1:$I$89,5,0)</f>
        <v>20.08734000000041</v>
      </c>
      <c r="BF181" s="13">
        <f t="shared" si="167"/>
        <v>6.5285137703520215</v>
      </c>
      <c r="BG181" s="20">
        <f t="shared" si="168"/>
        <v>46.355945316697152</v>
      </c>
      <c r="BH181" s="59">
        <f t="shared" si="116"/>
        <v>339.68927865003047</v>
      </c>
      <c r="BI181" s="59">
        <f ca="1">AVERAGE(OFFSET($BH$3,0,0,'Données projet'!$E$11+1,1))-AVERAGE(OFFSET($H$3,0,0,'Données projet'!$E$11+1,1))</f>
        <v>485.01379841128346</v>
      </c>
      <c r="BJ181" s="59">
        <f t="shared" si="146"/>
        <v>238.25679915866897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122.42066824787663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122.42066824787663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">
        <f t="shared" si="140"/>
        <v>23.621985170303667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6">
        <f t="shared" si="110"/>
        <v>484.43071583827873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763.00000000000057</v>
      </c>
      <c r="O182" s="13">
        <f>N182*VLOOKUP('Données projet'!$B$9,Paramètres!$A$1:$I$89,3,0)*VLOOKUP('Données projet'!$B$9,Paramètres!$A$1:$I$89,5,0)</f>
        <v>456.2740000000004</v>
      </c>
      <c r="P182" s="13">
        <f t="shared" si="141"/>
        <v>103.09649786611838</v>
      </c>
      <c r="Q182" s="20">
        <f t="shared" si="162"/>
        <v>974.23695045015677</v>
      </c>
      <c r="R182" s="59">
        <f t="shared" si="109"/>
        <v>1267.5702837834901</v>
      </c>
      <c r="S182" s="59">
        <f ca="1">AVERAGE(OFFSET($R$3,0,0,'Données projet'!$E$9+1,1))-AVERAGE(OFFSET($H$3,0,0,'Données projet'!$E$9+1,1))</f>
        <v>481.17250315093412</v>
      </c>
      <c r="T182" s="59">
        <f t="shared" si="142"/>
        <v>413.48123190206832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14.981157882196166</v>
      </c>
      <c r="AA182" s="21">
        <f>EXP(-LN(2)/25)*AA181+(1-EXP(-LN(2)/25))/(LN(2)/25)*Calculateur!V182*Calculateur!X182*VLOOKUP('Données projet'!$B$9,Paramètres!$A$1:$I$89,3,0)*0.475*44/12</f>
        <v>1.050947162995856</v>
      </c>
      <c r="AB182" s="21">
        <f>EXP(-LN(2)/2)*AB181+(1-EXP(-LN(2)/2))/(LN(2)/2)*V182*Y182*VLOOKUP('Données projet'!$B$9,Paramètres!$A$1:$I$89,3,0)*0.475*44/12</f>
        <v>2.9403320207169228E-24</v>
      </c>
      <c r="AC182" s="22">
        <f t="shared" si="163"/>
        <v>16.032105045192022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19.8100000000004</v>
      </c>
      <c r="AJ182" s="13">
        <f>AI182*VLOOKUP('Données projet'!$B$10,Paramètres!$A$1:$I$89,3,0)*VLOOKUP('Données projet'!$B$10,Paramètres!$A$1:$I$89,5,0)</f>
        <v>17.924088000000364</v>
      </c>
      <c r="AK182" s="13">
        <f t="shared" si="164"/>
        <v>5.9032212091029486</v>
      </c>
      <c r="AL182" s="20">
        <f t="shared" si="165"/>
        <v>41.499230205854936</v>
      </c>
      <c r="AM182" s="59">
        <f t="shared" si="113"/>
        <v>334.83256353918824</v>
      </c>
      <c r="AN182" s="59">
        <f ca="1">AVERAGE(OFFSET($AM$3,0,0,'Données projet'!$E$10+1,1))-AVERAGE(OFFSET($H$3,0,0,'Données projet'!$E$10+1,1))</f>
        <v>426.34811677569007</v>
      </c>
      <c r="AO182" s="59">
        <f t="shared" si="144"/>
        <v>209.65223938402107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107.09483491601053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107.09483491601053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19.8100000000004</v>
      </c>
      <c r="BE182" s="13">
        <f>BD182*VLOOKUP('Données projet'!$B$11,Paramètres!$A$1:$I$89,3,0)*VLOOKUP('Données projet'!$B$11,Paramètres!$A$1:$I$89,5,0)</f>
        <v>20.08734000000041</v>
      </c>
      <c r="BF182" s="13">
        <f t="shared" si="167"/>
        <v>6.5285137703520215</v>
      </c>
      <c r="BG182" s="20">
        <f t="shared" si="168"/>
        <v>46.355945316697152</v>
      </c>
      <c r="BH182" s="59">
        <f t="shared" si="116"/>
        <v>339.68927865003047</v>
      </c>
      <c r="BI182" s="59">
        <f ca="1">AVERAGE(OFFSET($BH$3,0,0,'Données projet'!$E$11+1,1))-AVERAGE(OFFSET($H$3,0,0,'Données projet'!$E$11+1,1))</f>
        <v>485.01379841128346</v>
      </c>
      <c r="BJ182" s="59">
        <f t="shared" si="146"/>
        <v>238.25679915866897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120.02007361277043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120.02007361277043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">
        <f t="shared" si="140"/>
        <v>23.738552844733956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6">
        <f t="shared" si="110"/>
        <v>485.47147953791148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763.00000000000057</v>
      </c>
      <c r="O183" s="13">
        <f>N183*VLOOKUP('Données projet'!$B$9,Paramètres!$A$1:$I$89,3,0)*VLOOKUP('Données projet'!$B$9,Paramètres!$A$1:$I$89,5,0)</f>
        <v>456.2740000000004</v>
      </c>
      <c r="P183" s="13">
        <f t="shared" si="141"/>
        <v>103.09649786611838</v>
      </c>
      <c r="Q183" s="20">
        <f t="shared" si="162"/>
        <v>974.23695045015677</v>
      </c>
      <c r="R183" s="59">
        <f t="shared" si="109"/>
        <v>1267.5702837834901</v>
      </c>
      <c r="S183" s="59">
        <f ca="1">AVERAGE(OFFSET($R$3,0,0,'Données projet'!$E$9+1,1))-AVERAGE(OFFSET($H$3,0,0,'Données projet'!$E$9+1,1))</f>
        <v>481.17250315093412</v>
      </c>
      <c r="T183" s="59">
        <f t="shared" si="142"/>
        <v>413.48123190206832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14.687386513730344</v>
      </c>
      <c r="AA183" s="21">
        <f>EXP(-LN(2)/25)*AA182+(1-EXP(-LN(2)/25))/(LN(2)/25)*Calculateur!V183*Calculateur!X183*VLOOKUP('Données projet'!$B$9,Paramètres!$A$1:$I$89,3,0)*0.475*44/12</f>
        <v>1.0222089575568249</v>
      </c>
      <c r="AB183" s="21">
        <f>EXP(-LN(2)/2)*AB182+(1-EXP(-LN(2)/2))/(LN(2)/2)*V183*Y183*VLOOKUP('Données projet'!$B$9,Paramètres!$A$1:$I$89,3,0)*0.475*44/12</f>
        <v>2.0791287107888803E-24</v>
      </c>
      <c r="AC183" s="22">
        <f t="shared" si="163"/>
        <v>15.709595471287169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19.8100000000004</v>
      </c>
      <c r="AJ183" s="13">
        <f>AI183*VLOOKUP('Données projet'!$B$10,Paramètres!$A$1:$I$89,3,0)*VLOOKUP('Données projet'!$B$10,Paramètres!$A$1:$I$89,5,0)</f>
        <v>17.924088000000364</v>
      </c>
      <c r="AK183" s="13">
        <f t="shared" si="164"/>
        <v>5.9032212091029486</v>
      </c>
      <c r="AL183" s="20">
        <f t="shared" si="165"/>
        <v>41.499230205854936</v>
      </c>
      <c r="AM183" s="59">
        <f t="shared" si="113"/>
        <v>334.83256353918824</v>
      </c>
      <c r="AN183" s="59">
        <f ca="1">AVERAGE(OFFSET($AM$3,0,0,'Données projet'!$E$10+1,1))-AVERAGE(OFFSET($H$3,0,0,'Données projet'!$E$10+1,1))</f>
        <v>426.34811677569007</v>
      </c>
      <c r="AO183" s="59">
        <f t="shared" si="144"/>
        <v>209.65223938402107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104.99477052470691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104.99477052470691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19.8100000000004</v>
      </c>
      <c r="BE183" s="13">
        <f>BD183*VLOOKUP('Données projet'!$B$11,Paramètres!$A$1:$I$89,3,0)*VLOOKUP('Données projet'!$B$11,Paramètres!$A$1:$I$89,5,0)</f>
        <v>20.08734000000041</v>
      </c>
      <c r="BF183" s="13">
        <f t="shared" si="167"/>
        <v>6.5285137703520215</v>
      </c>
      <c r="BG183" s="20">
        <f t="shared" si="168"/>
        <v>46.355945316697152</v>
      </c>
      <c r="BH183" s="59">
        <f t="shared" si="116"/>
        <v>339.68927865003047</v>
      </c>
      <c r="BI183" s="59">
        <f ca="1">AVERAGE(OFFSET($BH$3,0,0,'Données projet'!$E$11+1,1))-AVERAGE(OFFSET($H$3,0,0,'Données projet'!$E$11+1,1))</f>
        <v>485.01379841128346</v>
      </c>
      <c r="BJ183" s="59">
        <f t="shared" si="146"/>
        <v>238.25679915866897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117.66655317424052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117.66655317424052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">
        <f t="shared" si="140"/>
        <v>23.855045162692459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6">
        <f t="shared" si="110"/>
        <v>486.51211199168915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763.00000000000057</v>
      </c>
      <c r="O184" s="13">
        <f>N184*VLOOKUP('Données projet'!$B$9,Paramètres!$A$1:$I$89,3,0)*VLOOKUP('Données projet'!$B$9,Paramètres!$A$1:$I$89,5,0)</f>
        <v>456.2740000000004</v>
      </c>
      <c r="P184" s="13">
        <f t="shared" si="141"/>
        <v>103.09649786611838</v>
      </c>
      <c r="Q184" s="20">
        <f t="shared" si="162"/>
        <v>974.23695045015677</v>
      </c>
      <c r="R184" s="59">
        <f t="shared" si="109"/>
        <v>1267.5702837834901</v>
      </c>
      <c r="S184" s="59">
        <f ca="1">AVERAGE(OFFSET($R$3,0,0,'Données projet'!$E$9+1,1))-AVERAGE(OFFSET($H$3,0,0,'Données projet'!$E$9+1,1))</f>
        <v>481.17250315093412</v>
      </c>
      <c r="T184" s="59">
        <f t="shared" si="142"/>
        <v>413.48123190206832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14.399375822617294</v>
      </c>
      <c r="AA184" s="21">
        <f>EXP(-LN(2)/25)*AA183+(1-EXP(-LN(2)/25))/(LN(2)/25)*Calculateur!V184*Calculateur!X184*VLOOKUP('Données projet'!$B$9,Paramètres!$A$1:$I$89,3,0)*0.475*44/12</f>
        <v>0.99425659985680082</v>
      </c>
      <c r="AB184" s="21">
        <f>EXP(-LN(2)/2)*AB183+(1-EXP(-LN(2)/2))/(LN(2)/2)*V184*Y184*VLOOKUP('Données projet'!$B$9,Paramètres!$A$1:$I$89,3,0)*0.475*44/12</f>
        <v>1.4701660103584614E-24</v>
      </c>
      <c r="AC184" s="22">
        <f t="shared" si="163"/>
        <v>15.393632422474095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19.8100000000004</v>
      </c>
      <c r="AJ184" s="13">
        <f>AI184*VLOOKUP('Données projet'!$B$10,Paramètres!$A$1:$I$89,3,0)*VLOOKUP('Données projet'!$B$10,Paramètres!$A$1:$I$89,5,0)</f>
        <v>17.924088000000364</v>
      </c>
      <c r="AK184" s="13">
        <f t="shared" si="164"/>
        <v>5.9032212091029486</v>
      </c>
      <c r="AL184" s="20">
        <f t="shared" si="165"/>
        <v>41.499230205854936</v>
      </c>
      <c r="AM184" s="59">
        <f t="shared" si="113"/>
        <v>334.83256353918824</v>
      </c>
      <c r="AN184" s="59">
        <f ca="1">AVERAGE(OFFSET($AM$3,0,0,'Données projet'!$E$10+1,1))-AVERAGE(OFFSET($H$3,0,0,'Données projet'!$E$10+1,1))</f>
        <v>426.34811677569007</v>
      </c>
      <c r="AO184" s="59">
        <f t="shared" si="144"/>
        <v>209.65223938402107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102.93588711520395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102.93588711520395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19.8100000000004</v>
      </c>
      <c r="BE184" s="13">
        <f>BD184*VLOOKUP('Données projet'!$B$11,Paramètres!$A$1:$I$89,3,0)*VLOOKUP('Données projet'!$B$11,Paramètres!$A$1:$I$89,5,0)</f>
        <v>20.08734000000041</v>
      </c>
      <c r="BF184" s="13">
        <f t="shared" si="167"/>
        <v>6.5285137703520215</v>
      </c>
      <c r="BG184" s="20">
        <f t="shared" si="168"/>
        <v>46.355945316697152</v>
      </c>
      <c r="BH184" s="59">
        <f t="shared" si="116"/>
        <v>339.68927865003047</v>
      </c>
      <c r="BI184" s="59">
        <f ca="1">AVERAGE(OFFSET($BH$3,0,0,'Données projet'!$E$11+1,1))-AVERAGE(OFFSET($H$3,0,0,'Données projet'!$E$11+1,1))</f>
        <v>485.01379841128346</v>
      </c>
      <c r="BJ184" s="59">
        <f t="shared" si="146"/>
        <v>238.25679915866897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115.35918383600445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115.35918383600445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">
        <f t="shared" si="140"/>
        <v>23.971462588829898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6">
        <f t="shared" si="110"/>
        <v>487.55261400887855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763.00000000000057</v>
      </c>
      <c r="O185" s="13">
        <f>N185*VLOOKUP('Données projet'!$B$9,Paramètres!$A$1:$I$89,3,0)*VLOOKUP('Données projet'!$B$9,Paramètres!$A$1:$I$89,5,0)</f>
        <v>456.2740000000004</v>
      </c>
      <c r="P185" s="13">
        <f t="shared" si="141"/>
        <v>103.09649786611838</v>
      </c>
      <c r="Q185" s="20">
        <f t="shared" si="162"/>
        <v>974.23695045015677</v>
      </c>
      <c r="R185" s="59">
        <f t="shared" si="109"/>
        <v>1267.5702837834901</v>
      </c>
      <c r="S185" s="59">
        <f ca="1">AVERAGE(OFFSET($R$3,0,0,'Données projet'!$E$9+1,1))-AVERAGE(OFFSET($H$3,0,0,'Données projet'!$E$9+1,1))</f>
        <v>481.17250315093412</v>
      </c>
      <c r="T185" s="59">
        <f t="shared" si="142"/>
        <v>413.48123190206832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14.117012845487796</v>
      </c>
      <c r="AA185" s="21">
        <f>EXP(-LN(2)/25)*AA184+(1-EXP(-LN(2)/25))/(LN(2)/25)*Calculateur!V185*Calculateur!X185*VLOOKUP('Données projet'!$B$9,Paramètres!$A$1:$I$89,3,0)*0.475*44/12</f>
        <v>0.96706860084803437</v>
      </c>
      <c r="AB185" s="21">
        <f>EXP(-LN(2)/2)*AB184+(1-EXP(-LN(2)/2))/(LN(2)/2)*V185*Y185*VLOOKUP('Données projet'!$B$9,Paramètres!$A$1:$I$89,3,0)*0.475*44/12</f>
        <v>1.0395643553944401E-24</v>
      </c>
      <c r="AC185" s="22">
        <f t="shared" si="163"/>
        <v>15.08408144633583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19.8100000000004</v>
      </c>
      <c r="AJ185" s="13">
        <f>AI185*VLOOKUP('Données projet'!$B$10,Paramètres!$A$1:$I$89,3,0)*VLOOKUP('Données projet'!$B$10,Paramètres!$A$1:$I$89,5,0)</f>
        <v>17.924088000000364</v>
      </c>
      <c r="AK185" s="13">
        <f t="shared" si="164"/>
        <v>5.9032212091029486</v>
      </c>
      <c r="AL185" s="20">
        <f t="shared" si="165"/>
        <v>41.499230205854936</v>
      </c>
      <c r="AM185" s="59">
        <f t="shared" si="113"/>
        <v>334.83256353918824</v>
      </c>
      <c r="AN185" s="59">
        <f ca="1">AVERAGE(OFFSET($AM$3,0,0,'Données projet'!$E$10+1,1))-AVERAGE(OFFSET($H$3,0,0,'Données projet'!$E$10+1,1))</f>
        <v>426.34811677569007</v>
      </c>
      <c r="AO185" s="59">
        <f t="shared" si="144"/>
        <v>209.65223938402107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100.91737715356648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100.91737715356648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19.8100000000004</v>
      </c>
      <c r="BE185" s="13">
        <f>BD185*VLOOKUP('Données projet'!$B$11,Paramètres!$A$1:$I$89,3,0)*VLOOKUP('Données projet'!$B$11,Paramètres!$A$1:$I$89,5,0)</f>
        <v>20.08734000000041</v>
      </c>
      <c r="BF185" s="13">
        <f t="shared" si="167"/>
        <v>6.5285137703520215</v>
      </c>
      <c r="BG185" s="20">
        <f t="shared" si="168"/>
        <v>46.355945316697152</v>
      </c>
      <c r="BH185" s="59">
        <f t="shared" si="116"/>
        <v>339.68927865003047</v>
      </c>
      <c r="BI185" s="59">
        <f ca="1">AVERAGE(OFFSET($BH$3,0,0,'Données projet'!$E$11+1,1))-AVERAGE(OFFSET($H$3,0,0,'Données projet'!$E$11+1,1))</f>
        <v>485.01379841128346</v>
      </c>
      <c r="BJ185" s="59">
        <f t="shared" si="146"/>
        <v>238.25679915866897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113.09706060313485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113.09706060313485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">
        <f t="shared" si="140"/>
        <v>24.087805582395383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6">
        <f t="shared" si="110"/>
        <v>488.59298638933842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763.00000000000057</v>
      </c>
      <c r="O186" s="13">
        <f>N186*VLOOKUP('Données projet'!$B$9,Paramètres!$A$1:$I$89,3,0)*VLOOKUP('Données projet'!$B$9,Paramètres!$A$1:$I$89,5,0)</f>
        <v>456.2740000000004</v>
      </c>
      <c r="P186" s="13">
        <f t="shared" si="141"/>
        <v>103.09649786611838</v>
      </c>
      <c r="Q186" s="20">
        <f t="shared" si="162"/>
        <v>974.23695045015677</v>
      </c>
      <c r="R186" s="59">
        <f t="shared" si="109"/>
        <v>1267.5702837834901</v>
      </c>
      <c r="S186" s="59">
        <f ca="1">AVERAGE(OFFSET($R$3,0,0,'Données projet'!$E$9+1,1))-AVERAGE(OFFSET($H$3,0,0,'Données projet'!$E$9+1,1))</f>
        <v>481.17250315093412</v>
      </c>
      <c r="T186" s="59">
        <f t="shared" si="142"/>
        <v>413.48123190206832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13.840186834115396</v>
      </c>
      <c r="AA186" s="21">
        <f>EXP(-LN(2)/25)*AA185+(1-EXP(-LN(2)/25))/(LN(2)/25)*Calculateur!V186*Calculateur!X186*VLOOKUP('Données projet'!$B$9,Paramètres!$A$1:$I$89,3,0)*0.475*44/12</f>
        <v>0.94062405910191738</v>
      </c>
      <c r="AB186" s="21">
        <f>EXP(-LN(2)/2)*AB185+(1-EXP(-LN(2)/2))/(LN(2)/2)*V186*Y186*VLOOKUP('Données projet'!$B$9,Paramètres!$A$1:$I$89,3,0)*0.475*44/12</f>
        <v>7.3508300517923071E-25</v>
      </c>
      <c r="AC186" s="22">
        <f t="shared" si="163"/>
        <v>14.780810893217314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19.8100000000004</v>
      </c>
      <c r="AJ186" s="13">
        <f>AI186*VLOOKUP('Données projet'!$B$10,Paramètres!$A$1:$I$89,3,0)*VLOOKUP('Données projet'!$B$10,Paramètres!$A$1:$I$89,5,0)</f>
        <v>17.924088000000364</v>
      </c>
      <c r="AK186" s="13">
        <f t="shared" si="164"/>
        <v>5.9032212091029486</v>
      </c>
      <c r="AL186" s="20">
        <f t="shared" si="165"/>
        <v>41.499230205854936</v>
      </c>
      <c r="AM186" s="59">
        <f t="shared" si="113"/>
        <v>334.83256353918824</v>
      </c>
      <c r="AN186" s="59">
        <f ca="1">AVERAGE(OFFSET($AM$3,0,0,'Données projet'!$E$10+1,1))-AVERAGE(OFFSET($H$3,0,0,'Données projet'!$E$10+1,1))</f>
        <v>426.34811677569007</v>
      </c>
      <c r="AO186" s="59">
        <f t="shared" si="144"/>
        <v>209.65223938402107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98.938448941107197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98.938448941107197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19.8100000000004</v>
      </c>
      <c r="BE186" s="13">
        <f>BD186*VLOOKUP('Données projet'!$B$11,Paramètres!$A$1:$I$89,3,0)*VLOOKUP('Données projet'!$B$11,Paramètres!$A$1:$I$89,5,0)</f>
        <v>20.08734000000041</v>
      </c>
      <c r="BF186" s="13">
        <f t="shared" si="167"/>
        <v>6.5285137703520215</v>
      </c>
      <c r="BG186" s="20">
        <f t="shared" si="168"/>
        <v>46.355945316697152</v>
      </c>
      <c r="BH186" s="59">
        <f t="shared" si="116"/>
        <v>339.68927865003047</v>
      </c>
      <c r="BI186" s="59">
        <f ca="1">AVERAGE(OFFSET($BH$3,0,0,'Données projet'!$E$11+1,1))-AVERAGE(OFFSET($H$3,0,0,'Données projet'!$E$11+1,1))</f>
        <v>485.01379841128346</v>
      </c>
      <c r="BJ186" s="59">
        <f t="shared" si="146"/>
        <v>238.25679915866897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110.8792962271029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110.8792962271029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">
        <f t="shared" si="140"/>
        <v>24.204074597328436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6">
        <f t="shared" si="110"/>
        <v>489.63322992368012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763.00000000000057</v>
      </c>
      <c r="O187" s="13">
        <f>N187*VLOOKUP('Données projet'!$B$9,Paramètres!$A$1:$I$89,3,0)*VLOOKUP('Données projet'!$B$9,Paramètres!$A$1:$I$89,5,0)</f>
        <v>456.2740000000004</v>
      </c>
      <c r="P187" s="13">
        <f t="shared" si="141"/>
        <v>103.09649786611838</v>
      </c>
      <c r="Q187" s="20">
        <f t="shared" si="162"/>
        <v>974.23695045015677</v>
      </c>
      <c r="R187" s="59">
        <f t="shared" si="109"/>
        <v>1267.5702837834901</v>
      </c>
      <c r="S187" s="59">
        <f ca="1">AVERAGE(OFFSET($R$3,0,0,'Données projet'!$E$9+1,1))-AVERAGE(OFFSET($H$3,0,0,'Données projet'!$E$9+1,1))</f>
        <v>481.17250315093412</v>
      </c>
      <c r="T187" s="59">
        <f t="shared" si="142"/>
        <v>413.48123190206832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13.568789211978816</v>
      </c>
      <c r="AA187" s="21">
        <f>EXP(-LN(2)/25)*AA186+(1-EXP(-LN(2)/25))/(LN(2)/25)*Calculateur!V187*Calculateur!X187*VLOOKUP('Données projet'!$B$9,Paramètres!$A$1:$I$89,3,0)*0.475*44/12</f>
        <v>0.91490264474050598</v>
      </c>
      <c r="AB187" s="21">
        <f>EXP(-LN(2)/2)*AB186+(1-EXP(-LN(2)/2))/(LN(2)/2)*V187*Y187*VLOOKUP('Données projet'!$B$9,Paramètres!$A$1:$I$89,3,0)*0.475*44/12</f>
        <v>5.1978217769722006E-25</v>
      </c>
      <c r="AC187" s="22">
        <f t="shared" si="163"/>
        <v>14.483691856719322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19.8100000000004</v>
      </c>
      <c r="AJ187" s="13">
        <f>AI187*VLOOKUP('Données projet'!$B$10,Paramètres!$A$1:$I$89,3,0)*VLOOKUP('Données projet'!$B$10,Paramètres!$A$1:$I$89,5,0)</f>
        <v>17.924088000000364</v>
      </c>
      <c r="AK187" s="13">
        <f t="shared" si="164"/>
        <v>5.9032212091029486</v>
      </c>
      <c r="AL187" s="20">
        <f t="shared" si="165"/>
        <v>41.499230205854936</v>
      </c>
      <c r="AM187" s="59">
        <f t="shared" si="113"/>
        <v>334.83256353918824</v>
      </c>
      <c r="AN187" s="59">
        <f ca="1">AVERAGE(OFFSET($AM$3,0,0,'Données projet'!$E$10+1,1))-AVERAGE(OFFSET($H$3,0,0,'Données projet'!$E$10+1,1))</f>
        <v>426.34811677569007</v>
      </c>
      <c r="AO187" s="59">
        <f t="shared" si="144"/>
        <v>209.65223938402107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96.998326303867216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96.998326303867216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19.8100000000004</v>
      </c>
      <c r="BE187" s="13">
        <f>BD187*VLOOKUP('Données projet'!$B$11,Paramètres!$A$1:$I$89,3,0)*VLOOKUP('Données projet'!$B$11,Paramètres!$A$1:$I$89,5,0)</f>
        <v>20.08734000000041</v>
      </c>
      <c r="BF187" s="13">
        <f t="shared" si="167"/>
        <v>6.5285137703520215</v>
      </c>
      <c r="BG187" s="20">
        <f t="shared" si="168"/>
        <v>46.355945316697152</v>
      </c>
      <c r="BH187" s="59">
        <f t="shared" si="116"/>
        <v>339.68927865003047</v>
      </c>
      <c r="BI187" s="59">
        <f ca="1">AVERAGE(OFFSET($BH$3,0,0,'Données projet'!$E$11+1,1))-AVERAGE(OFFSET($H$3,0,0,'Données projet'!$E$11+1,1))</f>
        <v>485.01379841128346</v>
      </c>
      <c r="BJ187" s="59">
        <f t="shared" si="146"/>
        <v>238.25679915866897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108.70502085778223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108.70502085778223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">
        <f t="shared" si="140"/>
        <v>24.320270082348852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6">
        <f t="shared" si="110"/>
        <v>490.67334539342403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763.00000000000057</v>
      </c>
      <c r="O188" s="13">
        <f>N188*VLOOKUP('Données projet'!$B$9,Paramètres!$A$1:$I$89,3,0)*VLOOKUP('Données projet'!$B$9,Paramètres!$A$1:$I$89,5,0)</f>
        <v>456.2740000000004</v>
      </c>
      <c r="P188" s="13">
        <f t="shared" si="141"/>
        <v>103.09649786611838</v>
      </c>
      <c r="Q188" s="20">
        <f t="shared" si="162"/>
        <v>974.23695045015677</v>
      </c>
      <c r="R188" s="59">
        <f t="shared" si="109"/>
        <v>1267.5702837834901</v>
      </c>
      <c r="S188" s="59">
        <f ca="1">AVERAGE(OFFSET($R$3,0,0,'Données projet'!$E$9+1,1))-AVERAGE(OFFSET($H$3,0,0,'Données projet'!$E$9+1,1))</f>
        <v>481.17250315093412</v>
      </c>
      <c r="T188" s="59">
        <f t="shared" si="142"/>
        <v>413.48123190206832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13.30271353167613</v>
      </c>
      <c r="AA188" s="21">
        <f>EXP(-LN(2)/25)*AA187+(1-EXP(-LN(2)/25))/(LN(2)/25)*Calculateur!V188*Calculateur!X188*VLOOKUP('Données projet'!$B$9,Paramètres!$A$1:$I$89,3,0)*0.475*44/12</f>
        <v>0.88988458380743785</v>
      </c>
      <c r="AB188" s="21">
        <f>EXP(-LN(2)/2)*AB187+(1-EXP(-LN(2)/2))/(LN(2)/2)*V188*Y188*VLOOKUP('Données projet'!$B$9,Paramètres!$A$1:$I$89,3,0)*0.475*44/12</f>
        <v>3.6754150258961536E-25</v>
      </c>
      <c r="AC188" s="22">
        <f t="shared" si="163"/>
        <v>14.192598115483568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19.8100000000004</v>
      </c>
      <c r="AJ188" s="13">
        <f>AI188*VLOOKUP('Données projet'!$B$10,Paramètres!$A$1:$I$89,3,0)*VLOOKUP('Données projet'!$B$10,Paramètres!$A$1:$I$89,5,0)</f>
        <v>17.924088000000364</v>
      </c>
      <c r="AK188" s="13">
        <f t="shared" si="164"/>
        <v>5.9032212091029486</v>
      </c>
      <c r="AL188" s="20">
        <f t="shared" si="165"/>
        <v>41.499230205854936</v>
      </c>
      <c r="AM188" s="59">
        <f t="shared" si="113"/>
        <v>334.83256353918824</v>
      </c>
      <c r="AN188" s="59">
        <f ca="1">AVERAGE(OFFSET($AM$3,0,0,'Données projet'!$E$10+1,1))-AVERAGE(OFFSET($H$3,0,0,'Données projet'!$E$10+1,1))</f>
        <v>426.34811677569007</v>
      </c>
      <c r="AO188" s="59">
        <f t="shared" si="144"/>
        <v>209.65223938402107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95.096248288185549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95.096248288185549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19.8100000000004</v>
      </c>
      <c r="BE188" s="13">
        <f>BD188*VLOOKUP('Données projet'!$B$11,Paramètres!$A$1:$I$89,3,0)*VLOOKUP('Données projet'!$B$11,Paramètres!$A$1:$I$89,5,0)</f>
        <v>20.08734000000041</v>
      </c>
      <c r="BF188" s="13">
        <f t="shared" si="167"/>
        <v>6.5285137703520215</v>
      </c>
      <c r="BG188" s="20">
        <f t="shared" si="168"/>
        <v>46.355945316697152</v>
      </c>
      <c r="BH188" s="59">
        <f t="shared" si="116"/>
        <v>339.68927865003047</v>
      </c>
      <c r="BI188" s="59">
        <f ca="1">AVERAGE(OFFSET($BH$3,0,0,'Données projet'!$E$11+1,1))-AVERAGE(OFFSET($H$3,0,0,'Données projet'!$E$11+1,1))</f>
        <v>485.01379841128346</v>
      </c>
      <c r="BJ188" s="59">
        <f t="shared" si="146"/>
        <v>238.25679915866897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106.57338170227692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106.57338170227692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">
        <f t="shared" si="140"/>
        <v>24.436392481044596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6">
        <f t="shared" si="110"/>
        <v>491.71333357115242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763.00000000000057</v>
      </c>
      <c r="O189" s="13">
        <f>N189*VLOOKUP('Données projet'!$B$9,Paramètres!$A$1:$I$89,3,0)*VLOOKUP('Données projet'!$B$9,Paramètres!$A$1:$I$89,5,0)</f>
        <v>456.2740000000004</v>
      </c>
      <c r="P189" s="13">
        <f t="shared" si="141"/>
        <v>103.09649786611838</v>
      </c>
      <c r="Q189" s="20">
        <f t="shared" si="162"/>
        <v>974.23695045015677</v>
      </c>
      <c r="R189" s="59">
        <f t="shared" si="109"/>
        <v>1267.5702837834901</v>
      </c>
      <c r="S189" s="59">
        <f ca="1">AVERAGE(OFFSET($R$3,0,0,'Données projet'!$E$9+1,1))-AVERAGE(OFFSET($H$3,0,0,'Données projet'!$E$9+1,1))</f>
        <v>481.17250315093412</v>
      </c>
      <c r="T189" s="59">
        <f t="shared" si="142"/>
        <v>413.48123190206832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13.041855433174039</v>
      </c>
      <c r="AA189" s="21">
        <f>EXP(-LN(2)/25)*AA188+(1-EXP(-LN(2)/25))/(LN(2)/25)*Calculateur!V189*Calculateur!X189*VLOOKUP('Données projet'!$B$9,Paramètres!$A$1:$I$89,3,0)*0.475*44/12</f>
        <v>0.86555064306622709</v>
      </c>
      <c r="AB189" s="21">
        <f>EXP(-LN(2)/2)*AB188+(1-EXP(-LN(2)/2))/(LN(2)/2)*V189*Y189*VLOOKUP('Données projet'!$B$9,Paramètres!$A$1:$I$89,3,0)*0.475*44/12</f>
        <v>2.5989108884861003E-25</v>
      </c>
      <c r="AC189" s="22">
        <f t="shared" si="163"/>
        <v>13.907406076240266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19.8100000000004</v>
      </c>
      <c r="AJ189" s="13">
        <f>AI189*VLOOKUP('Données projet'!$B$10,Paramètres!$A$1:$I$89,3,0)*VLOOKUP('Données projet'!$B$10,Paramètres!$A$1:$I$89,5,0)</f>
        <v>17.924088000000364</v>
      </c>
      <c r="AK189" s="13">
        <f t="shared" si="164"/>
        <v>5.9032212091029486</v>
      </c>
      <c r="AL189" s="20">
        <f t="shared" si="165"/>
        <v>41.499230205854936</v>
      </c>
      <c r="AM189" s="59">
        <f t="shared" si="113"/>
        <v>334.83256353918824</v>
      </c>
      <c r="AN189" s="59">
        <f ca="1">AVERAGE(OFFSET($AM$3,0,0,'Données projet'!$E$10+1,1))-AVERAGE(OFFSET($H$3,0,0,'Données projet'!$E$10+1,1))</f>
        <v>426.34811677569007</v>
      </c>
      <c r="AO189" s="59">
        <f t="shared" si="144"/>
        <v>209.65223938402107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93.231468862238373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93.231468862238373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19.8100000000004</v>
      </c>
      <c r="BE189" s="13">
        <f>BD189*VLOOKUP('Données projet'!$B$11,Paramètres!$A$1:$I$89,3,0)*VLOOKUP('Données projet'!$B$11,Paramètres!$A$1:$I$89,5,0)</f>
        <v>20.08734000000041</v>
      </c>
      <c r="BF189" s="13">
        <f t="shared" si="167"/>
        <v>6.5285137703520215</v>
      </c>
      <c r="BG189" s="20">
        <f t="shared" si="168"/>
        <v>46.355945316697152</v>
      </c>
      <c r="BH189" s="59">
        <f t="shared" si="116"/>
        <v>339.68927865003047</v>
      </c>
      <c r="BI189" s="59">
        <f ca="1">AVERAGE(OFFSET($BH$3,0,0,'Données projet'!$E$11+1,1))-AVERAGE(OFFSET($H$3,0,0,'Données projet'!$E$11+1,1))</f>
        <v>485.01379841128346</v>
      </c>
      <c r="BJ189" s="59">
        <f t="shared" si="146"/>
        <v>238.25679915866897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104.48354269043956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104.48354269043956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">
        <f t="shared" si="140"/>
        <v>24.552442231957805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6">
        <f t="shared" si="110"/>
        <v>492.75319522065962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763.00000000000057</v>
      </c>
      <c r="O190" s="13">
        <f>N190*VLOOKUP('Données projet'!$B$9,Paramètres!$A$1:$I$89,3,0)*VLOOKUP('Données projet'!$B$9,Paramètres!$A$1:$I$89,5,0)</f>
        <v>456.2740000000004</v>
      </c>
      <c r="P190" s="13">
        <f t="shared" si="141"/>
        <v>103.09649786611838</v>
      </c>
      <c r="Q190" s="20">
        <f t="shared" si="162"/>
        <v>974.23695045015677</v>
      </c>
      <c r="R190" s="59">
        <f t="shared" si="109"/>
        <v>1267.5702837834901</v>
      </c>
      <c r="S190" s="59">
        <f ca="1">AVERAGE(OFFSET($R$3,0,0,'Données projet'!$E$9+1,1))-AVERAGE(OFFSET($H$3,0,0,'Données projet'!$E$9+1,1))</f>
        <v>481.17250315093412</v>
      </c>
      <c r="T190" s="59">
        <f t="shared" si="142"/>
        <v>413.48123190206832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12.786112602875845</v>
      </c>
      <c r="AA190" s="21">
        <f>EXP(-LN(2)/25)*AA189+(1-EXP(-LN(2)/25))/(LN(2)/25)*Calculateur!V190*Calculateur!X190*VLOOKUP('Données projet'!$B$9,Paramètres!$A$1:$I$89,3,0)*0.475*44/12</f>
        <v>0.84188211521425105</v>
      </c>
      <c r="AB190" s="21">
        <f>EXP(-LN(2)/2)*AB189+(1-EXP(-LN(2)/2))/(LN(2)/2)*V190*Y190*VLOOKUP('Données projet'!$B$9,Paramètres!$A$1:$I$89,3,0)*0.475*44/12</f>
        <v>1.8377075129480768E-25</v>
      </c>
      <c r="AC190" s="22">
        <f t="shared" si="163"/>
        <v>13.627994718090095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19.8100000000004</v>
      </c>
      <c r="AJ190" s="13">
        <f>AI190*VLOOKUP('Données projet'!$B$10,Paramètres!$A$1:$I$89,3,0)*VLOOKUP('Données projet'!$B$10,Paramètres!$A$1:$I$89,5,0)</f>
        <v>17.924088000000364</v>
      </c>
      <c r="AK190" s="13">
        <f t="shared" si="164"/>
        <v>5.9032212091029486</v>
      </c>
      <c r="AL190" s="20">
        <f t="shared" si="165"/>
        <v>41.499230205854936</v>
      </c>
      <c r="AM190" s="59">
        <f t="shared" si="113"/>
        <v>334.83256353918824</v>
      </c>
      <c r="AN190" s="59">
        <f ca="1">AVERAGE(OFFSET($AM$3,0,0,'Données projet'!$E$10+1,1))-AVERAGE(OFFSET($H$3,0,0,'Données projet'!$E$10+1,1))</f>
        <v>426.34811677569007</v>
      </c>
      <c r="AO190" s="59">
        <f t="shared" si="144"/>
        <v>209.65223938402107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91.403256623430877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91.403256623430877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19.8100000000004</v>
      </c>
      <c r="BE190" s="13">
        <f>BD190*VLOOKUP('Données projet'!$B$11,Paramètres!$A$1:$I$89,3,0)*VLOOKUP('Données projet'!$B$11,Paramètres!$A$1:$I$89,5,0)</f>
        <v>20.08734000000041</v>
      </c>
      <c r="BF190" s="13">
        <f t="shared" si="167"/>
        <v>6.5285137703520215</v>
      </c>
      <c r="BG190" s="20">
        <f t="shared" si="168"/>
        <v>46.355945316697152</v>
      </c>
      <c r="BH190" s="59">
        <f t="shared" si="116"/>
        <v>339.68927865003047</v>
      </c>
      <c r="BI190" s="59">
        <f ca="1">AVERAGE(OFFSET($BH$3,0,0,'Données projet'!$E$11+1,1))-AVERAGE(OFFSET($H$3,0,0,'Données projet'!$E$11+1,1))</f>
        <v>485.01379841128346</v>
      </c>
      <c r="BJ190" s="59">
        <f t="shared" si="146"/>
        <v>238.25679915866897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102.4346841469484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102.4346841469484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">
        <f t="shared" si="140"/>
        <v>24.668419768668819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6">
        <f t="shared" si="110"/>
        <v>493.79293109709795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763.00000000000057</v>
      </c>
      <c r="O191" s="13">
        <f>N191*VLOOKUP('Données projet'!$B$9,Paramètres!$A$1:$I$89,3,0)*VLOOKUP('Données projet'!$B$9,Paramètres!$A$1:$I$89,5,0)</f>
        <v>456.2740000000004</v>
      </c>
      <c r="P191" s="13">
        <f t="shared" si="141"/>
        <v>103.09649786611838</v>
      </c>
      <c r="Q191" s="20">
        <f t="shared" si="162"/>
        <v>974.23695045015677</v>
      </c>
      <c r="R191" s="59">
        <f t="shared" si="109"/>
        <v>1267.5702837834901</v>
      </c>
      <c r="S191" s="59">
        <f ca="1">AVERAGE(OFFSET($R$3,0,0,'Données projet'!$E$9+1,1))-AVERAGE(OFFSET($H$3,0,0,'Données projet'!$E$9+1,1))</f>
        <v>481.17250315093412</v>
      </c>
      <c r="T191" s="59">
        <f t="shared" si="142"/>
        <v>413.48123190206832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12.535384733492073</v>
      </c>
      <c r="AA191" s="21">
        <f>EXP(-LN(2)/25)*AA190+(1-EXP(-LN(2)/25))/(LN(2)/25)*Calculateur!V191*Calculateur!X191*VLOOKUP('Données projet'!$B$9,Paramètres!$A$1:$I$89,3,0)*0.475*44/12</f>
        <v>0.81886080450106102</v>
      </c>
      <c r="AB191" s="21">
        <f>EXP(-LN(2)/2)*AB190+(1-EXP(-LN(2)/2))/(LN(2)/2)*V191*Y191*VLOOKUP('Données projet'!$B$9,Paramètres!$A$1:$I$89,3,0)*0.475*44/12</f>
        <v>1.2994554442430502E-25</v>
      </c>
      <c r="AC191" s="22">
        <f t="shared" si="163"/>
        <v>13.354245537993133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19.8100000000004</v>
      </c>
      <c r="AJ191" s="13">
        <f>AI191*VLOOKUP('Données projet'!$B$10,Paramètres!$A$1:$I$89,3,0)*VLOOKUP('Données projet'!$B$10,Paramètres!$A$1:$I$89,5,0)</f>
        <v>17.924088000000364</v>
      </c>
      <c r="AK191" s="13">
        <f t="shared" si="164"/>
        <v>5.9032212091029486</v>
      </c>
      <c r="AL191" s="20">
        <f t="shared" si="165"/>
        <v>41.499230205854936</v>
      </c>
      <c r="AM191" s="59">
        <f t="shared" si="113"/>
        <v>334.83256353918824</v>
      </c>
      <c r="AN191" s="59">
        <f ca="1">AVERAGE(OFFSET($AM$3,0,0,'Données projet'!$E$10+1,1))-AVERAGE(OFFSET($H$3,0,0,'Données projet'!$E$10+1,1))</f>
        <v>426.34811677569007</v>
      </c>
      <c r="AO191" s="59">
        <f t="shared" si="144"/>
        <v>209.65223938402107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89.610894511527036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89.610894511527036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19.8100000000004</v>
      </c>
      <c r="BE191" s="13">
        <f>BD191*VLOOKUP('Données projet'!$B$11,Paramètres!$A$1:$I$89,3,0)*VLOOKUP('Données projet'!$B$11,Paramètres!$A$1:$I$89,5,0)</f>
        <v>20.08734000000041</v>
      </c>
      <c r="BF191" s="13">
        <f t="shared" si="167"/>
        <v>6.5285137703520215</v>
      </c>
      <c r="BG191" s="20">
        <f t="shared" si="168"/>
        <v>46.355945316697152</v>
      </c>
      <c r="BH191" s="59">
        <f t="shared" si="116"/>
        <v>339.68927865003047</v>
      </c>
      <c r="BI191" s="59">
        <f ca="1">AVERAGE(OFFSET($BH$3,0,0,'Données projet'!$E$11+1,1))-AVERAGE(OFFSET($H$3,0,0,'Données projet'!$E$11+1,1))</f>
        <v>485.01379841128346</v>
      </c>
      <c r="BJ191" s="59">
        <f t="shared" si="146"/>
        <v>238.25679915866897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100.42600246981478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100.42600246981478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">
        <f t="shared" si="140"/>
        <v>24.784325519878397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6">
        <f t="shared" si="110"/>
        <v>494.83254194712129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763.00000000000057</v>
      </c>
      <c r="O192" s="13">
        <f>N192*VLOOKUP('Données projet'!$B$9,Paramètres!$A$1:$I$89,3,0)*VLOOKUP('Données projet'!$B$9,Paramètres!$A$1:$I$89,5,0)</f>
        <v>456.2740000000004</v>
      </c>
      <c r="P192" s="13">
        <f t="shared" si="141"/>
        <v>103.09649786611838</v>
      </c>
      <c r="Q192" s="20">
        <f t="shared" si="162"/>
        <v>974.23695045015677</v>
      </c>
      <c r="R192" s="59">
        <f t="shared" si="109"/>
        <v>1267.5702837834901</v>
      </c>
      <c r="S192" s="59">
        <f ca="1">AVERAGE(OFFSET($R$3,0,0,'Données projet'!$E$9+1,1))-AVERAGE(OFFSET($H$3,0,0,'Données projet'!$E$9+1,1))</f>
        <v>481.17250315093412</v>
      </c>
      <c r="T192" s="59">
        <f t="shared" si="142"/>
        <v>413.48123190206832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12.289573484698018</v>
      </c>
      <c r="AA192" s="21">
        <f>EXP(-LN(2)/25)*AA191+(1-EXP(-LN(2)/25))/(LN(2)/25)*Calculateur!V192*Calculateur!X192*VLOOKUP('Données projet'!$B$9,Paramètres!$A$1:$I$89,3,0)*0.475*44/12</f>
        <v>0.79646901273996129</v>
      </c>
      <c r="AB192" s="21">
        <f>EXP(-LN(2)/2)*AB191+(1-EXP(-LN(2)/2))/(LN(2)/2)*V192*Y192*VLOOKUP('Données projet'!$B$9,Paramètres!$A$1:$I$89,3,0)*0.475*44/12</f>
        <v>9.1885375647403839E-26</v>
      </c>
      <c r="AC192" s="22">
        <f t="shared" si="163"/>
        <v>13.08604249743798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19.8100000000004</v>
      </c>
      <c r="AJ192" s="13">
        <f>AI192*VLOOKUP('Données projet'!$B$10,Paramètres!$A$1:$I$89,3,0)*VLOOKUP('Données projet'!$B$10,Paramètres!$A$1:$I$89,5,0)</f>
        <v>17.924088000000364</v>
      </c>
      <c r="AK192" s="13">
        <f t="shared" si="164"/>
        <v>5.9032212091029486</v>
      </c>
      <c r="AL192" s="20">
        <f t="shared" si="165"/>
        <v>41.499230205854936</v>
      </c>
      <c r="AM192" s="59">
        <f t="shared" si="113"/>
        <v>334.83256353918824</v>
      </c>
      <c r="AN192" s="59">
        <f ca="1">AVERAGE(OFFSET($AM$3,0,0,'Données projet'!$E$10+1,1))-AVERAGE(OFFSET($H$3,0,0,'Données projet'!$E$10+1,1))</f>
        <v>426.34811677569007</v>
      </c>
      <c r="AO192" s="59">
        <f t="shared" si="144"/>
        <v>209.65223938402107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87.853679527404694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87.853679527404694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19.8100000000004</v>
      </c>
      <c r="BE192" s="13">
        <f>BD192*VLOOKUP('Données projet'!$B$11,Paramètres!$A$1:$I$89,3,0)*VLOOKUP('Données projet'!$B$11,Paramètres!$A$1:$I$89,5,0)</f>
        <v>20.08734000000041</v>
      </c>
      <c r="BF192" s="13">
        <f t="shared" si="167"/>
        <v>6.5285137703520215</v>
      </c>
      <c r="BG192" s="20">
        <f t="shared" si="168"/>
        <v>46.355945316697152</v>
      </c>
      <c r="BH192" s="59">
        <f t="shared" si="116"/>
        <v>339.68927865003047</v>
      </c>
      <c r="BI192" s="59">
        <f ca="1">AVERAGE(OFFSET($BH$3,0,0,'Données projet'!$E$11+1,1))-AVERAGE(OFFSET($H$3,0,0,'Données projet'!$E$11+1,1))</f>
        <v>485.01379841128346</v>
      </c>
      <c r="BJ192" s="59">
        <f t="shared" si="146"/>
        <v>238.25679915866897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98.456709815194898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98.456709815194898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">
        <f t="shared" si="140"/>
        <v>24.900159909488174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6">
        <f t="shared" si="110"/>
        <v>495.87202850902497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763.00000000000057</v>
      </c>
      <c r="O193" s="13">
        <f>N193*VLOOKUP('Données projet'!$B$9,Paramètres!$A$1:$I$89,3,0)*VLOOKUP('Données projet'!$B$9,Paramètres!$A$1:$I$89,5,0)</f>
        <v>456.2740000000004</v>
      </c>
      <c r="P193" s="13">
        <f t="shared" si="141"/>
        <v>103.09649786611838</v>
      </c>
      <c r="Q193" s="20">
        <f t="shared" si="162"/>
        <v>974.23695045015677</v>
      </c>
      <c r="R193" s="59">
        <f t="shared" si="109"/>
        <v>1267.5702837834901</v>
      </c>
      <c r="S193" s="59">
        <f ca="1">AVERAGE(OFFSET($R$3,0,0,'Données projet'!$E$9+1,1))-AVERAGE(OFFSET($H$3,0,0,'Données projet'!$E$9+1,1))</f>
        <v>481.17250315093412</v>
      </c>
      <c r="T193" s="59">
        <f t="shared" si="142"/>
        <v>413.48123190206832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12.048582444562756</v>
      </c>
      <c r="AA193" s="21">
        <f>EXP(-LN(2)/25)*AA192+(1-EXP(-LN(2)/25))/(LN(2)/25)*Calculateur!V193*Calculateur!X193*VLOOKUP('Données projet'!$B$9,Paramètres!$A$1:$I$89,3,0)*0.475*44/12</f>
        <v>0.77468952570210203</v>
      </c>
      <c r="AB193" s="21">
        <f>EXP(-LN(2)/2)*AB192+(1-EXP(-LN(2)/2))/(LN(2)/2)*V193*Y193*VLOOKUP('Données projet'!$B$9,Paramètres!$A$1:$I$89,3,0)*0.475*44/12</f>
        <v>6.4972772212152508E-26</v>
      </c>
      <c r="AC193" s="22">
        <f t="shared" si="163"/>
        <v>12.823271970264859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19.8100000000004</v>
      </c>
      <c r="AJ193" s="13">
        <f>AI193*VLOOKUP('Données projet'!$B$10,Paramètres!$A$1:$I$89,3,0)*VLOOKUP('Données projet'!$B$10,Paramètres!$A$1:$I$89,5,0)</f>
        <v>17.924088000000364</v>
      </c>
      <c r="AK193" s="13">
        <f t="shared" si="164"/>
        <v>5.9032212091029486</v>
      </c>
      <c r="AL193" s="20">
        <f t="shared" si="165"/>
        <v>41.499230205854936</v>
      </c>
      <c r="AM193" s="59">
        <f t="shared" si="113"/>
        <v>334.83256353918824</v>
      </c>
      <c r="AN193" s="59">
        <f ca="1">AVERAGE(OFFSET($AM$3,0,0,'Données projet'!$E$10+1,1))-AVERAGE(OFFSET($H$3,0,0,'Données projet'!$E$10+1,1))</f>
        <v>426.34811677569007</v>
      </c>
      <c r="AO193" s="59">
        <f t="shared" si="144"/>
        <v>209.65223938402107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86.130922457325681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86.130922457325681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19.8100000000004</v>
      </c>
      <c r="BE193" s="13">
        <f>BD193*VLOOKUP('Données projet'!$B$11,Paramètres!$A$1:$I$89,3,0)*VLOOKUP('Données projet'!$B$11,Paramètres!$A$1:$I$89,5,0)</f>
        <v>20.08734000000041</v>
      </c>
      <c r="BF193" s="13">
        <f t="shared" si="167"/>
        <v>6.5285137703520215</v>
      </c>
      <c r="BG193" s="20">
        <f t="shared" si="168"/>
        <v>46.355945316697152</v>
      </c>
      <c r="BH193" s="59">
        <f t="shared" si="116"/>
        <v>339.68927865003047</v>
      </c>
      <c r="BI193" s="59">
        <f ca="1">AVERAGE(OFFSET($BH$3,0,0,'Données projet'!$E$11+1,1))-AVERAGE(OFFSET($H$3,0,0,'Données projet'!$E$11+1,1))</f>
        <v>485.01379841128346</v>
      </c>
      <c r="BJ193" s="59">
        <f t="shared" si="146"/>
        <v>238.25679915866897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96.526033788382207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96.526033788382207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">
        <f t="shared" si="140"/>
        <v>25.015923356679352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6">
        <f t="shared" si="110"/>
        <v>496.91139151288291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763.00000000000057</v>
      </c>
      <c r="O194" s="13">
        <f>N194*VLOOKUP('Données projet'!$B$9,Paramètres!$A$1:$I$89,3,0)*VLOOKUP('Données projet'!$B$9,Paramètres!$A$1:$I$89,5,0)</f>
        <v>456.2740000000004</v>
      </c>
      <c r="P194" s="13">
        <f t="shared" si="141"/>
        <v>103.09649786611838</v>
      </c>
      <c r="Q194" s="20">
        <f t="shared" si="162"/>
        <v>974.23695045015677</v>
      </c>
      <c r="R194" s="59">
        <f t="shared" si="109"/>
        <v>1267.5702837834901</v>
      </c>
      <c r="S194" s="59">
        <f ca="1">AVERAGE(OFFSET($R$3,0,0,'Données projet'!$E$9+1,1))-AVERAGE(OFFSET($H$3,0,0,'Données projet'!$E$9+1,1))</f>
        <v>481.17250315093412</v>
      </c>
      <c r="T194" s="59">
        <f t="shared" si="142"/>
        <v>413.48123190206832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11.812317091734528</v>
      </c>
      <c r="AA194" s="21">
        <f>EXP(-LN(2)/25)*AA193+(1-EXP(-LN(2)/25))/(LN(2)/25)*Calculateur!V194*Calculateur!X194*VLOOKUP('Données projet'!$B$9,Paramètres!$A$1:$I$89,3,0)*0.475*44/12</f>
        <v>0.75350559988262644</v>
      </c>
      <c r="AB194" s="21">
        <f>EXP(-LN(2)/2)*AB193+(1-EXP(-LN(2)/2))/(LN(2)/2)*V194*Y194*VLOOKUP('Données projet'!$B$9,Paramètres!$A$1:$I$89,3,0)*0.475*44/12</f>
        <v>4.5942687823701919E-26</v>
      </c>
      <c r="AC194" s="22">
        <f t="shared" si="163"/>
        <v>12.565822691617154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19.8100000000004</v>
      </c>
      <c r="AJ194" s="13">
        <f>AI194*VLOOKUP('Données projet'!$B$10,Paramètres!$A$1:$I$89,3,0)*VLOOKUP('Données projet'!$B$10,Paramètres!$A$1:$I$89,5,0)</f>
        <v>17.924088000000364</v>
      </c>
      <c r="AK194" s="13">
        <f t="shared" si="164"/>
        <v>5.9032212091029486</v>
      </c>
      <c r="AL194" s="20">
        <f t="shared" si="165"/>
        <v>41.499230205854936</v>
      </c>
      <c r="AM194" s="59">
        <f t="shared" si="113"/>
        <v>334.83256353918824</v>
      </c>
      <c r="AN194" s="59">
        <f ca="1">AVERAGE(OFFSET($AM$3,0,0,'Données projet'!$E$10+1,1))-AVERAGE(OFFSET($H$3,0,0,'Données projet'!$E$10+1,1))</f>
        <v>426.34811677569007</v>
      </c>
      <c r="AO194" s="59">
        <f t="shared" si="144"/>
        <v>209.65223938402107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84.441947602612856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84.441947602612856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19.8100000000004</v>
      </c>
      <c r="BE194" s="13">
        <f>BD194*VLOOKUP('Données projet'!$B$11,Paramètres!$A$1:$I$89,3,0)*VLOOKUP('Données projet'!$B$11,Paramètres!$A$1:$I$89,5,0)</f>
        <v>20.08734000000041</v>
      </c>
      <c r="BF194" s="13">
        <f t="shared" si="167"/>
        <v>6.5285137703520215</v>
      </c>
      <c r="BG194" s="20">
        <f t="shared" si="168"/>
        <v>46.355945316697152</v>
      </c>
      <c r="BH194" s="59">
        <f t="shared" si="116"/>
        <v>339.68927865003047</v>
      </c>
      <c r="BI194" s="59">
        <f ca="1">AVERAGE(OFFSET($BH$3,0,0,'Données projet'!$E$11+1,1))-AVERAGE(OFFSET($H$3,0,0,'Données projet'!$E$11+1,1))</f>
        <v>485.01379841128346</v>
      </c>
      <c r="BJ194" s="59">
        <f t="shared" si="146"/>
        <v>238.25679915866897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94.633217140859216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94.633217140859216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">
        <f t="shared" si="140"/>
        <v>25.131616275989707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6">
        <f t="shared" si="110"/>
        <v>497.95063168068179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763.00000000000057</v>
      </c>
      <c r="O195" s="13">
        <f>N195*VLOOKUP('Données projet'!$B$9,Paramètres!$A$1:$I$89,3,0)*VLOOKUP('Données projet'!$B$9,Paramètres!$A$1:$I$89,5,0)</f>
        <v>456.2740000000004</v>
      </c>
      <c r="P195" s="13">
        <f t="shared" si="141"/>
        <v>103.09649786611838</v>
      </c>
      <c r="Q195" s="20">
        <f t="shared" si="162"/>
        <v>974.23695045015677</v>
      </c>
      <c r="R195" s="59">
        <f t="shared" ref="R195:R203" si="191">Q195+(I195+J195)*44/12</f>
        <v>1267.5702837834901</v>
      </c>
      <c r="S195" s="59">
        <f ca="1">AVERAGE(OFFSET($R$3,0,0,'Données projet'!$E$9+1,1))-AVERAGE(OFFSET($H$3,0,0,'Données projet'!$E$9+1,1))</f>
        <v>481.17250315093412</v>
      </c>
      <c r="T195" s="59">
        <f t="shared" si="142"/>
        <v>413.48123190206832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11.580684758367624</v>
      </c>
      <c r="AA195" s="21">
        <f>EXP(-LN(2)/25)*AA194+(1-EXP(-LN(2)/25))/(LN(2)/25)*Calculateur!V195*Calculateur!X195*VLOOKUP('Données projet'!$B$9,Paramètres!$A$1:$I$89,3,0)*0.475*44/12</f>
        <v>0.73290094962869867</v>
      </c>
      <c r="AB195" s="21">
        <f>EXP(-LN(2)/2)*AB194+(1-EXP(-LN(2)/2))/(LN(2)/2)*V195*Y195*VLOOKUP('Données projet'!$B$9,Paramètres!$A$1:$I$89,3,0)*0.475*44/12</f>
        <v>3.2486386106076254E-26</v>
      </c>
      <c r="AC195" s="22">
        <f t="shared" si="163"/>
        <v>12.313585707996323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19.8100000000004</v>
      </c>
      <c r="AJ195" s="13">
        <f>AI195*VLOOKUP('Données projet'!$B$10,Paramètres!$A$1:$I$89,3,0)*VLOOKUP('Données projet'!$B$10,Paramètres!$A$1:$I$89,5,0)</f>
        <v>17.924088000000364</v>
      </c>
      <c r="AK195" s="13">
        <f t="shared" si="164"/>
        <v>5.9032212091029486</v>
      </c>
      <c r="AL195" s="20">
        <f t="shared" si="165"/>
        <v>41.499230205854936</v>
      </c>
      <c r="AM195" s="59">
        <f t="shared" si="113"/>
        <v>334.83256353918824</v>
      </c>
      <c r="AN195" s="59">
        <f ca="1">AVERAGE(OFFSET($AM$3,0,0,'Données projet'!$E$10+1,1))-AVERAGE(OFFSET($H$3,0,0,'Données projet'!$E$10+1,1))</f>
        <v>426.34811677569007</v>
      </c>
      <c r="AO195" s="59">
        <f t="shared" si="144"/>
        <v>209.65223938402107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82.78609251462801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82.78609251462801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19.8100000000004</v>
      </c>
      <c r="BE195" s="13">
        <f>BD195*VLOOKUP('Données projet'!$B$11,Paramètres!$A$1:$I$89,3,0)*VLOOKUP('Données projet'!$B$11,Paramètres!$A$1:$I$89,5,0)</f>
        <v>20.08734000000041</v>
      </c>
      <c r="BF195" s="13">
        <f t="shared" si="167"/>
        <v>6.5285137703520215</v>
      </c>
      <c r="BG195" s="20">
        <f t="shared" si="168"/>
        <v>46.355945316697152</v>
      </c>
      <c r="BH195" s="59">
        <f t="shared" si="116"/>
        <v>339.68927865003047</v>
      </c>
      <c r="BI195" s="59">
        <f ca="1">AVERAGE(OFFSET($BH$3,0,0,'Données projet'!$E$11+1,1))-AVERAGE(OFFSET($H$3,0,0,'Données projet'!$E$11+1,1))</f>
        <v>485.01379841128346</v>
      </c>
      <c r="BJ195" s="59">
        <f t="shared" si="146"/>
        <v>238.25679915866897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92.77751747328999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92.77751747328999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">
        <f t="shared" si="140"/>
        <v>25.247239077388915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6">
        <f t="shared" ref="H196:H203" si="192">(B196+E196+F196)*44/12+(C196+D196)*0.475*44/12</f>
        <v>498.98974972645203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763.00000000000057</v>
      </c>
      <c r="O196" s="13">
        <f>N196*VLOOKUP('Données projet'!$B$9,Paramètres!$A$1:$I$89,3,0)*VLOOKUP('Données projet'!$B$9,Paramètres!$A$1:$I$89,5,0)</f>
        <v>456.2740000000004</v>
      </c>
      <c r="P196" s="13">
        <f t="shared" si="141"/>
        <v>103.09649786611838</v>
      </c>
      <c r="Q196" s="20">
        <f t="shared" si="162"/>
        <v>974.23695045015677</v>
      </c>
      <c r="R196" s="59">
        <f t="shared" si="191"/>
        <v>1267.5702837834901</v>
      </c>
      <c r="S196" s="59">
        <f ca="1">AVERAGE(OFFSET($R$3,0,0,'Données projet'!$E$9+1,1))-AVERAGE(OFFSET($H$3,0,0,'Données projet'!$E$9+1,1))</f>
        <v>481.17250315093412</v>
      </c>
      <c r="T196" s="59">
        <f t="shared" si="142"/>
        <v>413.48123190206832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11.353594593776274</v>
      </c>
      <c r="AA196" s="21">
        <f>EXP(-LN(2)/25)*AA195+(1-EXP(-LN(2)/25))/(LN(2)/25)*Calculateur!V196*Calculateur!X196*VLOOKUP('Données projet'!$B$9,Paramètres!$A$1:$I$89,3,0)*0.475*44/12</f>
        <v>0.71285973461951602</v>
      </c>
      <c r="AB196" s="21">
        <f>EXP(-LN(2)/2)*AB195+(1-EXP(-LN(2)/2))/(LN(2)/2)*V196*Y196*VLOOKUP('Données projet'!$B$9,Paramètres!$A$1:$I$89,3,0)*0.475*44/12</f>
        <v>2.297134391185096E-26</v>
      </c>
      <c r="AC196" s="22">
        <f t="shared" si="163"/>
        <v>12.066454328395789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19.8100000000004</v>
      </c>
      <c r="AJ196" s="13">
        <f>AI196*VLOOKUP('Données projet'!$B$10,Paramètres!$A$1:$I$89,3,0)*VLOOKUP('Données projet'!$B$10,Paramètres!$A$1:$I$89,5,0)</f>
        <v>17.924088000000364</v>
      </c>
      <c r="AK196" s="13">
        <f t="shared" si="164"/>
        <v>5.9032212091029486</v>
      </c>
      <c r="AL196" s="20">
        <f t="shared" si="165"/>
        <v>41.499230205854936</v>
      </c>
      <c r="AM196" s="59">
        <f t="shared" ref="AM196:AM203" si="193">AL196+(AD196+AE196)*44/12</f>
        <v>334.83256353918824</v>
      </c>
      <c r="AN196" s="59">
        <f ca="1">AVERAGE(OFFSET($AM$3,0,0,'Données projet'!$E$10+1,1))-AVERAGE(OFFSET($H$3,0,0,'Données projet'!$E$10+1,1))</f>
        <v>426.34811677569007</v>
      </c>
      <c r="AO196" s="59">
        <f t="shared" si="144"/>
        <v>209.65223938402107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81.162707734946665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81.162707734946665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19.8100000000004</v>
      </c>
      <c r="BE196" s="13">
        <f>BD196*VLOOKUP('Données projet'!$B$11,Paramètres!$A$1:$I$89,3,0)*VLOOKUP('Données projet'!$B$11,Paramètres!$A$1:$I$89,5,0)</f>
        <v>20.08734000000041</v>
      </c>
      <c r="BF196" s="13">
        <f t="shared" si="167"/>
        <v>6.5285137703520215</v>
      </c>
      <c r="BG196" s="20">
        <f t="shared" si="168"/>
        <v>46.355945316697152</v>
      </c>
      <c r="BH196" s="59">
        <f t="shared" ref="BH196:BH203" si="194">BG196+(AY196+AZ196)*44/12</f>
        <v>339.68927865003047</v>
      </c>
      <c r="BI196" s="59">
        <f ca="1">AVERAGE(OFFSET($BH$3,0,0,'Données projet'!$E$11+1,1))-AVERAGE(OFFSET($H$3,0,0,'Données projet'!$E$11+1,1))</f>
        <v>485.01379841128346</v>
      </c>
      <c r="BJ196" s="59">
        <f t="shared" si="146"/>
        <v>238.25679915866897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90.958206944336766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90.958206944336766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">
        <f t="shared" ref="D197:D203" si="202">IFERROR(EXP(-1.0587+0.8836*LN(C197)+0.284),0)</f>
        <v>25.362792166352278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6">
        <f t="shared" si="192"/>
        <v>500.0287463563966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763.00000000000057</v>
      </c>
      <c r="O197" s="13">
        <f>N197*VLOOKUP('Données projet'!$B$9,Paramètres!$A$1:$I$89,3,0)*VLOOKUP('Données projet'!$B$9,Paramètres!$A$1:$I$89,5,0)</f>
        <v>456.2740000000004</v>
      </c>
      <c r="P197" s="13">
        <f t="shared" ref="P197:P203" si="203">EXP(-1.0587+0.8836*LN(O197)+0.284)</f>
        <v>103.09649786611838</v>
      </c>
      <c r="Q197" s="20">
        <f t="shared" si="162"/>
        <v>974.23695045015677</v>
      </c>
      <c r="R197" s="59">
        <f t="shared" si="191"/>
        <v>1267.5702837834901</v>
      </c>
      <c r="S197" s="59">
        <f ca="1">AVERAGE(OFFSET($R$3,0,0,'Données projet'!$E$9+1,1))-AVERAGE(OFFSET($H$3,0,0,'Données projet'!$E$9+1,1))</f>
        <v>481.17250315093412</v>
      </c>
      <c r="T197" s="59">
        <f t="shared" ref="T197:T203" si="204">$T$3</f>
        <v>413.48123190206832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11.130957528801236</v>
      </c>
      <c r="AA197" s="21">
        <f>EXP(-LN(2)/25)*AA196+(1-EXP(-LN(2)/25))/(LN(2)/25)*Calculateur!V197*Calculateur!X197*VLOOKUP('Données projet'!$B$9,Paramètres!$A$1:$I$89,3,0)*0.475*44/12</f>
        <v>0.69336654768868122</v>
      </c>
      <c r="AB197" s="21">
        <f>EXP(-LN(2)/2)*AB196+(1-EXP(-LN(2)/2))/(LN(2)/2)*V197*Y197*VLOOKUP('Données projet'!$B$9,Paramètres!$A$1:$I$89,3,0)*0.475*44/12</f>
        <v>1.6243193053038127E-26</v>
      </c>
      <c r="AC197" s="22">
        <f t="shared" si="163"/>
        <v>11.824324076489917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19.8100000000004</v>
      </c>
      <c r="AJ197" s="13">
        <f>AI197*VLOOKUP('Données projet'!$B$10,Paramètres!$A$1:$I$89,3,0)*VLOOKUP('Données projet'!$B$10,Paramètres!$A$1:$I$89,5,0)</f>
        <v>17.924088000000364</v>
      </c>
      <c r="AK197" s="13">
        <f t="shared" si="164"/>
        <v>5.9032212091029486</v>
      </c>
      <c r="AL197" s="20">
        <f t="shared" si="165"/>
        <v>41.499230205854936</v>
      </c>
      <c r="AM197" s="59">
        <f t="shared" si="193"/>
        <v>334.83256353918824</v>
      </c>
      <c r="AN197" s="59">
        <f ca="1">AVERAGE(OFFSET($AM$3,0,0,'Données projet'!$E$10+1,1))-AVERAGE(OFFSET($H$3,0,0,'Données projet'!$E$10+1,1))</f>
        <v>426.34811677569007</v>
      </c>
      <c r="AO197" s="59">
        <f t="shared" ref="AO197:AO203" si="205">$AO$3</f>
        <v>209.65223938402107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79.571156540627925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79.571156540627925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19.8100000000004</v>
      </c>
      <c r="BE197" s="13">
        <f>BD197*VLOOKUP('Données projet'!$B$11,Paramètres!$A$1:$I$89,3,0)*VLOOKUP('Données projet'!$B$11,Paramètres!$A$1:$I$89,5,0)</f>
        <v>20.08734000000041</v>
      </c>
      <c r="BF197" s="13">
        <f t="shared" si="167"/>
        <v>6.5285137703520215</v>
      </c>
      <c r="BG197" s="20">
        <f t="shared" si="168"/>
        <v>46.355945316697152</v>
      </c>
      <c r="BH197" s="59">
        <f t="shared" si="194"/>
        <v>339.68927865003047</v>
      </c>
      <c r="BI197" s="59">
        <f ca="1">AVERAGE(OFFSET($BH$3,0,0,'Données projet'!$E$11+1,1))-AVERAGE(OFFSET($H$3,0,0,'Données projet'!$E$11+1,1))</f>
        <v>485.01379841128346</v>
      </c>
      <c r="BJ197" s="59">
        <f t="shared" ref="BJ197:BJ203" si="206">$BJ$3</f>
        <v>238.25679915866897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89.174571985186461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89.174571985186461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">
        <f t="shared" si="202"/>
        <v>25.478275943932946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6">
        <f t="shared" si="192"/>
        <v>501.06762226901623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763.00000000000057</v>
      </c>
      <c r="O198" s="13">
        <f>N198*VLOOKUP('Données projet'!$B$9,Paramètres!$A$1:$I$89,3,0)*VLOOKUP('Données projet'!$B$9,Paramètres!$A$1:$I$89,5,0)</f>
        <v>456.2740000000004</v>
      </c>
      <c r="P198" s="13">
        <f t="shared" si="203"/>
        <v>103.09649786611838</v>
      </c>
      <c r="Q198" s="20">
        <f t="shared" si="162"/>
        <v>974.23695045015677</v>
      </c>
      <c r="R198" s="59">
        <f t="shared" si="191"/>
        <v>1267.5702837834901</v>
      </c>
      <c r="S198" s="59">
        <f ca="1">AVERAGE(OFFSET($R$3,0,0,'Données projet'!$E$9+1,1))-AVERAGE(OFFSET($H$3,0,0,'Données projet'!$E$9+1,1))</f>
        <v>481.17250315093412</v>
      </c>
      <c r="T198" s="59">
        <f t="shared" si="204"/>
        <v>413.48123190206832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10.912686240875157</v>
      </c>
      <c r="AA198" s="21">
        <f>EXP(-LN(2)/25)*AA197+(1-EXP(-LN(2)/25))/(LN(2)/25)*Calculateur!V198*Calculateur!X198*VLOOKUP('Données projet'!$B$9,Paramètres!$A$1:$I$89,3,0)*0.475*44/12</f>
        <v>0.67440640297957222</v>
      </c>
      <c r="AB198" s="21">
        <f>EXP(-LN(2)/2)*AB197+(1-EXP(-LN(2)/2))/(LN(2)/2)*V198*Y198*VLOOKUP('Données projet'!$B$9,Paramètres!$A$1:$I$89,3,0)*0.475*44/12</f>
        <v>1.148567195592548E-26</v>
      </c>
      <c r="AC198" s="22">
        <f t="shared" si="163"/>
        <v>11.58709264385473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19.8100000000004</v>
      </c>
      <c r="AJ198" s="13">
        <f>AI198*VLOOKUP('Données projet'!$B$10,Paramètres!$A$1:$I$89,3,0)*VLOOKUP('Données projet'!$B$10,Paramètres!$A$1:$I$89,5,0)</f>
        <v>17.924088000000364</v>
      </c>
      <c r="AK198" s="13">
        <f t="shared" si="164"/>
        <v>5.9032212091029486</v>
      </c>
      <c r="AL198" s="20">
        <f t="shared" si="165"/>
        <v>41.499230205854936</v>
      </c>
      <c r="AM198" s="59">
        <f t="shared" si="193"/>
        <v>334.83256353918824</v>
      </c>
      <c r="AN198" s="59">
        <f ca="1">AVERAGE(OFFSET($AM$3,0,0,'Données projet'!$E$10+1,1))-AVERAGE(OFFSET($H$3,0,0,'Données projet'!$E$10+1,1))</f>
        <v>426.34811677569007</v>
      </c>
      <c r="AO198" s="59">
        <f t="shared" si="205"/>
        <v>209.65223938402107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78.010814694479407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78.010814694479407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19.8100000000004</v>
      </c>
      <c r="BE198" s="13">
        <f>BD198*VLOOKUP('Données projet'!$B$11,Paramètres!$A$1:$I$89,3,0)*VLOOKUP('Données projet'!$B$11,Paramètres!$A$1:$I$89,5,0)</f>
        <v>20.08734000000041</v>
      </c>
      <c r="BF198" s="13">
        <f t="shared" si="167"/>
        <v>6.5285137703520215</v>
      </c>
      <c r="BG198" s="20">
        <f t="shared" si="168"/>
        <v>46.355945316697152</v>
      </c>
      <c r="BH198" s="59">
        <f t="shared" si="194"/>
        <v>339.68927865003047</v>
      </c>
      <c r="BI198" s="59">
        <f ca="1">AVERAGE(OFFSET($BH$3,0,0,'Données projet'!$E$11+1,1))-AVERAGE(OFFSET($H$3,0,0,'Données projet'!$E$11+1,1))</f>
        <v>485.01379841128346</v>
      </c>
      <c r="BJ198" s="59">
        <f t="shared" si="206"/>
        <v>238.25679915866897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87.425913019675193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87.425913019675193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">
        <f t="shared" si="202"/>
        <v>25.593690806832573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6">
        <f t="shared" si="192"/>
        <v>502.10637815523307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763.00000000000057</v>
      </c>
      <c r="O199" s="13">
        <f>N199*VLOOKUP('Données projet'!$B$9,Paramètres!$A$1:$I$89,3,0)*VLOOKUP('Données projet'!$B$9,Paramètres!$A$1:$I$89,5,0)</f>
        <v>456.2740000000004</v>
      </c>
      <c r="P199" s="13">
        <f t="shared" si="203"/>
        <v>103.09649786611838</v>
      </c>
      <c r="Q199" s="20">
        <f t="shared" si="162"/>
        <v>974.23695045015677</v>
      </c>
      <c r="R199" s="59">
        <f t="shared" si="191"/>
        <v>1267.5702837834901</v>
      </c>
      <c r="S199" s="59">
        <f ca="1">AVERAGE(OFFSET($R$3,0,0,'Données projet'!$E$9+1,1))-AVERAGE(OFFSET($H$3,0,0,'Données projet'!$E$9+1,1))</f>
        <v>481.17250315093412</v>
      </c>
      <c r="T199" s="59">
        <f t="shared" si="204"/>
        <v>413.48123190206832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10.698695119772969</v>
      </c>
      <c r="AA199" s="21">
        <f>EXP(-LN(2)/25)*AA198+(1-EXP(-LN(2)/25))/(LN(2)/25)*Calculateur!V199*Calculateur!X199*VLOOKUP('Données projet'!$B$9,Paramètres!$A$1:$I$89,3,0)*0.475*44/12</f>
        <v>0.65596472442460441</v>
      </c>
      <c r="AB199" s="21">
        <f>EXP(-LN(2)/2)*AB198+(1-EXP(-LN(2)/2))/(LN(2)/2)*V199*Y199*VLOOKUP('Données projet'!$B$9,Paramètres!$A$1:$I$89,3,0)*0.475*44/12</f>
        <v>8.1215965265190635E-27</v>
      </c>
      <c r="AC199" s="22">
        <f t="shared" si="163"/>
        <v>11.354659844197574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19.8100000000004</v>
      </c>
      <c r="AJ199" s="13">
        <f>AI199*VLOOKUP('Données projet'!$B$10,Paramètres!$A$1:$I$89,3,0)*VLOOKUP('Données projet'!$B$10,Paramètres!$A$1:$I$89,5,0)</f>
        <v>17.924088000000364</v>
      </c>
      <c r="AK199" s="13">
        <f t="shared" si="164"/>
        <v>5.9032212091029486</v>
      </c>
      <c r="AL199" s="20">
        <f t="shared" si="165"/>
        <v>41.499230205854936</v>
      </c>
      <c r="AM199" s="59">
        <f t="shared" si="193"/>
        <v>334.83256353918824</v>
      </c>
      <c r="AN199" s="59">
        <f ca="1">AVERAGE(OFFSET($AM$3,0,0,'Données projet'!$E$10+1,1))-AVERAGE(OFFSET($H$3,0,0,'Données projet'!$E$10+1,1))</f>
        <v>426.34811677569007</v>
      </c>
      <c r="AO199" s="59">
        <f t="shared" si="205"/>
        <v>209.65223938402107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76.481070200219307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76.481070200219307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19.8100000000004</v>
      </c>
      <c r="BE199" s="13">
        <f>BD199*VLOOKUP('Données projet'!$B$11,Paramètres!$A$1:$I$89,3,0)*VLOOKUP('Données projet'!$B$11,Paramètres!$A$1:$I$89,5,0)</f>
        <v>20.08734000000041</v>
      </c>
      <c r="BF199" s="13">
        <f t="shared" si="167"/>
        <v>6.5285137703520215</v>
      </c>
      <c r="BG199" s="20">
        <f t="shared" si="168"/>
        <v>46.355945316697152</v>
      </c>
      <c r="BH199" s="59">
        <f t="shared" si="194"/>
        <v>339.68927865003047</v>
      </c>
      <c r="BI199" s="59">
        <f ca="1">AVERAGE(OFFSET($BH$3,0,0,'Données projet'!$E$11+1,1))-AVERAGE(OFFSET($H$3,0,0,'Données projet'!$E$11+1,1))</f>
        <v>485.01379841128346</v>
      </c>
      <c r="BJ199" s="59">
        <f t="shared" si="206"/>
        <v>238.25679915866897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85.711544189900948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85.711544189900948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">
        <f t="shared" si="202"/>
        <v>25.709037147470404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6">
        <f t="shared" si="192"/>
        <v>503.14501469851064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763.00000000000057</v>
      </c>
      <c r="O200" s="13">
        <f>N200*VLOOKUP('Données projet'!$B$9,Paramètres!$A$1:$I$89,3,0)*VLOOKUP('Données projet'!$B$9,Paramètres!$A$1:$I$89,5,0)</f>
        <v>456.2740000000004</v>
      </c>
      <c r="P200" s="13">
        <f t="shared" si="203"/>
        <v>103.09649786611838</v>
      </c>
      <c r="Q200" s="20">
        <f t="shared" si="162"/>
        <v>974.23695045015677</v>
      </c>
      <c r="R200" s="59">
        <f t="shared" si="191"/>
        <v>1267.5702837834901</v>
      </c>
      <c r="S200" s="59">
        <f ca="1">AVERAGE(OFFSET($R$3,0,0,'Données projet'!$E$9+1,1))-AVERAGE(OFFSET($H$3,0,0,'Données projet'!$E$9+1,1))</f>
        <v>481.17250315093412</v>
      </c>
      <c r="T200" s="59">
        <f t="shared" si="204"/>
        <v>413.48123190206832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10.488900234033899</v>
      </c>
      <c r="AA200" s="21">
        <f>EXP(-LN(2)/25)*AA199+(1-EXP(-LN(2)/25))/(LN(2)/25)*Calculateur!V200*Calculateur!X200*VLOOKUP('Données projet'!$B$9,Paramètres!$A$1:$I$89,3,0)*0.475*44/12</f>
        <v>0.63802733453952798</v>
      </c>
      <c r="AB200" s="21">
        <f>EXP(-LN(2)/2)*AB199+(1-EXP(-LN(2)/2))/(LN(2)/2)*V200*Y200*VLOOKUP('Données projet'!$B$9,Paramètres!$A$1:$I$89,3,0)*0.475*44/12</f>
        <v>5.7428359779627399E-27</v>
      </c>
      <c r="AC200" s="22">
        <f t="shared" si="163"/>
        <v>11.126927568573427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19.8100000000004</v>
      </c>
      <c r="AJ200" s="13">
        <f>AI200*VLOOKUP('Données projet'!$B$10,Paramètres!$A$1:$I$89,3,0)*VLOOKUP('Données projet'!$B$10,Paramètres!$A$1:$I$89,5,0)</f>
        <v>17.924088000000364</v>
      </c>
      <c r="AK200" s="13">
        <f t="shared" si="164"/>
        <v>5.9032212091029486</v>
      </c>
      <c r="AL200" s="20">
        <f t="shared" si="165"/>
        <v>41.499230205854936</v>
      </c>
      <c r="AM200" s="59">
        <f t="shared" si="193"/>
        <v>334.83256353918824</v>
      </c>
      <c r="AN200" s="59">
        <f ca="1">AVERAGE(OFFSET($AM$3,0,0,'Données projet'!$E$10+1,1))-AVERAGE(OFFSET($H$3,0,0,'Données projet'!$E$10+1,1))</f>
        <v>426.34811677569007</v>
      </c>
      <c r="AO200" s="59">
        <f t="shared" si="205"/>
        <v>209.65223938402107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74.981323062439643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74.981323062439643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19.8100000000004</v>
      </c>
      <c r="BE200" s="13">
        <f>BD200*VLOOKUP('Données projet'!$B$11,Paramètres!$A$1:$I$89,3,0)*VLOOKUP('Données projet'!$B$11,Paramètres!$A$1:$I$89,5,0)</f>
        <v>20.08734000000041</v>
      </c>
      <c r="BF200" s="13">
        <f t="shared" si="167"/>
        <v>6.5285137703520215</v>
      </c>
      <c r="BG200" s="20">
        <f t="shared" si="168"/>
        <v>46.355945316697152</v>
      </c>
      <c r="BH200" s="59">
        <f t="shared" si="194"/>
        <v>339.68927865003047</v>
      </c>
      <c r="BI200" s="59">
        <f ca="1">AVERAGE(OFFSET($BH$3,0,0,'Données projet'!$E$11+1,1))-AVERAGE(OFFSET($H$3,0,0,'Données projet'!$E$11+1,1))</f>
        <v>485.01379841128346</v>
      </c>
      <c r="BJ200" s="59">
        <f t="shared" si="206"/>
        <v>238.25679915866897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84.030793087216836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84.030793087216836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">
        <f t="shared" si="202"/>
        <v>25.824315354051095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6">
        <f t="shared" si="192"/>
        <v>504.18353257497199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763.00000000000057</v>
      </c>
      <c r="O201" s="13">
        <f>N201*VLOOKUP('Données projet'!$B$9,Paramètres!$A$1:$I$89,3,0)*VLOOKUP('Données projet'!$B$9,Paramètres!$A$1:$I$89,5,0)</f>
        <v>456.2740000000004</v>
      </c>
      <c r="P201" s="13">
        <f t="shared" si="203"/>
        <v>103.09649786611838</v>
      </c>
      <c r="Q201" s="20">
        <f t="shared" si="162"/>
        <v>974.23695045015677</v>
      </c>
      <c r="R201" s="59">
        <f t="shared" si="191"/>
        <v>1267.5702837834901</v>
      </c>
      <c r="S201" s="59">
        <f ca="1">AVERAGE(OFFSET($R$3,0,0,'Données projet'!$E$9+1,1))-AVERAGE(OFFSET($H$3,0,0,'Données projet'!$E$9+1,1))</f>
        <v>481.17250315093412</v>
      </c>
      <c r="T201" s="59">
        <f t="shared" si="204"/>
        <v>413.48123190206832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10.283219298041926</v>
      </c>
      <c r="AA201" s="21">
        <f>EXP(-LN(2)/25)*AA200+(1-EXP(-LN(2)/25))/(LN(2)/25)*Calculateur!V201*Calculateur!X201*VLOOKUP('Données projet'!$B$9,Paramètres!$A$1:$I$89,3,0)*0.475*44/12</f>
        <v>0.62058044352414532</v>
      </c>
      <c r="AB201" s="21">
        <f>EXP(-LN(2)/2)*AB200+(1-EXP(-LN(2)/2))/(LN(2)/2)*V201*Y201*VLOOKUP('Données projet'!$B$9,Paramètres!$A$1:$I$89,3,0)*0.475*44/12</f>
        <v>4.0607982632595317E-27</v>
      </c>
      <c r="AC201" s="22">
        <f t="shared" si="163"/>
        <v>10.903799741566072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19.8100000000004</v>
      </c>
      <c r="AJ201" s="13">
        <f>AI201*VLOOKUP('Données projet'!$B$10,Paramètres!$A$1:$I$89,3,0)*VLOOKUP('Données projet'!$B$10,Paramètres!$A$1:$I$89,5,0)</f>
        <v>17.924088000000364</v>
      </c>
      <c r="AK201" s="13">
        <f t="shared" si="164"/>
        <v>5.9032212091029486</v>
      </c>
      <c r="AL201" s="20">
        <f t="shared" si="165"/>
        <v>41.499230205854936</v>
      </c>
      <c r="AM201" s="59">
        <f t="shared" si="193"/>
        <v>334.83256353918824</v>
      </c>
      <c r="AN201" s="59">
        <f ca="1">AVERAGE(OFFSET($AM$3,0,0,'Données projet'!$E$10+1,1))-AVERAGE(OFFSET($H$3,0,0,'Données projet'!$E$10+1,1))</f>
        <v>426.34811677569007</v>
      </c>
      <c r="AO201" s="59">
        <f t="shared" si="205"/>
        <v>209.65223938402107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73.510985051276407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73.510985051276407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19.8100000000004</v>
      </c>
      <c r="BE201" s="13">
        <f>BD201*VLOOKUP('Données projet'!$B$11,Paramètres!$A$1:$I$89,3,0)*VLOOKUP('Données projet'!$B$11,Paramètres!$A$1:$I$89,5,0)</f>
        <v>20.08734000000041</v>
      </c>
      <c r="BF201" s="13">
        <f t="shared" si="167"/>
        <v>6.5285137703520215</v>
      </c>
      <c r="BG201" s="20">
        <f t="shared" si="168"/>
        <v>46.355945316697152</v>
      </c>
      <c r="BH201" s="59">
        <f t="shared" si="194"/>
        <v>339.68927865003047</v>
      </c>
      <c r="BI201" s="59">
        <f ca="1">AVERAGE(OFFSET($BH$3,0,0,'Données projet'!$E$11+1,1))-AVERAGE(OFFSET($H$3,0,0,'Données projet'!$E$11+1,1))</f>
        <v>485.01379841128346</v>
      </c>
      <c r="BJ201" s="59">
        <f t="shared" si="206"/>
        <v>238.25679915866897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82.383000488499405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82.383000488499405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">
        <f t="shared" si="202"/>
        <v>25.939525810630993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6">
        <f t="shared" si="192"/>
        <v>505.22193245351531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763.00000000000057</v>
      </c>
      <c r="O202" s="13">
        <f>N202*VLOOKUP('Données projet'!$B$9,Paramètres!$A$1:$I$89,3,0)*VLOOKUP('Données projet'!$B$9,Paramètres!$A$1:$I$89,5,0)</f>
        <v>456.2740000000004</v>
      </c>
      <c r="P202" s="13">
        <f t="shared" si="203"/>
        <v>103.09649786611838</v>
      </c>
      <c r="Q202" s="20">
        <f t="shared" si="162"/>
        <v>974.23695045015677</v>
      </c>
      <c r="R202" s="59">
        <f t="shared" si="191"/>
        <v>1267.5702837834901</v>
      </c>
      <c r="S202" s="59">
        <f ca="1">AVERAGE(OFFSET($R$3,0,0,'Données projet'!$E$9+1,1))-AVERAGE(OFFSET($H$3,0,0,'Données projet'!$E$9+1,1))</f>
        <v>481.17250315093412</v>
      </c>
      <c r="T202" s="59">
        <f t="shared" si="204"/>
        <v>413.48123190206832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10.081571639751774</v>
      </c>
      <c r="AA202" s="21">
        <f>EXP(-LN(2)/25)*AA201+(1-EXP(-LN(2)/25))/(LN(2)/25)*Calculateur!V202*Calculateur!X202*VLOOKUP('Données projet'!$B$9,Paramètres!$A$1:$I$89,3,0)*0.475*44/12</f>
        <v>0.60361063866107034</v>
      </c>
      <c r="AB202" s="21">
        <f>EXP(-LN(2)/2)*AB201+(1-EXP(-LN(2)/2))/(LN(2)/2)*V202*Y202*VLOOKUP('Données projet'!$B$9,Paramètres!$A$1:$I$89,3,0)*0.475*44/12</f>
        <v>2.87141798898137E-27</v>
      </c>
      <c r="AC202" s="22">
        <f t="shared" si="163"/>
        <v>10.685182278412844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19.8100000000004</v>
      </c>
      <c r="AJ202" s="13">
        <f>AI202*VLOOKUP('Données projet'!$B$10,Paramètres!$A$1:$I$89,3,0)*VLOOKUP('Données projet'!$B$10,Paramètres!$A$1:$I$89,5,0)</f>
        <v>17.924088000000364</v>
      </c>
      <c r="AK202" s="13">
        <f t="shared" si="164"/>
        <v>5.9032212091029486</v>
      </c>
      <c r="AL202" s="20">
        <f t="shared" si="165"/>
        <v>41.499230205854936</v>
      </c>
      <c r="AM202" s="59">
        <f t="shared" si="193"/>
        <v>334.83256353918824</v>
      </c>
      <c r="AN202" s="59">
        <f ca="1">AVERAGE(OFFSET($AM$3,0,0,'Données projet'!$E$10+1,1))-AVERAGE(OFFSET($H$3,0,0,'Données projet'!$E$10+1,1))</f>
        <v>426.34811677569007</v>
      </c>
      <c r="AO202" s="59">
        <f t="shared" si="205"/>
        <v>209.65223938402107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72.06947947169445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72.06947947169445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19.8100000000004</v>
      </c>
      <c r="BE202" s="13">
        <f>BD202*VLOOKUP('Données projet'!$B$11,Paramètres!$A$1:$I$89,3,0)*VLOOKUP('Données projet'!$B$11,Paramètres!$A$1:$I$89,5,0)</f>
        <v>20.08734000000041</v>
      </c>
      <c r="BF202" s="13">
        <f t="shared" si="167"/>
        <v>6.5285137703520215</v>
      </c>
      <c r="BG202" s="20">
        <f t="shared" si="168"/>
        <v>46.355945316697152</v>
      </c>
      <c r="BH202" s="59">
        <f t="shared" si="194"/>
        <v>339.68927865003047</v>
      </c>
      <c r="BI202" s="59">
        <f ca="1">AVERAGE(OFFSET($BH$3,0,0,'Données projet'!$E$11+1,1))-AVERAGE(OFFSET($H$3,0,0,'Données projet'!$E$11+1,1))</f>
        <v>485.01379841128346</v>
      </c>
      <c r="BJ202" s="59">
        <f t="shared" si="206"/>
        <v>238.25679915866897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80.767520097588587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80.767520097588587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">
        <f t="shared" si="202"/>
        <v>26.054668897183067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6">
        <f t="shared" si="192"/>
        <v>506.26021499592679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763.00000000000057</v>
      </c>
      <c r="O203" s="13">
        <f>N203*VLOOKUP('Données projet'!$B$9,Paramètres!$A$1:$I$89,3,0)*VLOOKUP('Données projet'!$B$9,Paramètres!$A$1:$I$89,5,0)</f>
        <v>456.2740000000004</v>
      </c>
      <c r="P203" s="13">
        <f t="shared" si="203"/>
        <v>103.09649786611838</v>
      </c>
      <c r="Q203" s="20">
        <f t="shared" si="162"/>
        <v>974.23695045015677</v>
      </c>
      <c r="R203" s="59">
        <f t="shared" si="191"/>
        <v>1267.5702837834901</v>
      </c>
      <c r="S203" s="59">
        <f ca="1">AVERAGE(OFFSET($R$3,0,0,'Données projet'!$E$9+1,1))-AVERAGE(OFFSET($H$3,0,0,'Données projet'!$E$9+1,1))</f>
        <v>481.17250315093412</v>
      </c>
      <c r="T203" s="59">
        <f t="shared" si="204"/>
        <v>413.48123190206832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9.8838781690477635</v>
      </c>
      <c r="AA203" s="21">
        <f>EXP(-LN(2)/25)*AA202+(1-EXP(-LN(2)/25))/(LN(2)/25)*Calculateur!V203*Calculateur!X203*VLOOKUP('Données projet'!$B$9,Paramètres!$A$1:$I$89,3,0)*0.475*44/12</f>
        <v>0.5871048740043795</v>
      </c>
      <c r="AB203" s="21">
        <f>EXP(-LN(2)/2)*AB202+(1-EXP(-LN(2)/2))/(LN(2)/2)*V203*Y203*VLOOKUP('Données projet'!$B$9,Paramètres!$A$1:$I$89,3,0)*0.475*44/12</f>
        <v>2.0303991316297659E-27</v>
      </c>
      <c r="AC203" s="22">
        <f t="shared" si="163"/>
        <v>10.470983043052144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19.8100000000004</v>
      </c>
      <c r="AJ203" s="13">
        <f>AI203*VLOOKUP('Données projet'!$B$10,Paramètres!$A$1:$I$89,3,0)*VLOOKUP('Données projet'!$B$10,Paramètres!$A$1:$I$89,5,0)</f>
        <v>17.924088000000364</v>
      </c>
      <c r="AK203" s="13">
        <f t="shared" si="164"/>
        <v>5.9032212091029486</v>
      </c>
      <c r="AL203" s="20">
        <f t="shared" si="165"/>
        <v>41.499230205854936</v>
      </c>
      <c r="AM203" s="59">
        <f t="shared" si="193"/>
        <v>334.83256353918824</v>
      </c>
      <c r="AN203" s="59">
        <f ca="1">AVERAGE(OFFSET($AM$3,0,0,'Données projet'!$E$10+1,1))-AVERAGE(OFFSET($H$3,0,0,'Données projet'!$E$10+1,1))</f>
        <v>426.34811677569007</v>
      </c>
      <c r="AO203" s="59">
        <f t="shared" si="205"/>
        <v>209.65223938402107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70.656240937296502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70.656240937296502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19.8100000000004</v>
      </c>
      <c r="BE203" s="13">
        <f>BD203*VLOOKUP('Données projet'!$B$11,Paramètres!$A$1:$I$89,3,0)*VLOOKUP('Données projet'!$B$11,Paramètres!$A$1:$I$89,5,0)</f>
        <v>20.08734000000041</v>
      </c>
      <c r="BF203" s="13">
        <f t="shared" si="167"/>
        <v>6.5285137703520215</v>
      </c>
      <c r="BG203" s="20">
        <f t="shared" si="168"/>
        <v>46.355945316697152</v>
      </c>
      <c r="BH203" s="59">
        <f t="shared" si="194"/>
        <v>339.68927865003047</v>
      </c>
      <c r="BI203" s="59">
        <f ca="1">AVERAGE(OFFSET($BH$3,0,0,'Données projet'!$E$11+1,1))-AVERAGE(OFFSET($H$3,0,0,'Données projet'!$E$11+1,1))</f>
        <v>485.01379841128346</v>
      </c>
      <c r="BJ203" s="59">
        <f t="shared" si="206"/>
        <v>238.25679915866897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79.183718291797788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79.183718291797788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1.3826300153206645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1.1736311549209708</v>
      </c>
      <c r="BA205" s="81">
        <f>EXP(LN('Données projet'!B88)/'Données projet'!A88)</f>
        <v>1.1736311549209708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5"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Pin laricio</v>
      </c>
      <c r="B6" s="144">
        <f>'Données projet'!D9</f>
        <v>2.4419889502762429</v>
      </c>
      <c r="C6" s="145">
        <f ca="1">IF(OR('Données projet'!B9="",'Données projet'!C9="",'Données projet'!C9=0%),0,Calculateur!S3)</f>
        <v>481.17250315093412</v>
      </c>
      <c r="D6" s="145">
        <f>IF(OR('Données projet'!B9="",'Données projet'!C9="",'Données projet'!C9=0%),0,Calculateur!T3)</f>
        <v>413.48123190206832</v>
      </c>
      <c r="E6" s="145">
        <f ca="1">MIN(C6,D6)</f>
        <v>413.48123190206832</v>
      </c>
      <c r="F6" s="145">
        <f ca="1">E6*B6</f>
        <v>1009.7165994514595</v>
      </c>
      <c r="G6" s="145">
        <f ca="1">F6*(100%-'Données projet'!$C$24)*(100%-'Données projet'!$C$25)*(100%-'Données projet'!$C$26)*(100%-'Données projet'!$C$27)</f>
        <v>908.74493950631359</v>
      </c>
      <c r="H6" s="146">
        <f>IF(OR('Données projet'!B9="",'Données projet'!C9="",'Données projet'!C9=0%),0,AVERAGE(Calculateur!$AC$3:$AC$33)*B6)</f>
        <v>35.606399367454372</v>
      </c>
      <c r="I6" s="147">
        <f>H6*(100%-'Données projet'!$C$24)*(100%-'Données projet'!$C$25)*(100%-'Données projet'!$C$26)*(100%-'Données projet'!$C$27)</f>
        <v>32.045759430708934</v>
      </c>
      <c r="J6" s="148">
        <f>IF(OR('Données projet'!B9="",'Données projet'!C9="",'Données projet'!C9=0%),0,SUM(Calculateur!$V$3:$V$33)*VLOOKUP('Données projet'!$B$9,Paramètres!$A$1:$I$89,9,0)*B6)</f>
        <v>242.56276243093919</v>
      </c>
      <c r="K6" s="149">
        <f>J6*(100%-'Données projet'!$C$24)*(100%-'Données projet'!$C$25)*(100%-'Données projet'!$C$26)*(100%-'Données projet'!$C$27)</f>
        <v>218.30648618784528</v>
      </c>
      <c r="L6" s="150">
        <f ca="1">G6+I6+K6</f>
        <v>1159.0971851248678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 sessile</v>
      </c>
      <c r="B7" s="152">
        <f>'Données projet'!D10</f>
        <v>0.67624309392265192</v>
      </c>
      <c r="C7" s="145">
        <f ca="1">IF(OR('Données projet'!B10="",'Données projet'!C10="",'Données projet'!C10=0%),0,Calculateur!AN3)</f>
        <v>426.34811677569007</v>
      </c>
      <c r="D7" s="145">
        <f>IF(OR('Données projet'!B10="",'Données projet'!C10="",'Données projet'!C10=0%),0,Calculateur!AO3)</f>
        <v>209.65223938402107</v>
      </c>
      <c r="E7" s="145">
        <f t="shared" ref="E7:E15" ca="1" si="0">MIN(C7,D7)</f>
        <v>209.65223938402107</v>
      </c>
      <c r="F7" s="145">
        <f t="shared" ref="F7:F15" ca="1" si="1">E7*B7</f>
        <v>141.77587900886286</v>
      </c>
      <c r="G7" s="145">
        <f ca="1">F7*(100%-'Données projet'!$C$24)*(100%-'Données projet'!$C$25)*(100%-'Données projet'!$C$26)*(100%-'Données projet'!$C$27)</f>
        <v>127.59829110797658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127.59829110797658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Chêne pubescent</v>
      </c>
      <c r="B8" s="152">
        <f>'Données projet'!D11</f>
        <v>0.28176795580110497</v>
      </c>
      <c r="C8" s="145">
        <f ca="1">IF(OR('Données projet'!B11="",'Données projet'!C11="",'Données projet'!C11=0%),0,Calculateur!BI3)</f>
        <v>485.01379841128346</v>
      </c>
      <c r="D8" s="145">
        <f>IF(OR('Données projet'!B11="",'Données projet'!C11="",'Données projet'!C11=0%),0,Calculateur!BJ3)</f>
        <v>238.25679915866897</v>
      </c>
      <c r="E8" s="145">
        <f t="shared" ca="1" si="0"/>
        <v>238.25679915866897</v>
      </c>
      <c r="F8" s="145">
        <f t="shared" ca="1" si="1"/>
        <v>67.133131254652582</v>
      </c>
      <c r="G8" s="145">
        <f ca="1">F8*(100%-'Données projet'!$C$24)*(100%-'Données projet'!$C$25)*(100%-'Données projet'!$C$26)*(100%-'Données projet'!$C$27)</f>
        <v>60.419818129187327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ca="1" si="2"/>
        <v>60.419818129187327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1218.6256097149751</v>
      </c>
      <c r="G16" s="164">
        <f t="shared" ca="1" si="3"/>
        <v>1096.7630487434776</v>
      </c>
      <c r="H16" s="165">
        <f t="shared" si="3"/>
        <v>35.606399367454372</v>
      </c>
      <c r="I16" s="165">
        <f t="shared" si="3"/>
        <v>32.045759430708934</v>
      </c>
      <c r="J16" s="166">
        <f t="shared" si="3"/>
        <v>242.56276243093919</v>
      </c>
      <c r="K16" s="166">
        <f t="shared" si="3"/>
        <v>218.30648618784528</v>
      </c>
      <c r="L16" s="167">
        <f t="shared" ca="1" si="3"/>
        <v>1347.1152943620318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Pin laricio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Chêne pubescent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72" zoomScale="90" zoomScaleNormal="90" workbookViewId="0">
      <selection activeCell="X34" sqref="X34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laricio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2887.748626376143</v>
      </c>
      <c r="U10" s="176">
        <f>'Données projet'!D9</f>
        <v>2.4419889502762429</v>
      </c>
      <c r="V10" s="175">
        <f>U10*T10</f>
        <v>7051.8502367859392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 sessile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6655.7239553138697</v>
      </c>
      <c r="U11" s="176">
        <f>'Données projet'!D10</f>
        <v>0.67624309392265192</v>
      </c>
      <c r="V11" s="175">
        <f t="shared" ref="V11" si="0">U11*T11</f>
        <v>4500.8873598365617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Chêne pubescent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9597.4326104877309</v>
      </c>
      <c r="U12" s="176">
        <f>'Données projet'!D11</f>
        <v>0.28176795580110497</v>
      </c>
      <c r="V12" s="175">
        <f t="shared" ref="V12:V19" si="1">U12*T12</f>
        <v>2704.2489675959905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Pin laricio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>
        <v>40</v>
      </c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1010.94</v>
      </c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40.000000000000021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>
        <v>20</v>
      </c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800.00000000000045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>
        <v>2692.91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>
        <v>820.59</v>
      </c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>
        <v>820.59</v>
      </c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15</v>
      </c>
      <c r="B23" s="179">
        <f>'Données projet'!D36</f>
        <v>21</v>
      </c>
      <c r="C23" s="191">
        <v>20</v>
      </c>
      <c r="D23" s="180">
        <f>B23*C23</f>
        <v>420</v>
      </c>
      <c r="E23" s="191"/>
      <c r="F23" s="228"/>
      <c r="H23" s="188">
        <v>3</v>
      </c>
      <c r="I23" s="189">
        <v>820.59</v>
      </c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-4908.1256581563939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20</v>
      </c>
      <c r="B24" s="179">
        <f>'Données projet'!D37</f>
        <v>70</v>
      </c>
      <c r="C24" s="191">
        <v>20</v>
      </c>
      <c r="D24" s="180">
        <f t="shared" ref="D24:D42" si="2">B24*C24</f>
        <v>1400</v>
      </c>
      <c r="E24" s="191"/>
      <c r="F24" s="231"/>
      <c r="H24" s="188">
        <v>4</v>
      </c>
      <c r="I24" s="189">
        <v>820.59</v>
      </c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467.64606695775558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25</v>
      </c>
      <c r="B25" s="179">
        <f>'Données projet'!D38</f>
        <v>70</v>
      </c>
      <c r="C25" s="191">
        <v>20</v>
      </c>
      <c r="D25" s="180">
        <f t="shared" si="2"/>
        <v>1400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12">
        <f ca="1">T23-T24</f>
        <v>-5375.7717251141494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30</v>
      </c>
      <c r="B26" s="179">
        <f>'Données projet'!D39</f>
        <v>70</v>
      </c>
      <c r="C26" s="191">
        <v>20</v>
      </c>
      <c r="D26" s="180">
        <f t="shared" si="2"/>
        <v>1400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est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35</v>
      </c>
      <c r="B27" s="179">
        <f>'Données projet'!D40</f>
        <v>70</v>
      </c>
      <c r="C27" s="191">
        <v>41</v>
      </c>
      <c r="D27" s="180">
        <f t="shared" si="2"/>
        <v>2870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40</v>
      </c>
      <c r="B28" s="179">
        <f>'Données projet'!D41</f>
        <v>70</v>
      </c>
      <c r="C28" s="191">
        <v>41</v>
      </c>
      <c r="D28" s="180">
        <f t="shared" si="2"/>
        <v>2870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45</v>
      </c>
      <c r="B29" s="179">
        <f>'Données projet'!D42</f>
        <v>64</v>
      </c>
      <c r="C29" s="191">
        <v>41</v>
      </c>
      <c r="D29" s="180">
        <f t="shared" si="2"/>
        <v>2624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50</v>
      </c>
      <c r="B30" s="179">
        <f>'Données projet'!D43</f>
        <v>56</v>
      </c>
      <c r="C30" s="191">
        <v>41</v>
      </c>
      <c r="D30" s="180">
        <f t="shared" si="2"/>
        <v>2296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55</v>
      </c>
      <c r="B31" s="179">
        <f>'Données projet'!D44</f>
        <v>48</v>
      </c>
      <c r="C31" s="191">
        <v>41</v>
      </c>
      <c r="D31" s="180">
        <f t="shared" si="2"/>
        <v>1968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60</v>
      </c>
      <c r="B32" s="179">
        <f>'Données projet'!D45</f>
        <v>42</v>
      </c>
      <c r="C32" s="191">
        <v>41</v>
      </c>
      <c r="D32" s="180">
        <f t="shared" si="2"/>
        <v>1722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65</v>
      </c>
      <c r="B33" s="179">
        <f>'Données projet'!D46</f>
        <v>37</v>
      </c>
      <c r="C33" s="191">
        <v>41</v>
      </c>
      <c r="D33" s="180">
        <f t="shared" si="2"/>
        <v>1517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70</v>
      </c>
      <c r="B34" s="179">
        <f>'Données projet'!D47</f>
        <v>34</v>
      </c>
      <c r="C34" s="191">
        <v>41</v>
      </c>
      <c r="D34" s="180">
        <f t="shared" si="2"/>
        <v>1394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75</v>
      </c>
      <c r="B35" s="179">
        <f>'Données projet'!D48</f>
        <v>33</v>
      </c>
      <c r="C35" s="191">
        <v>41</v>
      </c>
      <c r="D35" s="180">
        <f t="shared" si="2"/>
        <v>1353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80</v>
      </c>
      <c r="B36" s="179">
        <f>'Données projet'!D49</f>
        <v>32</v>
      </c>
      <c r="C36" s="191">
        <v>41</v>
      </c>
      <c r="D36" s="180">
        <f t="shared" si="2"/>
        <v>1312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0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 sessile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1010.94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35</v>
      </c>
      <c r="B55" s="179">
        <f>'Données projet'!D63</f>
        <v>69.58</v>
      </c>
      <c r="C55" s="189">
        <v>235</v>
      </c>
      <c r="D55" s="177">
        <f t="shared" ref="D55:D73" si="4">B55*C55</f>
        <v>16351.3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41</v>
      </c>
      <c r="B56" s="179">
        <f>'Données projet'!D64</f>
        <v>47.41</v>
      </c>
      <c r="C56" s="189">
        <v>235</v>
      </c>
      <c r="D56" s="177">
        <f t="shared" si="4"/>
        <v>11141.349999999999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48</v>
      </c>
      <c r="B57" s="179">
        <f>'Données projet'!D65</f>
        <v>61.12</v>
      </c>
      <c r="C57" s="189">
        <v>235</v>
      </c>
      <c r="D57" s="177">
        <f t="shared" si="4"/>
        <v>14363.199999999999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55</v>
      </c>
      <c r="B58" s="179">
        <f>'Données projet'!D66</f>
        <v>58.24</v>
      </c>
      <c r="C58" s="189">
        <v>235</v>
      </c>
      <c r="D58" s="177">
        <f t="shared" si="4"/>
        <v>13686.4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63</v>
      </c>
      <c r="B59" s="179">
        <f>'Données projet'!D67</f>
        <v>54.21</v>
      </c>
      <c r="C59" s="189">
        <v>235</v>
      </c>
      <c r="D59" s="177">
        <f t="shared" si="4"/>
        <v>12739.35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71</v>
      </c>
      <c r="B60" s="179">
        <f>'Données projet'!D68</f>
        <v>52.07</v>
      </c>
      <c r="C60" s="189">
        <v>235</v>
      </c>
      <c r="D60" s="177">
        <f t="shared" si="4"/>
        <v>12236.45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80</v>
      </c>
      <c r="B61" s="179">
        <f>'Données projet'!D69</f>
        <v>59.57</v>
      </c>
      <c r="C61" s="189">
        <v>235</v>
      </c>
      <c r="D61" s="177">
        <f t="shared" si="4"/>
        <v>13998.95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89</v>
      </c>
      <c r="B62" s="179">
        <f>'Données projet'!D70</f>
        <v>64.5</v>
      </c>
      <c r="C62" s="189">
        <v>235</v>
      </c>
      <c r="D62" s="177">
        <f t="shared" si="4"/>
        <v>15157.5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99</v>
      </c>
      <c r="B63" s="179">
        <f>'Données projet'!D71</f>
        <v>62.94</v>
      </c>
      <c r="C63" s="189">
        <v>235</v>
      </c>
      <c r="D63" s="177">
        <f t="shared" si="4"/>
        <v>14790.9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109</v>
      </c>
      <c r="B64" s="179">
        <f>'Données projet'!D72</f>
        <v>66.959999999999994</v>
      </c>
      <c r="C64" s="189">
        <v>235</v>
      </c>
      <c r="D64" s="177">
        <f t="shared" si="4"/>
        <v>15735.599999999999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119</v>
      </c>
      <c r="B65" s="179">
        <f>'Données projet'!D73</f>
        <v>196.46</v>
      </c>
      <c r="C65" s="189">
        <v>235</v>
      </c>
      <c r="D65" s="177">
        <f t="shared" si="4"/>
        <v>46168.1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123</v>
      </c>
      <c r="B66" s="179">
        <f>'Données projet'!D74</f>
        <v>100.6</v>
      </c>
      <c r="C66" s="189">
        <v>235</v>
      </c>
      <c r="D66" s="177">
        <f t="shared" si="4"/>
        <v>23641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127</v>
      </c>
      <c r="B67" s="179">
        <f>'Données projet'!D75</f>
        <v>65.02</v>
      </c>
      <c r="C67" s="189">
        <v>235</v>
      </c>
      <c r="D67" s="177">
        <f t="shared" si="4"/>
        <v>15279.699999999999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131</v>
      </c>
      <c r="B68" s="179">
        <f>'Données projet'!D76</f>
        <v>143.84</v>
      </c>
      <c r="C68" s="189">
        <v>235</v>
      </c>
      <c r="D68" s="177">
        <f t="shared" si="4"/>
        <v>33802.400000000001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Chêne pubescent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0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0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0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1572.57</v>
      </c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0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0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0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0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0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>
        <f>IF(O83+1&lt;=MIN('Données projet'!$E$9:$E$18),O83+1,"STOP")</f>
        <v>51</v>
      </c>
      <c r="P84" s="183">
        <f t="shared" si="5"/>
        <v>0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30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>
        <f>IF(O84+1&lt;=MIN('Données projet'!$E$9:$E$18),O84+1,"STOP")</f>
        <v>52</v>
      </c>
      <c r="P85" s="183">
        <f t="shared" si="5"/>
        <v>0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35</v>
      </c>
      <c r="B86" s="179">
        <f>'Données projet'!D89</f>
        <v>69.58</v>
      </c>
      <c r="C86" s="189">
        <v>235</v>
      </c>
      <c r="D86" s="177">
        <f t="shared" ref="D86:D104" si="6">B86*C86</f>
        <v>16351.3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>
        <f>IF(O85+1&lt;=MIN('Données projet'!$E$9:$E$18),O85+1,"STOP")</f>
        <v>53</v>
      </c>
      <c r="P86" s="183">
        <f t="shared" si="5"/>
        <v>0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41</v>
      </c>
      <c r="B87" s="179">
        <f>'Données projet'!D90</f>
        <v>47.41</v>
      </c>
      <c r="C87" s="189">
        <v>235</v>
      </c>
      <c r="D87" s="177">
        <f t="shared" si="6"/>
        <v>11141.349999999999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>
        <f>IF(O86+1&lt;=MIN('Données projet'!$E$9:$E$18),O86+1,"STOP")</f>
        <v>54</v>
      </c>
      <c r="P87" s="183">
        <f t="shared" si="5"/>
        <v>0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48</v>
      </c>
      <c r="B88" s="179">
        <f>'Données projet'!D91</f>
        <v>61.12</v>
      </c>
      <c r="C88" s="189">
        <v>235</v>
      </c>
      <c r="D88" s="177">
        <f t="shared" si="6"/>
        <v>14363.199999999999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>
        <f>IF(O87+1&lt;=MIN('Données projet'!$E$9:$E$18),O87+1,"STOP")</f>
        <v>55</v>
      </c>
      <c r="P88" s="183">
        <f t="shared" si="5"/>
        <v>0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55</v>
      </c>
      <c r="B89" s="179">
        <f>'Données projet'!D92</f>
        <v>58.24</v>
      </c>
      <c r="C89" s="189">
        <v>235</v>
      </c>
      <c r="D89" s="177">
        <f t="shared" si="6"/>
        <v>13686.4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>
        <f>IF(O88+1&lt;=MIN('Données projet'!$E$9:$E$18),O88+1,"STOP")</f>
        <v>56</v>
      </c>
      <c r="P89" s="183">
        <f t="shared" si="5"/>
        <v>0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63</v>
      </c>
      <c r="B90" s="179">
        <f>'Données projet'!D93</f>
        <v>54.21</v>
      </c>
      <c r="C90" s="189">
        <v>235</v>
      </c>
      <c r="D90" s="177">
        <f t="shared" si="6"/>
        <v>12739.35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>
        <f>IF(O89+1&lt;=MIN('Données projet'!$E$9:$E$18),O89+1,"STOP")</f>
        <v>57</v>
      </c>
      <c r="P90" s="183">
        <f t="shared" si="5"/>
        <v>0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71</v>
      </c>
      <c r="B91" s="179">
        <f>'Données projet'!D94</f>
        <v>52.07</v>
      </c>
      <c r="C91" s="189">
        <v>235</v>
      </c>
      <c r="D91" s="177">
        <f t="shared" si="6"/>
        <v>12236.45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>
        <f>IF(O90+1&lt;=MIN('Données projet'!$E$9:$E$18),O90+1,"STOP")</f>
        <v>58</v>
      </c>
      <c r="P91" s="183">
        <f t="shared" si="5"/>
        <v>0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80</v>
      </c>
      <c r="B92" s="179">
        <f>'Données projet'!D95</f>
        <v>59.57</v>
      </c>
      <c r="C92" s="189">
        <v>235</v>
      </c>
      <c r="D92" s="177">
        <f t="shared" si="6"/>
        <v>13998.95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>
        <f>IF(O91+1&lt;=MIN('Données projet'!$E$9:$E$18),O91+1,"STOP")</f>
        <v>59</v>
      </c>
      <c r="P92" s="183">
        <f t="shared" si="5"/>
        <v>0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89</v>
      </c>
      <c r="B93" s="179">
        <f>'Données projet'!D96</f>
        <v>64.5</v>
      </c>
      <c r="C93" s="189">
        <v>235</v>
      </c>
      <c r="D93" s="177">
        <f t="shared" si="6"/>
        <v>15157.5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>
        <f>IF(O92+1&lt;=MIN('Données projet'!$E$9:$E$18),O92+1,"STOP")</f>
        <v>60</v>
      </c>
      <c r="P93" s="183">
        <f t="shared" si="5"/>
        <v>0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99</v>
      </c>
      <c r="B94" s="179">
        <f>'Données projet'!D97</f>
        <v>62.94</v>
      </c>
      <c r="C94" s="189">
        <v>235</v>
      </c>
      <c r="D94" s="177">
        <f t="shared" si="6"/>
        <v>14790.9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>
        <f>IF(O93+1&lt;=MIN('Données projet'!$E$9:$E$18),O93+1,"STOP")</f>
        <v>61</v>
      </c>
      <c r="P94" s="183">
        <f t="shared" si="5"/>
        <v>0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109</v>
      </c>
      <c r="B95" s="179">
        <f>'Données projet'!D98</f>
        <v>66.959999999999994</v>
      </c>
      <c r="C95" s="189">
        <v>235</v>
      </c>
      <c r="D95" s="177">
        <f t="shared" si="6"/>
        <v>15735.599999999999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>
        <f>IF(O94+1&lt;=MIN('Données projet'!$E$9:$E$18),O94+1,"STOP")</f>
        <v>62</v>
      </c>
      <c r="P95" s="183">
        <f t="shared" si="5"/>
        <v>0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119</v>
      </c>
      <c r="B96" s="179">
        <f>'Données projet'!D99</f>
        <v>196.46</v>
      </c>
      <c r="C96" s="189">
        <v>235</v>
      </c>
      <c r="D96" s="177">
        <f t="shared" si="6"/>
        <v>46168.1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>
        <f>IF(O95+1&lt;=MIN('Données projet'!$E$9:$E$18),O95+1,"STOP")</f>
        <v>63</v>
      </c>
      <c r="P96" s="183">
        <f t="shared" si="5"/>
        <v>0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123</v>
      </c>
      <c r="B97" s="179">
        <f>'Données projet'!D100</f>
        <v>100.6</v>
      </c>
      <c r="C97" s="189">
        <v>235</v>
      </c>
      <c r="D97" s="177">
        <f t="shared" si="6"/>
        <v>23641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>
        <f>IF(O96+1&lt;=MIN('Données projet'!$E$9:$E$18),O96+1,"STOP")</f>
        <v>64</v>
      </c>
      <c r="P97" s="183">
        <f t="shared" ref="P97:P128" si="7">$P$25/(1+$M$4)^O97</f>
        <v>0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127</v>
      </c>
      <c r="B98" s="179">
        <f>'Données projet'!D101</f>
        <v>65.02</v>
      </c>
      <c r="C98" s="189">
        <v>235</v>
      </c>
      <c r="D98" s="177">
        <f t="shared" si="6"/>
        <v>15279.699999999999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>
        <f>IF(O97+1&lt;=MIN('Données projet'!$E$9:$E$18),O97+1,"STOP")</f>
        <v>65</v>
      </c>
      <c r="P98" s="183">
        <f t="shared" si="7"/>
        <v>0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131</v>
      </c>
      <c r="B99" s="179">
        <f>'Données projet'!D102</f>
        <v>143.84</v>
      </c>
      <c r="C99" s="189">
        <v>235</v>
      </c>
      <c r="D99" s="177">
        <f t="shared" si="6"/>
        <v>33802.400000000001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>
        <f>IF(O98+1&lt;=MIN('Données projet'!$E$9:$E$18),O98+1,"STOP")</f>
        <v>66</v>
      </c>
      <c r="P99" s="183">
        <f t="shared" si="7"/>
        <v>0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>
        <f>IF(O99+1&lt;=MIN('Données projet'!$E$9:$E$18),O99+1,"STOP")</f>
        <v>67</v>
      </c>
      <c r="P100" s="183">
        <f t="shared" si="7"/>
        <v>0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>
        <f>IF(O100+1&lt;=MIN('Données projet'!$E$9:$E$18),O100+1,"STOP")</f>
        <v>68</v>
      </c>
      <c r="P101" s="183">
        <f t="shared" si="7"/>
        <v>0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>
        <f>IF(O101+1&lt;=MIN('Données projet'!$E$9:$E$18),O101+1,"STOP")</f>
        <v>69</v>
      </c>
      <c r="P102" s="183">
        <f t="shared" si="7"/>
        <v>0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>
        <f>IF(O102+1&lt;=MIN('Données projet'!$E$9:$E$18),O102+1,"STOP")</f>
        <v>70</v>
      </c>
      <c r="P103" s="183">
        <f t="shared" si="7"/>
        <v>0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>
        <f>IF(O103+1&lt;=MIN('Données projet'!$E$9:$E$18),O103+1,"STOP")</f>
        <v>71</v>
      </c>
      <c r="P104" s="183">
        <f t="shared" si="7"/>
        <v>0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>
        <f>IF(O104+1&lt;=MIN('Données projet'!$E$9:$E$18),O104+1,"STOP")</f>
        <v>72</v>
      </c>
      <c r="P105" s="183">
        <f t="shared" si="7"/>
        <v>0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>
        <f>IF(O105+1&lt;=MIN('Données projet'!$E$9:$E$18),O105+1,"STOP")</f>
        <v>73</v>
      </c>
      <c r="P106" s="183">
        <f t="shared" si="7"/>
        <v>0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>
        <f>IF(O106+1&lt;=MIN('Données projet'!$E$9:$E$18),O106+1,"STOP")</f>
        <v>74</v>
      </c>
      <c r="P107" s="183">
        <f t="shared" si="7"/>
        <v>0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>
        <f>IF(O107+1&lt;=MIN('Données projet'!$E$9:$E$18),O107+1,"STOP")</f>
        <v>75</v>
      </c>
      <c r="P108" s="183">
        <f t="shared" si="7"/>
        <v>0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>
        <f>IF(O108+1&lt;=MIN('Données projet'!$E$9:$E$18),O108+1,"STOP")</f>
        <v>76</v>
      </c>
      <c r="P109" s="183">
        <f t="shared" si="7"/>
        <v>0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>
        <f>IF(O109+1&lt;=MIN('Données projet'!$E$9:$E$18),O109+1,"STOP")</f>
        <v>77</v>
      </c>
      <c r="P110" s="183">
        <f t="shared" si="7"/>
        <v>0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>
        <f>IF(O110+1&lt;=MIN('Données projet'!$E$9:$E$18),O110+1,"STOP")</f>
        <v>78</v>
      </c>
      <c r="P111" s="183">
        <f t="shared" si="7"/>
        <v>0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>
        <f>IF(O111+1&lt;=MIN('Données projet'!$E$9:$E$18),O111+1,"STOP")</f>
        <v>79</v>
      </c>
      <c r="P112" s="183">
        <f t="shared" si="7"/>
        <v>0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>
        <f>IF(O112+1&lt;=MIN('Données projet'!$E$9:$E$18),O112+1,"STOP")</f>
        <v>80</v>
      </c>
      <c r="P113" s="183">
        <f t="shared" si="7"/>
        <v>0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str">
        <f>IF(O113+1&lt;=MIN('Données projet'!$E$9:$E$18),O113+1,"STOP")</f>
        <v>STOP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2025-01-08T10:15:29Z</dcterms:modified>
</cp:coreProperties>
</file>