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Gascogne-Pyrénées\St Mont(32) - BEAUDU\Dossier déposé\"/>
    </mc:Choice>
  </mc:AlternateContent>
  <xr:revisionPtr revIDLastSave="0" documentId="13_ncr:1_{70C84092-73E4-4336-86CF-798A405CAB19}" xr6:coauthVersionLast="36" xr6:coauthVersionMax="36" xr10:uidLastSave="{00000000-0000-0000-0000-000000000000}"/>
  <bookViews>
    <workbookView xWindow="0" yWindow="0" windowWidth="28800" windowHeight="12105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99" i="2" a="1"/>
  <c r="AH199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90" i="2" a="1"/>
  <c r="AH90" i="2" s="1"/>
  <c r="AH151" i="2" a="1"/>
  <c r="AH151" i="2" s="1"/>
  <c r="AH163" i="2" a="1"/>
  <c r="AH163" i="2" s="1"/>
  <c r="AH62" i="2" a="1"/>
  <c r="AH62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<sst xmlns="http://schemas.openxmlformats.org/spreadsheetml/2006/main" count="1170" uniqueCount="324">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</sst>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3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1" applyNumberFormat="1" applyFont="1" applyFill="1" applyBorder="1" applyAlignment="1" applyProtection="1">
      <alignment horizontal="center"/>
      <protection locked="0" hidden="1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2.0207970393237535</c:v>
                </c:pt>
                <c:pt idx="2">
                  <c:v>2.7389551224732855</c:v>
                </c:pt>
                <c:pt idx="3">
                  <c:v>3.7134142669508035</c:v>
                </c:pt>
                <c:pt idx="4">
                  <c:v>5.0360078447831844</c:v>
                </c:pt>
                <c:pt idx="5">
                  <c:v>6.831594886720656</c:v>
                </c:pt>
                <c:pt idx="6">
                  <c:v>9.2699774850199343</c:v>
                </c:pt>
                <c:pt idx="7">
                  <c:v>12.582132087822986</c:v>
                </c:pt>
                <c:pt idx="8">
                  <c:v>17.082320696357097</c:v>
                </c:pt>
                <c:pt idx="9">
                  <c:v>23.198217934619475</c:v>
                </c:pt>
                <c:pt idx="10">
                  <c:v>31.511967843497619</c:v>
                </c:pt>
                <c:pt idx="11">
                  <c:v>42.816146068138011</c:v>
                </c:pt>
                <c:pt idx="12">
                  <c:v>58.190052708851006</c:v>
                </c:pt>
                <c:pt idx="13">
                  <c:v>79.103740394606078</c:v>
                </c:pt>
                <c:pt idx="14">
                  <c:v>107.55988503532986</c:v>
                </c:pt>
                <c:pt idx="15">
                  <c:v>146.28729825307889</c:v>
                </c:pt>
                <c:pt idx="16">
                  <c:v>199.00492295896268</c:v>
                </c:pt>
                <c:pt idx="17">
                  <c:v>270.78204217423394</c:v>
                </c:pt>
                <c:pt idx="18">
                  <c:v>368.52984306951663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1.9784947759827345</c:v>
                </c:pt>
                <c:pt idx="2">
                  <c:v>2.6815646650295264</c:v>
                </c:pt>
                <c:pt idx="3">
                  <c:v>3.6355324607689856</c:v>
                </c:pt>
                <c:pt idx="4">
                  <c:v>4.9302894168658851</c:v>
                </c:pt>
                <c:pt idx="5">
                  <c:v>6.6880519576880433</c:v>
                </c:pt>
                <c:pt idx="6">
                  <c:v>9.0750256262346376</c:v>
                </c:pt>
                <c:pt idx="7">
                  <c:v>12.317290951686362</c:v>
                </c:pt>
                <c:pt idx="8">
                  <c:v>16.722443785999424</c:v>
                </c:pt>
                <c:pt idx="9">
                  <c:v>22.709080414268424</c:v>
                </c:pt>
                <c:pt idx="10">
                  <c:v>30.846978962916541</c:v>
                </c:pt>
                <c:pt idx="11">
                  <c:v>41.911867690844666</c:v>
                </c:pt>
                <c:pt idx="12">
                  <c:v>56.960089269549478</c:v>
                </c:pt>
                <c:pt idx="13">
                  <c:v>77.430406990624007</c:v>
                </c:pt>
                <c:pt idx="14">
                  <c:v>105.28284373319512</c:v>
                </c:pt>
                <c:pt idx="15">
                  <c:v>143.18805681553809</c:v>
                </c:pt>
                <c:pt idx="16">
                  <c:v>194.78568602326609</c:v>
                </c:pt>
                <c:pt idx="17">
                  <c:v>265.03685273021631</c:v>
                </c:pt>
                <c:pt idx="18">
                  <c:v>360.70519760433905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3" t="s">
        <v>291</v>
      </c>
      <c r="C12" s="293"/>
      <c r="D12" s="293"/>
      <c r="E12" s="293"/>
      <c r="F12" s="293"/>
      <c r="G12" s="293"/>
      <c r="H12" s="293"/>
      <c r="I12" s="293"/>
      <c r="J12" s="293"/>
      <c r="K12" s="293"/>
      <c r="L12" s="293"/>
      <c r="M12" s="293"/>
    </row>
    <row r="13" spans="2:13" ht="15" customHeight="1" x14ac:dyDescent="0.25"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</row>
    <row r="14" spans="2:13" ht="15" customHeight="1" x14ac:dyDescent="0.25"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</row>
    <row r="15" spans="2:13" ht="18.75" customHeight="1" x14ac:dyDescent="0.25">
      <c r="B15" s="293"/>
      <c r="C15" s="293"/>
      <c r="D15" s="293"/>
      <c r="E15" s="293"/>
      <c r="F15" s="293"/>
      <c r="G15" s="293"/>
      <c r="H15" s="293"/>
      <c r="I15" s="293"/>
      <c r="J15" s="293"/>
      <c r="K15" s="293"/>
      <c r="L15" s="293"/>
      <c r="M15" s="293"/>
    </row>
    <row r="16" spans="2:13" ht="18.75" customHeight="1" x14ac:dyDescent="0.25"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</row>
    <row r="18" spans="2:13" ht="12" customHeight="1" x14ac:dyDescent="0.25">
      <c r="B18" s="293" t="s">
        <v>292</v>
      </c>
      <c r="C18" s="293"/>
      <c r="D18" s="293"/>
      <c r="E18" s="293"/>
      <c r="F18" s="293"/>
      <c r="G18" s="293"/>
      <c r="H18" s="293"/>
      <c r="I18" s="293"/>
      <c r="J18" s="293"/>
      <c r="K18" s="293"/>
      <c r="L18" s="293"/>
      <c r="M18" s="293"/>
    </row>
    <row r="19" spans="2:13" ht="12" customHeight="1" x14ac:dyDescent="0.25"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</row>
    <row r="20" spans="2:13" ht="12" customHeight="1" x14ac:dyDescent="0.25"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</row>
    <row r="21" spans="2:13" ht="12" customHeight="1" x14ac:dyDescent="0.25">
      <c r="B21" s="293"/>
      <c r="C21" s="293"/>
      <c r="D21" s="293"/>
      <c r="E21" s="293"/>
      <c r="F21" s="293"/>
      <c r="G21" s="293"/>
      <c r="H21" s="293"/>
      <c r="I21" s="293"/>
      <c r="J21" s="293"/>
      <c r="K21" s="293"/>
      <c r="L21" s="293"/>
      <c r="M21" s="293"/>
    </row>
    <row r="22" spans="2:13" ht="12" customHeight="1" x14ac:dyDescent="0.25"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</row>
    <row r="23" spans="2:13" ht="12" customHeight="1" x14ac:dyDescent="0.25"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</row>
    <row r="24" spans="2:13" ht="12" customHeight="1" x14ac:dyDescent="0.25">
      <c r="B24" s="293"/>
      <c r="C24" s="293"/>
      <c r="D24" s="293"/>
      <c r="E24" s="293"/>
      <c r="F24" s="293"/>
      <c r="G24" s="293"/>
      <c r="H24" s="293"/>
      <c r="I24" s="293"/>
      <c r="J24" s="293"/>
      <c r="K24" s="293"/>
      <c r="L24" s="293"/>
      <c r="M24" s="293"/>
    </row>
    <row r="25" spans="2:13" ht="12" customHeight="1" x14ac:dyDescent="0.25"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</row>
    <row r="26" spans="2:13" ht="12" customHeight="1" x14ac:dyDescent="0.25"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</row>
    <row r="27" spans="2:13" ht="12" customHeight="1" x14ac:dyDescent="0.2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</row>
    <row r="28" spans="2:13" ht="12" customHeight="1" x14ac:dyDescent="0.25"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</row>
    <row r="29" spans="2:13" ht="12" customHeight="1" x14ac:dyDescent="0.25"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</row>
    <row r="30" spans="2:13" ht="12" customHeight="1" x14ac:dyDescent="0.25">
      <c r="B30" s="293"/>
      <c r="C30" s="293"/>
      <c r="D30" s="293"/>
      <c r="E30" s="293"/>
      <c r="F30" s="293"/>
      <c r="G30" s="293"/>
      <c r="H30" s="293"/>
      <c r="I30" s="293"/>
      <c r="J30" s="293"/>
      <c r="K30" s="293"/>
      <c r="L30" s="293"/>
      <c r="M30" s="293"/>
    </row>
    <row r="31" spans="2:13" ht="12" customHeight="1" x14ac:dyDescent="0.25"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76" zoomScale="90" zoomScaleNormal="90" workbookViewId="0">
      <selection activeCell="F30" sqref="F30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4" t="s">
        <v>190</v>
      </c>
      <c r="D1" s="294"/>
      <c r="E1" s="294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9" t="s">
        <v>192</v>
      </c>
      <c r="C3" s="300"/>
      <c r="D3" s="300"/>
      <c r="E3" s="300"/>
      <c r="F3" s="301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5" t="s">
        <v>231</v>
      </c>
      <c r="B5" s="305"/>
      <c r="C5" s="26">
        <v>3.58</v>
      </c>
      <c r="D5" s="306" t="s">
        <v>229</v>
      </c>
      <c r="E5" s="307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3" t="s">
        <v>226</v>
      </c>
      <c r="B7" s="303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118</v>
      </c>
      <c r="C9" s="35">
        <v>0.5</v>
      </c>
      <c r="D9" s="36">
        <f t="shared" ref="D9:D18" si="0">C9*$C$5</f>
        <v>1.79</v>
      </c>
      <c r="E9" s="37">
        <v>18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117</v>
      </c>
      <c r="C10" s="35">
        <v>0.5</v>
      </c>
      <c r="D10" s="36">
        <f t="shared" si="0"/>
        <v>1.79</v>
      </c>
      <c r="E10" s="37">
        <v>18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3.58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2" t="s">
        <v>232</v>
      </c>
      <c r="B22" s="302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0.2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4" t="s">
        <v>227</v>
      </c>
      <c r="B30" s="304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Peuplier Taro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5" t="s">
        <v>186</v>
      </c>
      <c r="D34" s="295"/>
      <c r="E34" s="296" t="s">
        <v>187</v>
      </c>
      <c r="F34" s="297"/>
      <c r="G34" s="297"/>
      <c r="H34" s="298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18</v>
      </c>
      <c r="B36" s="63">
        <v>294</v>
      </c>
      <c r="C36" s="63">
        <v>1</v>
      </c>
      <c r="D36" s="63">
        <v>294</v>
      </c>
      <c r="E36" s="54">
        <v>0.8</v>
      </c>
      <c r="F36" s="54">
        <v>0.2</v>
      </c>
      <c r="G36" s="54"/>
      <c r="H36" s="54"/>
      <c r="I36" s="52">
        <f>IFERROR(B36/A36,"")</f>
        <v>16.333333333333332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/>
      <c r="B37" s="63"/>
      <c r="C37" s="63"/>
      <c r="D37" s="63"/>
      <c r="E37" s="54"/>
      <c r="F37" s="54"/>
      <c r="G37" s="54"/>
      <c r="H37" s="54"/>
      <c r="I37" s="56" t="str">
        <f t="shared" ref="I37:I55" si="1">IF(A37&lt;&gt;0,(B37-(B36-D36))/(A37-A36),"")</f>
        <v/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/>
      <c r="B38" s="63"/>
      <c r="C38" s="63"/>
      <c r="D38" s="63"/>
      <c r="E38" s="54"/>
      <c r="F38" s="54"/>
      <c r="G38" s="54"/>
      <c r="H38" s="54"/>
      <c r="I38" s="56" t="str">
        <f t="shared" si="1"/>
        <v/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/>
      <c r="B39" s="63"/>
      <c r="C39" s="63"/>
      <c r="D39" s="63"/>
      <c r="E39" s="54"/>
      <c r="F39" s="54"/>
      <c r="G39" s="54"/>
      <c r="H39" s="54"/>
      <c r="I39" s="52" t="str">
        <f t="shared" si="1"/>
        <v/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/>
      <c r="B40" s="63"/>
      <c r="C40" s="63"/>
      <c r="D40" s="63"/>
      <c r="E40" s="54"/>
      <c r="F40" s="54"/>
      <c r="G40" s="54"/>
      <c r="H40" s="54"/>
      <c r="I40" s="52" t="str">
        <f t="shared" si="1"/>
        <v/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/>
      <c r="B41" s="63"/>
      <c r="C41" s="63"/>
      <c r="D41" s="63"/>
      <c r="E41" s="54"/>
      <c r="F41" s="54"/>
      <c r="G41" s="54"/>
      <c r="H41" s="54"/>
      <c r="I41" s="56" t="str">
        <f t="shared" si="1"/>
        <v/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/>
      <c r="B42" s="63"/>
      <c r="C42" s="63"/>
      <c r="D42" s="63"/>
      <c r="E42" s="54"/>
      <c r="F42" s="54"/>
      <c r="G42" s="54"/>
      <c r="H42" s="54"/>
      <c r="I42" s="56" t="str">
        <f t="shared" si="1"/>
        <v/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/>
      <c r="B43" s="63"/>
      <c r="C43" s="63"/>
      <c r="D43" s="63"/>
      <c r="E43" s="54"/>
      <c r="F43" s="54"/>
      <c r="G43" s="54"/>
      <c r="H43" s="54"/>
      <c r="I43" s="52" t="str">
        <f t="shared" si="1"/>
        <v/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/>
      <c r="B44" s="63"/>
      <c r="C44" s="63"/>
      <c r="D44" s="63"/>
      <c r="E44" s="54"/>
      <c r="F44" s="54"/>
      <c r="G44" s="54"/>
      <c r="H44" s="54"/>
      <c r="I44" s="52" t="str">
        <f t="shared" si="1"/>
        <v/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/>
      <c r="B45" s="63"/>
      <c r="C45" s="63"/>
      <c r="D45" s="63"/>
      <c r="E45" s="54"/>
      <c r="F45" s="54"/>
      <c r="G45" s="54"/>
      <c r="H45" s="54"/>
      <c r="I45" s="52" t="str">
        <f t="shared" si="1"/>
        <v/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/>
      <c r="B46" s="63"/>
      <c r="C46" s="63"/>
      <c r="D46" s="63"/>
      <c r="E46" s="54"/>
      <c r="F46" s="54"/>
      <c r="G46" s="54"/>
      <c r="H46" s="54"/>
      <c r="I46" s="52" t="str">
        <f t="shared" si="1"/>
        <v/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Peuplier Soligo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5" t="s">
        <v>186</v>
      </c>
      <c r="D60" s="295"/>
      <c r="E60" s="296" t="s">
        <v>187</v>
      </c>
      <c r="F60" s="297"/>
      <c r="G60" s="297"/>
      <c r="H60" s="298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18</v>
      </c>
      <c r="B62" s="63">
        <v>294</v>
      </c>
      <c r="C62" s="63">
        <v>1</v>
      </c>
      <c r="D62" s="63">
        <v>294</v>
      </c>
      <c r="E62" s="54">
        <v>0.8</v>
      </c>
      <c r="F62" s="54">
        <v>0.2</v>
      </c>
      <c r="G62" s="54"/>
      <c r="H62" s="54"/>
      <c r="I62" s="56">
        <f>IFERROR(B62/A62,"")</f>
        <v>16.333333333333332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/>
      <c r="B63" s="63"/>
      <c r="C63" s="63"/>
      <c r="D63" s="63"/>
      <c r="E63" s="54"/>
      <c r="F63" s="54"/>
      <c r="G63" s="54"/>
      <c r="H63" s="54"/>
      <c r="I63" s="52" t="str">
        <f>IF(A63&lt;&gt;0,(B63-(B62-D62))/(A63-A62),"")</f>
        <v/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/>
      <c r="B64" s="63"/>
      <c r="C64" s="63"/>
      <c r="D64" s="63"/>
      <c r="E64" s="54"/>
      <c r="F64" s="54"/>
      <c r="G64" s="54"/>
      <c r="H64" s="54"/>
      <c r="I64" s="52" t="str">
        <f>IF(A64&lt;&gt;0,(B64-(B63-D63))/(A64-A63),"")</f>
        <v/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/>
      <c r="B65" s="63"/>
      <c r="C65" s="63"/>
      <c r="D65" s="63"/>
      <c r="E65" s="54"/>
      <c r="F65" s="54"/>
      <c r="G65" s="54"/>
      <c r="H65" s="54"/>
      <c r="I65" s="52" t="str">
        <f>IF(A65&lt;&gt;0,(B65-(B64-D64))/(A65-A64),"")</f>
        <v/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/>
      <c r="B66" s="63"/>
      <c r="C66" s="63"/>
      <c r="D66" s="63"/>
      <c r="E66" s="54"/>
      <c r="F66" s="54"/>
      <c r="G66" s="54"/>
      <c r="H66" s="54"/>
      <c r="I66" s="52" t="str">
        <f t="shared" ref="I66:I81" si="2">IF(A66&lt;&gt;0,(B66-(B65-D65))/(A66-A65),"")</f>
        <v/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5" t="s">
        <v>186</v>
      </c>
      <c r="D86" s="295"/>
      <c r="E86" s="296" t="s">
        <v>187</v>
      </c>
      <c r="F86" s="297"/>
      <c r="G86" s="297"/>
      <c r="H86" s="298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5" t="s">
        <v>186</v>
      </c>
      <c r="D112" s="295"/>
      <c r="E112" s="296" t="s">
        <v>187</v>
      </c>
      <c r="F112" s="297"/>
      <c r="G112" s="297"/>
      <c r="H112" s="298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5" t="s">
        <v>186</v>
      </c>
      <c r="D138" s="295"/>
      <c r="E138" s="296" t="s">
        <v>187</v>
      </c>
      <c r="F138" s="297"/>
      <c r="G138" s="297"/>
      <c r="H138" s="298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5" t="s">
        <v>186</v>
      </c>
      <c r="D164" s="295"/>
      <c r="E164" s="296" t="s">
        <v>187</v>
      </c>
      <c r="F164" s="297"/>
      <c r="G164" s="297"/>
      <c r="H164" s="298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5" t="s">
        <v>186</v>
      </c>
      <c r="D190" s="295"/>
      <c r="E190" s="296" t="s">
        <v>187</v>
      </c>
      <c r="F190" s="297"/>
      <c r="G190" s="297"/>
      <c r="H190" s="298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5" t="s">
        <v>186</v>
      </c>
      <c r="D216" s="295"/>
      <c r="E216" s="296" t="s">
        <v>187</v>
      </c>
      <c r="F216" s="297"/>
      <c r="G216" s="297"/>
      <c r="H216" s="298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5" t="s">
        <v>186</v>
      </c>
      <c r="D242" s="295"/>
      <c r="E242" s="296" t="s">
        <v>187</v>
      </c>
      <c r="F242" s="297"/>
      <c r="G242" s="297"/>
      <c r="H242" s="298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5" t="s">
        <v>186</v>
      </c>
      <c r="D268" s="295"/>
      <c r="E268" s="296" t="s">
        <v>187</v>
      </c>
      <c r="F268" s="297"/>
      <c r="G268" s="297"/>
      <c r="H268" s="298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F21" sqref="F21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9" t="s">
        <v>191</v>
      </c>
      <c r="C2" s="310"/>
      <c r="D2" s="310"/>
      <c r="E2" s="310"/>
      <c r="F2" s="310"/>
      <c r="G2" s="311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8"/>
      <c r="C4" s="308"/>
      <c r="D4" s="308"/>
      <c r="E4" s="308"/>
      <c r="F4" s="308"/>
      <c r="G4" s="308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0</v>
      </c>
      <c r="C8" s="52" t="s">
        <v>177</v>
      </c>
      <c r="D8" s="25"/>
      <c r="E8" s="114">
        <v>4</v>
      </c>
      <c r="F8" s="64">
        <v>1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1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127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0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5" t="s">
        <v>176</v>
      </c>
      <c r="C1" s="316"/>
      <c r="D1" s="316"/>
      <c r="E1" s="316"/>
      <c r="F1" s="316"/>
      <c r="G1" s="316"/>
      <c r="H1" s="317"/>
      <c r="I1" s="312" t="str">
        <f>IF('Données projet'!$B$9="","",'Données projet'!$B$9)</f>
        <v>Peuplier Taro</v>
      </c>
      <c r="J1" s="313"/>
      <c r="K1" s="313"/>
      <c r="L1" s="313"/>
      <c r="M1" s="313"/>
      <c r="N1" s="313"/>
      <c r="O1" s="313"/>
      <c r="P1" s="313"/>
      <c r="Q1" s="313"/>
      <c r="R1" s="313"/>
      <c r="S1" s="313"/>
      <c r="T1" s="313"/>
      <c r="U1" s="313"/>
      <c r="V1" s="313"/>
      <c r="W1" s="313"/>
      <c r="X1" s="313"/>
      <c r="Y1" s="313"/>
      <c r="Z1" s="313"/>
      <c r="AA1" s="313"/>
      <c r="AB1" s="313"/>
      <c r="AC1" s="314"/>
      <c r="AD1" s="313" t="str">
        <f>IF('Données projet'!$B$10="","",'Données projet'!$B$10)</f>
        <v>Peuplier Soligo</v>
      </c>
      <c r="AE1" s="313"/>
      <c r="AF1" s="313"/>
      <c r="AG1" s="313"/>
      <c r="AH1" s="313"/>
      <c r="AI1" s="313"/>
      <c r="AJ1" s="313"/>
      <c r="AK1" s="313"/>
      <c r="AL1" s="313"/>
      <c r="AM1" s="313"/>
      <c r="AN1" s="313"/>
      <c r="AO1" s="313"/>
      <c r="AP1" s="313"/>
      <c r="AQ1" s="313"/>
      <c r="AR1" s="313"/>
      <c r="AS1" s="313"/>
      <c r="AT1" s="313"/>
      <c r="AU1" s="313"/>
      <c r="AV1" s="313"/>
      <c r="AW1" s="313"/>
      <c r="AX1" s="314"/>
      <c r="AY1" s="312" t="str">
        <f>IF('Données projet'!$B$11="","",'Données projet'!$B$11)</f>
        <v/>
      </c>
      <c r="AZ1" s="313"/>
      <c r="BA1" s="313"/>
      <c r="BB1" s="313"/>
      <c r="BC1" s="313"/>
      <c r="BD1" s="313"/>
      <c r="BE1" s="313"/>
      <c r="BF1" s="313"/>
      <c r="BG1" s="313"/>
      <c r="BH1" s="313"/>
      <c r="BI1" s="313"/>
      <c r="BJ1" s="313"/>
      <c r="BK1" s="313"/>
      <c r="BL1" s="313"/>
      <c r="BM1" s="313"/>
      <c r="BN1" s="313"/>
      <c r="BO1" s="313"/>
      <c r="BP1" s="313"/>
      <c r="BQ1" s="313"/>
      <c r="BR1" s="313"/>
      <c r="BS1" s="314"/>
      <c r="BT1" s="312" t="str">
        <f>IF('Données projet'!$B$12="","",'Données projet'!$B$12)</f>
        <v/>
      </c>
      <c r="BU1" s="313"/>
      <c r="BV1" s="313"/>
      <c r="BW1" s="313"/>
      <c r="BX1" s="313"/>
      <c r="BY1" s="313"/>
      <c r="BZ1" s="313"/>
      <c r="CA1" s="313"/>
      <c r="CB1" s="313"/>
      <c r="CC1" s="313"/>
      <c r="CD1" s="313"/>
      <c r="CE1" s="313"/>
      <c r="CF1" s="313"/>
      <c r="CG1" s="313"/>
      <c r="CH1" s="313"/>
      <c r="CI1" s="313"/>
      <c r="CJ1" s="313"/>
      <c r="CK1" s="313"/>
      <c r="CL1" s="313"/>
      <c r="CM1" s="313"/>
      <c r="CN1" s="314"/>
      <c r="CO1" s="312" t="str">
        <f>IF('Données projet'!$B$13="","",'Données projet'!$B$13)</f>
        <v/>
      </c>
      <c r="CP1" s="313"/>
      <c r="CQ1" s="313"/>
      <c r="CR1" s="313"/>
      <c r="CS1" s="313"/>
      <c r="CT1" s="313"/>
      <c r="CU1" s="313"/>
      <c r="CV1" s="313"/>
      <c r="CW1" s="313"/>
      <c r="CX1" s="313"/>
      <c r="CY1" s="313"/>
      <c r="CZ1" s="313"/>
      <c r="DA1" s="313"/>
      <c r="DB1" s="313"/>
      <c r="DC1" s="313"/>
      <c r="DD1" s="313"/>
      <c r="DE1" s="313"/>
      <c r="DF1" s="313"/>
      <c r="DG1" s="313"/>
      <c r="DH1" s="313"/>
      <c r="DI1" s="314"/>
      <c r="DJ1" s="312" t="str">
        <f>IF('Données projet'!$B$14="","",'Données projet'!$B$14)</f>
        <v/>
      </c>
      <c r="DK1" s="313"/>
      <c r="DL1" s="313"/>
      <c r="DM1" s="313"/>
      <c r="DN1" s="313"/>
      <c r="DO1" s="313"/>
      <c r="DP1" s="313"/>
      <c r="DQ1" s="313"/>
      <c r="DR1" s="313"/>
      <c r="DS1" s="313"/>
      <c r="DT1" s="313"/>
      <c r="DU1" s="313"/>
      <c r="DV1" s="313"/>
      <c r="DW1" s="313"/>
      <c r="DX1" s="313"/>
      <c r="DY1" s="313"/>
      <c r="DZ1" s="313"/>
      <c r="EA1" s="313"/>
      <c r="EB1" s="313"/>
      <c r="EC1" s="313"/>
      <c r="ED1" s="314"/>
      <c r="EE1" s="312" t="str">
        <f>IF('Données projet'!$B$15="","",'Données projet'!$B$15)</f>
        <v/>
      </c>
      <c r="EF1" s="313"/>
      <c r="EG1" s="313"/>
      <c r="EH1" s="313"/>
      <c r="EI1" s="313"/>
      <c r="EJ1" s="313"/>
      <c r="EK1" s="313"/>
      <c r="EL1" s="313"/>
      <c r="EM1" s="313"/>
      <c r="EN1" s="313"/>
      <c r="EO1" s="313"/>
      <c r="EP1" s="313"/>
      <c r="EQ1" s="313"/>
      <c r="ER1" s="313"/>
      <c r="ES1" s="313"/>
      <c r="ET1" s="313"/>
      <c r="EU1" s="313"/>
      <c r="EV1" s="313"/>
      <c r="EW1" s="313"/>
      <c r="EX1" s="313"/>
      <c r="EY1" s="314"/>
      <c r="EZ1" s="312" t="str">
        <f>IF('Données projet'!$B$16="","",'Données projet'!$B$16)</f>
        <v/>
      </c>
      <c r="FA1" s="313"/>
      <c r="FB1" s="313"/>
      <c r="FC1" s="313"/>
      <c r="FD1" s="313"/>
      <c r="FE1" s="313"/>
      <c r="FF1" s="313"/>
      <c r="FG1" s="313"/>
      <c r="FH1" s="313"/>
      <c r="FI1" s="313"/>
      <c r="FJ1" s="313"/>
      <c r="FK1" s="313"/>
      <c r="FL1" s="313"/>
      <c r="FM1" s="313"/>
      <c r="FN1" s="313"/>
      <c r="FO1" s="313"/>
      <c r="FP1" s="313"/>
      <c r="FQ1" s="313"/>
      <c r="FR1" s="313"/>
      <c r="FS1" s="313"/>
      <c r="FT1" s="314"/>
      <c r="FU1" s="312" t="str">
        <f>IF('Données projet'!$B$17="","",'Données projet'!$B$17)</f>
        <v/>
      </c>
      <c r="FV1" s="313"/>
      <c r="FW1" s="313"/>
      <c r="FX1" s="313"/>
      <c r="FY1" s="313"/>
      <c r="FZ1" s="313"/>
      <c r="GA1" s="313"/>
      <c r="GB1" s="313"/>
      <c r="GC1" s="313"/>
      <c r="GD1" s="313"/>
      <c r="GE1" s="313"/>
      <c r="GF1" s="313"/>
      <c r="GG1" s="313"/>
      <c r="GH1" s="313"/>
      <c r="GI1" s="313"/>
      <c r="GJ1" s="313"/>
      <c r="GK1" s="313"/>
      <c r="GL1" s="313"/>
      <c r="GM1" s="313"/>
      <c r="GN1" s="313"/>
      <c r="GO1" s="314"/>
      <c r="GP1" s="312" t="str">
        <f>IF('Données projet'!$B$18="","",'Données projet'!$B$18)</f>
        <v/>
      </c>
      <c r="GQ1" s="313"/>
      <c r="GR1" s="313"/>
      <c r="GS1" s="313"/>
      <c r="GT1" s="313"/>
      <c r="GU1" s="313"/>
      <c r="GV1" s="313"/>
      <c r="GW1" s="313"/>
      <c r="GX1" s="313"/>
      <c r="GY1" s="313"/>
      <c r="GZ1" s="313"/>
      <c r="HA1" s="313"/>
      <c r="HB1" s="313"/>
      <c r="HC1" s="313"/>
      <c r="HD1" s="313"/>
      <c r="HE1" s="313"/>
      <c r="HF1" s="313"/>
      <c r="HG1" s="313"/>
      <c r="HH1" s="313"/>
      <c r="HI1" s="313"/>
      <c r="HJ1" s="314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10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293.33333333333331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293.33333333333331</v>
      </c>
      <c r="S3" s="62">
        <f ca="1">AVERAGE(OFFSET($R$3,0,0,'Données projet'!$E$9+1,1))-AVERAGE(OFFSET($H$3,0,0,'Données projet'!$E$9+1,1))</f>
        <v>61.920120153277935</v>
      </c>
      <c r="T3" s="62">
        <f>IF('Données projet'!E9&gt;30,$R$33-$H$33,LOOKUP('Données projet'!$E$9,$A$3:$A$203,R3:R203)-LOOKUP('Données projet'!$E$9,$A$3:$A$203,$H$3:$H$203))</f>
        <v>346.77984765566453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293.33333333333331</v>
      </c>
      <c r="AN3" s="62">
        <f ca="1">AVERAGE(OFFSET($AM$3,0,0,'Données projet'!$E$10+1,1))-AVERAGE(OFFSET($H$3,0,0,'Données projet'!$E$10+1,1))</f>
        <v>60.374143206158408</v>
      </c>
      <c r="AO3" s="62">
        <f>IF('Données projet'!E10&gt;30,$AM$33-$H$33,LOOKUP('Données projet'!$E$10,$A$3:$A$203,AM3:AM203)-LOOKUP('Données projet'!$E$10,$A$3:$A$203,$H$3:$H$203))</f>
        <v>338.95520219048694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0.51168000000000002</v>
      </c>
      <c r="D4" s="12">
        <f>IFERROR(EXP(-1.0587+0.8836*LN(C4)+0.284),0)</f>
        <v>0.25493125753163876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10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5.9177009353319496</v>
      </c>
      <c r="H4" s="70">
        <f t="shared" ref="H4:H67" si="1">(B4+E4+F4)*44/12+(C4+D4)*0.475*44/12</f>
        <v>294.66851460686757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16.333333333333332</v>
      </c>
      <c r="N4" s="14">
        <f>IF('Données projet'!$A$36&gt;35,N3+M4-V3,IF(A4&lt;'Données projet'!$A$36,$K$205^A4,IF(A4='Données projet'!$A$36,'Données projet'!$B$36,N3+M4-V3)))</f>
        <v>1.3712934678213495</v>
      </c>
      <c r="O4" s="14">
        <f>N4*VLOOKUP('Données projet'!$B$9,Paramètres!$A$1:$I$89,3,0)*VLOOKUP('Données projet'!$B$9,Paramètres!$A$1:$I$89,5,0)</f>
        <v>0.78723215400688029</v>
      </c>
      <c r="P4" s="14">
        <f>EXP(-1.0587+0.8836*LN(O4)+0.284)</f>
        <v>0.37303408866704529</v>
      </c>
      <c r="Q4" s="22">
        <f t="shared" ref="Q4:Q34" si="2">(O4+P4)*0.475*44/12</f>
        <v>2.0207970393237535</v>
      </c>
      <c r="R4" s="62">
        <f t="shared" si="0"/>
        <v>295.3541303726571</v>
      </c>
      <c r="S4" s="62">
        <f ca="1">AVERAGE(OFFSET($R$3,0,0,'Données projet'!$E$9+1,1))-AVERAGE(OFFSET($H$3,0,0,'Données projet'!$E$9+1,1))</f>
        <v>61.920120153277935</v>
      </c>
      <c r="T4" s="62">
        <f>$T$3</f>
        <v>346.77984765566453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16.333333333333332</v>
      </c>
      <c r="AI4" s="14">
        <f>IF('Données projet'!$A$62&gt;35,AI3+AH4-AQ3,IF(A4&lt;'Données projet'!$A$62,$AF$205^A4,IF(A4='Données projet'!$A$62,'Données projet'!$B$62,AI3+AH4-AQ3)))</f>
        <v>1.3712934678213495</v>
      </c>
      <c r="AJ4" s="14">
        <f>AI4*VLOOKUP('Données projet'!$B$10,Paramètres!$A$1:$I$89,3,0)*VLOOKUP('Données projet'!$B$10,Paramètres!$A$1:$I$89,5,0)</f>
        <v>0.77011841152846994</v>
      </c>
      <c r="AK4" s="14">
        <f>EXP(-1.0587+0.8836*LN(AJ4)+0.284)</f>
        <v>0.36585945027979877</v>
      </c>
      <c r="AL4" s="22">
        <f t="shared" ref="AL4:AL67" si="4">(AJ4+AK4)*0.475*44/12</f>
        <v>1.9784947759827345</v>
      </c>
      <c r="AM4" s="62">
        <f t="shared" ref="AM4:AM67" si="5">AL4+(AD4+AE4)*44/12</f>
        <v>295.31182810931602</v>
      </c>
      <c r="AN4" s="62">
        <f ca="1">AVERAGE(OFFSET($AM$3,0,0,'Données projet'!$E$10+1,1))-AVERAGE(OFFSET($H$3,0,0,'Données projet'!$E$10+1,1))</f>
        <v>60.374143206158408</v>
      </c>
      <c r="AO4" s="62">
        <f>$AO$3</f>
        <v>338.95520219048694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1.02336</v>
      </c>
      <c r="D5" s="12">
        <f t="shared" ref="D5:D68" si="32">IFERROR(EXP(-1.0587+0.8836*LN(C5)+0.284),0)</f>
        <v>0.47034138365880424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10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11.530326470348664</v>
      </c>
      <c r="H5" s="70">
        <f t="shared" si="1"/>
        <v>295.93486324320571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16.333333333333332</v>
      </c>
      <c r="N5" s="14">
        <f>IF('Données projet'!$A$36&gt;35,N4+M5-V4,IF(A5&lt;'Données projet'!$A$36,$K$205^A5,IF(A5='Données projet'!$A$36,'Données projet'!$B$36,N4+M5-V4)))</f>
        <v>1.8804457748895025</v>
      </c>
      <c r="O5" s="14">
        <f>N5*VLOOKUP('Données projet'!$B$9,Paramètres!$A$1:$I$89,3,0)*VLOOKUP('Données projet'!$B$9,Paramètres!$A$1:$I$89,5,0)</f>
        <v>1.0795263104485655</v>
      </c>
      <c r="P5" s="14">
        <f t="shared" ref="P5:P68" si="33">EXP(-1.0587+0.8836*LN(O5)+0.284)</f>
        <v>0.4930795014978186</v>
      </c>
      <c r="Q5" s="22">
        <f t="shared" si="2"/>
        <v>2.7389551224732855</v>
      </c>
      <c r="R5" s="62">
        <f t="shared" si="0"/>
        <v>296.07228845580659</v>
      </c>
      <c r="S5" s="62">
        <f ca="1">AVERAGE(OFFSET($R$3,0,0,'Données projet'!$E$9+1,1))-AVERAGE(OFFSET($H$3,0,0,'Données projet'!$E$9+1,1))</f>
        <v>61.920120153277935</v>
      </c>
      <c r="T5" s="62">
        <f t="shared" ref="T5:T68" si="34">$T$3</f>
        <v>346.77984765566453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16.333333333333332</v>
      </c>
      <c r="AI5" s="14">
        <f>IF('Données projet'!$A$62&gt;35,AI4+AH5-AQ4,IF(A5&lt;'Données projet'!$A$62,$AF$205^A5,IF(A5='Données projet'!$A$62,'Données projet'!$B$62,AI4+AH5-AQ4)))</f>
        <v>1.8804457748895025</v>
      </c>
      <c r="AJ5" s="14">
        <f>AI5*VLOOKUP('Données projet'!$B$10,Paramètres!$A$1:$I$89,3,0)*VLOOKUP('Données projet'!$B$10,Paramètres!$A$1:$I$89,5,0)</f>
        <v>1.0560583471779446</v>
      </c>
      <c r="AK5" s="14">
        <f t="shared" ref="AK5:AK68" si="35">EXP(-1.0587+0.8836*LN(AJ5)+0.284)</f>
        <v>0.48359600594905611</v>
      </c>
      <c r="AL5" s="22">
        <f t="shared" si="4"/>
        <v>2.6815646650295264</v>
      </c>
      <c r="AM5" s="62">
        <f t="shared" si="5"/>
        <v>296.01489799836281</v>
      </c>
      <c r="AN5" s="62">
        <f ca="1">AVERAGE(OFFSET($AM$3,0,0,'Données projet'!$E$10+1,1))-AVERAGE(OFFSET($H$3,0,0,'Données projet'!$E$10+1,1))</f>
        <v>60.374143206158408</v>
      </c>
      <c r="AO5" s="62">
        <f t="shared" ref="AO5:AO68" si="36">$AO$3</f>
        <v>338.95520219048694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1.53504</v>
      </c>
      <c r="D6" s="12">
        <f t="shared" si="32"/>
        <v>0.67298816817902041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10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17.044427964890687</v>
      </c>
      <c r="H6" s="70">
        <f t="shared" si="1"/>
        <v>297.17898239291179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16.333333333333332</v>
      </c>
      <c r="N6" s="14">
        <f>IF('Données projet'!$A$36&gt;35,N5+M6-V5,IF(A6&lt;'Données projet'!$A$36,$K$205^A6,IF(A6='Données projet'!$A$36,'Données projet'!$B$36,N5+M6-V5)))</f>
        <v>2.5786430076982305</v>
      </c>
      <c r="O6" s="14">
        <f>N6*VLOOKUP('Données projet'!$B$9,Paramètres!$A$1:$I$89,3,0)*VLOOKUP('Données projet'!$B$9,Paramètres!$A$1:$I$89,5,0)</f>
        <v>1.4803473778594001</v>
      </c>
      <c r="P6" s="14">
        <f t="shared" si="33"/>
        <v>0.65175650747120517</v>
      </c>
      <c r="Q6" s="22">
        <f t="shared" si="2"/>
        <v>3.7134142669508035</v>
      </c>
      <c r="R6" s="62">
        <f t="shared" si="0"/>
        <v>297.04674760028411</v>
      </c>
      <c r="S6" s="62">
        <f ca="1">AVERAGE(OFFSET($R$3,0,0,'Données projet'!$E$9+1,1))-AVERAGE(OFFSET($H$3,0,0,'Données projet'!$E$9+1,1))</f>
        <v>61.920120153277935</v>
      </c>
      <c r="T6" s="62">
        <f t="shared" si="34"/>
        <v>346.77984765566453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16.333333333333332</v>
      </c>
      <c r="AI6" s="14">
        <f>IF('Données projet'!$A$62&gt;35,AI5+AH6-AQ5,IF(A6&lt;'Données projet'!$A$62,$AF$205^A6,IF(A6='Données projet'!$A$62,'Données projet'!$B$62,AI5+AH6-AQ5)))</f>
        <v>2.5786430076982305</v>
      </c>
      <c r="AJ6" s="14">
        <f>AI6*VLOOKUP('Données projet'!$B$10,Paramètres!$A$1:$I$89,3,0)*VLOOKUP('Données projet'!$B$10,Paramètres!$A$1:$I$89,5,0)</f>
        <v>1.4481659131233264</v>
      </c>
      <c r="AK6" s="14">
        <f t="shared" si="35"/>
        <v>0.63922114569140209</v>
      </c>
      <c r="AL6" s="22">
        <f t="shared" si="4"/>
        <v>3.6355324607689856</v>
      </c>
      <c r="AM6" s="62">
        <f t="shared" si="5"/>
        <v>296.96886579410233</v>
      </c>
      <c r="AN6" s="62">
        <f ca="1">AVERAGE(OFFSET($AM$3,0,0,'Données projet'!$E$10+1,1))-AVERAGE(OFFSET($H$3,0,0,'Données projet'!$E$10+1,1))</f>
        <v>60.374143206158408</v>
      </c>
      <c r="AO6" s="62">
        <f t="shared" si="36"/>
        <v>338.95520219048694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2.0467200000000001</v>
      </c>
      <c r="D7" s="12">
        <f t="shared" si="32"/>
        <v>0.8677673319625131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10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22.497796948482559</v>
      </c>
      <c r="H7" s="70">
        <f t="shared" si="1"/>
        <v>298.4093987698347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16.333333333333332</v>
      </c>
      <c r="N7" s="14">
        <f>IF('Données projet'!$A$36&gt;35,N6+M7-V6,IF(A7&lt;'Données projet'!$A$36,$K$205^A7,IF(A7='Données projet'!$A$36,'Données projet'!$B$36,N6+M7-V6)))</f>
        <v>3.5360763122997816</v>
      </c>
      <c r="O7" s="14">
        <f>N7*VLOOKUP('Données projet'!$B$9,Paramètres!$A$1:$I$89,3,0)*VLOOKUP('Données projet'!$B$9,Paramètres!$A$1:$I$89,5,0)</f>
        <v>2.029990689365059</v>
      </c>
      <c r="P7" s="14">
        <f t="shared" si="33"/>
        <v>0.86149706840519025</v>
      </c>
      <c r="Q7" s="22">
        <f t="shared" si="2"/>
        <v>5.0360078447831844</v>
      </c>
      <c r="R7" s="62">
        <f t="shared" si="0"/>
        <v>298.36934117811649</v>
      </c>
      <c r="S7" s="62">
        <f ca="1">AVERAGE(OFFSET($R$3,0,0,'Données projet'!$E$9+1,1))-AVERAGE(OFFSET($H$3,0,0,'Données projet'!$E$9+1,1))</f>
        <v>61.920120153277935</v>
      </c>
      <c r="T7" s="62">
        <f t="shared" si="34"/>
        <v>346.77984765566453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16.333333333333332</v>
      </c>
      <c r="AI7" s="14">
        <f>IF('Données projet'!$A$62&gt;35,AI6+AH7-AQ6,IF(A7&lt;'Données projet'!$A$62,$AF$205^A7,IF(A7='Données projet'!$A$62,'Données projet'!$B$62,AI6+AH7-AQ6)))</f>
        <v>3.5360763122997816</v>
      </c>
      <c r="AJ7" s="14">
        <f>AI7*VLOOKUP('Données projet'!$B$10,Paramètres!$A$1:$I$89,3,0)*VLOOKUP('Données projet'!$B$10,Paramètres!$A$1:$I$89,5,0)</f>
        <v>1.9858604569875573</v>
      </c>
      <c r="AK7" s="14">
        <f t="shared" si="35"/>
        <v>0.84492772494500823</v>
      </c>
      <c r="AL7" s="22">
        <f t="shared" si="4"/>
        <v>4.9302894168658851</v>
      </c>
      <c r="AM7" s="62">
        <f t="shared" si="5"/>
        <v>298.2636227501992</v>
      </c>
      <c r="AN7" s="62">
        <f ca="1">AVERAGE(OFFSET($AM$3,0,0,'Données projet'!$E$10+1,1))-AVERAGE(OFFSET($H$3,0,0,'Données projet'!$E$10+1,1))</f>
        <v>60.374143206158408</v>
      </c>
      <c r="AO7" s="62">
        <f t="shared" si="36"/>
        <v>338.95520219048694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2.5584000000000002</v>
      </c>
      <c r="D8" s="12">
        <f t="shared" si="32"/>
        <v>1.0568977762000111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10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27.907561781193071</v>
      </c>
      <c r="H8" s="70">
        <f t="shared" si="1"/>
        <v>299.629976960215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16.333333333333332</v>
      </c>
      <c r="N8" s="14">
        <f>IF('Données projet'!$A$36&gt;35,N7+M8-V7,IF(A8&lt;'Données projet'!$A$36,$K$205^A8,IF(A8='Données projet'!$A$36,'Données projet'!$B$36,N7+M8-V7)))</f>
        <v>4.8489983487744972</v>
      </c>
      <c r="O8" s="14">
        <f>N8*VLOOKUP('Données projet'!$B$9,Paramètres!$A$1:$I$89,3,0)*VLOOKUP('Données projet'!$B$9,Paramètres!$A$1:$I$89,5,0)</f>
        <v>2.7837129720644636</v>
      </c>
      <c r="P8" s="14">
        <f t="shared" si="33"/>
        <v>1.1387338528469182</v>
      </c>
      <c r="Q8" s="22">
        <f t="shared" si="2"/>
        <v>6.831594886720656</v>
      </c>
      <c r="R8" s="62">
        <f t="shared" si="0"/>
        <v>300.16492822005398</v>
      </c>
      <c r="S8" s="62">
        <f ca="1">AVERAGE(OFFSET($R$3,0,0,'Données projet'!$E$9+1,1))-AVERAGE(OFFSET($H$3,0,0,'Données projet'!$E$9+1,1))</f>
        <v>61.920120153277935</v>
      </c>
      <c r="T8" s="62">
        <f t="shared" si="34"/>
        <v>346.77984765566453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16.333333333333332</v>
      </c>
      <c r="AI8" s="14">
        <f>IF('Données projet'!$A$62&gt;35,AI7+AH8-AQ7,IF(A8&lt;'Données projet'!$A$62,$AF$205^A8,IF(A8='Données projet'!$A$62,'Données projet'!$B$62,AI7+AH8-AQ7)))</f>
        <v>4.8489983487744972</v>
      </c>
      <c r="AJ8" s="14">
        <f>AI8*VLOOKUP('Données projet'!$B$10,Paramètres!$A$1:$I$89,3,0)*VLOOKUP('Données projet'!$B$10,Paramètres!$A$1:$I$89,5,0)</f>
        <v>2.7231974726717576</v>
      </c>
      <c r="AK8" s="14">
        <f t="shared" si="35"/>
        <v>1.1168323594936262</v>
      </c>
      <c r="AL8" s="22">
        <f t="shared" si="4"/>
        <v>6.6880519576880433</v>
      </c>
      <c r="AM8" s="62">
        <f t="shared" si="5"/>
        <v>300.02138529102137</v>
      </c>
      <c r="AN8" s="62">
        <f ca="1">AVERAGE(OFFSET($AM$3,0,0,'Données projet'!$E$10+1,1))-AVERAGE(OFFSET($H$3,0,0,'Données projet'!$E$10+1,1))</f>
        <v>60.374143206158408</v>
      </c>
      <c r="AO8" s="62">
        <f t="shared" si="36"/>
        <v>338.95520219048694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3.0700800000000004</v>
      </c>
      <c r="D9" s="12">
        <f t="shared" si="32"/>
        <v>1.2416452547724184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10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33.283493194734469</v>
      </c>
      <c r="H9" s="70">
        <f t="shared" si="1"/>
        <v>300.84292148539527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16.333333333333332</v>
      </c>
      <c r="N9" s="14">
        <f>IF('Données projet'!$A$36&gt;35,N8+M9-V8,IF(A9&lt;'Données projet'!$A$36,$K$205^A9,IF(A9='Données projet'!$A$36,'Données projet'!$B$36,N8+M9-V8)))</f>
        <v>6.6493997611509768</v>
      </c>
      <c r="O9" s="14">
        <f>N9*VLOOKUP('Données projet'!$B$9,Paramètres!$A$1:$I$89,3,0)*VLOOKUP('Données projet'!$B$9,Paramètres!$A$1:$I$89,5,0)</f>
        <v>3.817287414881553</v>
      </c>
      <c r="P9" s="14">
        <f t="shared" si="33"/>
        <v>1.5051876961346775</v>
      </c>
      <c r="Q9" s="22">
        <f t="shared" si="2"/>
        <v>9.2699774850199343</v>
      </c>
      <c r="R9" s="62">
        <f t="shared" si="0"/>
        <v>302.60331081835324</v>
      </c>
      <c r="S9" s="62">
        <f ca="1">AVERAGE(OFFSET($R$3,0,0,'Données projet'!$E$9+1,1))-AVERAGE(OFFSET($H$3,0,0,'Données projet'!$E$9+1,1))</f>
        <v>61.920120153277935</v>
      </c>
      <c r="T9" s="62">
        <f t="shared" si="34"/>
        <v>346.77984765566453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16.333333333333332</v>
      </c>
      <c r="AI9" s="14">
        <f>IF('Données projet'!$A$62&gt;35,AI8+AH9-AQ8,IF(A9&lt;'Données projet'!$A$62,$AF$205^A9,IF(A9='Données projet'!$A$62,'Données projet'!$B$62,AI8+AH9-AQ8)))</f>
        <v>6.6493997611509768</v>
      </c>
      <c r="AJ9" s="14">
        <f>AI9*VLOOKUP('Données projet'!$B$10,Paramètres!$A$1:$I$89,3,0)*VLOOKUP('Données projet'!$B$10,Paramètres!$A$1:$I$89,5,0)</f>
        <v>3.7343029058623887</v>
      </c>
      <c r="AK9" s="14">
        <f t="shared" si="35"/>
        <v>1.4762381235546285</v>
      </c>
      <c r="AL9" s="22">
        <f t="shared" si="4"/>
        <v>9.0750256262346376</v>
      </c>
      <c r="AM9" s="62">
        <f t="shared" si="5"/>
        <v>302.40835895956798</v>
      </c>
      <c r="AN9" s="62">
        <f ca="1">AVERAGE(OFFSET($AM$3,0,0,'Données projet'!$E$10+1,1))-AVERAGE(OFFSET($H$3,0,0,'Données projet'!$E$10+1,1))</f>
        <v>60.374143206158408</v>
      </c>
      <c r="AO9" s="62">
        <f t="shared" si="36"/>
        <v>338.95520219048694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3.5817600000000005</v>
      </c>
      <c r="D10" s="12">
        <f t="shared" si="32"/>
        <v>1.422825750265666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10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38.63189000205076</v>
      </c>
      <c r="H10" s="70">
        <f t="shared" si="1"/>
        <v>302.04965351504603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16.333333333333332</v>
      </c>
      <c r="N10" s="14">
        <f>IF('Données projet'!$A$36&gt;35,N9+M10-V9,IF(A10&lt;'Données projet'!$A$36,$K$205^A10,IF(A10='Données projet'!$A$36,'Données projet'!$B$36,N9+M10-V9)))</f>
        <v>9.1182784573991764</v>
      </c>
      <c r="O10" s="14">
        <f>N10*VLOOKUP('Données projet'!$B$9,Paramètres!$A$1:$I$89,3,0)*VLOOKUP('Données projet'!$B$9,Paramètres!$A$1:$I$89,5,0)</f>
        <v>5.2346212968237191</v>
      </c>
      <c r="P10" s="14">
        <f t="shared" si="33"/>
        <v>1.9895693756105317</v>
      </c>
      <c r="Q10" s="22">
        <f t="shared" si="2"/>
        <v>12.582132087822986</v>
      </c>
      <c r="R10" s="62">
        <f t="shared" si="0"/>
        <v>305.91546542115628</v>
      </c>
      <c r="S10" s="62">
        <f ca="1">AVERAGE(OFFSET($R$3,0,0,'Données projet'!$E$9+1,1))-AVERAGE(OFFSET($H$3,0,0,'Données projet'!$E$9+1,1))</f>
        <v>61.920120153277935</v>
      </c>
      <c r="T10" s="62">
        <f t="shared" si="34"/>
        <v>346.77984765566453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16.333333333333332</v>
      </c>
      <c r="AI10" s="14">
        <f>IF('Données projet'!$A$62&gt;35,AI9+AH10-AQ9,IF(A10&lt;'Données projet'!$A$62,$AF$205^A10,IF(A10='Données projet'!$A$62,'Données projet'!$B$62,AI9+AH10-AQ9)))</f>
        <v>9.1182784573991764</v>
      </c>
      <c r="AJ10" s="14">
        <f>AI10*VLOOKUP('Données projet'!$B$10,Paramètres!$A$1:$I$89,3,0)*VLOOKUP('Données projet'!$B$10,Paramètres!$A$1:$I$89,5,0)</f>
        <v>5.1208251816753778</v>
      </c>
      <c r="AK10" s="14">
        <f t="shared" si="35"/>
        <v>1.9513035944124861</v>
      </c>
      <c r="AL10" s="22">
        <f t="shared" si="4"/>
        <v>12.317290951686362</v>
      </c>
      <c r="AM10" s="62">
        <f t="shared" si="5"/>
        <v>305.65062428501966</v>
      </c>
      <c r="AN10" s="62">
        <f ca="1">AVERAGE(OFFSET($AM$3,0,0,'Données projet'!$E$10+1,1))-AVERAGE(OFFSET($H$3,0,0,'Données projet'!$E$10+1,1))</f>
        <v>60.374143206158408</v>
      </c>
      <c r="AO10" s="62">
        <f t="shared" si="36"/>
        <v>338.95520219048694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4.0934400000000002</v>
      </c>
      <c r="D11" s="12">
        <f t="shared" si="32"/>
        <v>1.6010076267658291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10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43.957139575034468</v>
      </c>
      <c r="H11" s="70">
        <f t="shared" si="1"/>
        <v>303.25116294995047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16.333333333333332</v>
      </c>
      <c r="N11" s="14">
        <f>IF('Données projet'!$A$36&gt;35,N10+M11-V10,IF(A11&lt;'Données projet'!$A$36,$K$205^A11,IF(A11='Données projet'!$A$36,'Données projet'!$B$36,N10+M11-V10)))</f>
        <v>12.503835686407623</v>
      </c>
      <c r="O11" s="14">
        <f>N11*VLOOKUP('Données projet'!$B$9,Paramètres!$A$1:$I$89,3,0)*VLOOKUP('Données projet'!$B$9,Paramètres!$A$1:$I$89,5,0)</f>
        <v>7.1782019908528882</v>
      </c>
      <c r="P11" s="14">
        <f t="shared" si="33"/>
        <v>2.6298290309789389</v>
      </c>
      <c r="Q11" s="22">
        <f t="shared" si="2"/>
        <v>17.082320696357097</v>
      </c>
      <c r="R11" s="62">
        <f t="shared" si="0"/>
        <v>310.41565402969042</v>
      </c>
      <c r="S11" s="62">
        <f ca="1">AVERAGE(OFFSET($R$3,0,0,'Données projet'!$E$9+1,1))-AVERAGE(OFFSET($H$3,0,0,'Données projet'!$E$9+1,1))</f>
        <v>61.920120153277935</v>
      </c>
      <c r="T11" s="62">
        <f t="shared" si="34"/>
        <v>346.77984765566453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16.333333333333332</v>
      </c>
      <c r="AI11" s="14">
        <f>IF('Données projet'!$A$62&gt;35,AI10+AH11-AQ10,IF(A11&lt;'Données projet'!$A$62,$AF$205^A11,IF(A11='Données projet'!$A$62,'Données projet'!$B$62,AI10+AH11-AQ10)))</f>
        <v>12.503835686407623</v>
      </c>
      <c r="AJ11" s="14">
        <f>AI11*VLOOKUP('Données projet'!$B$10,Paramètres!$A$1:$I$89,3,0)*VLOOKUP('Données projet'!$B$10,Paramètres!$A$1:$I$89,5,0)</f>
        <v>7.0221541214865209</v>
      </c>
      <c r="AK11" s="14">
        <f t="shared" si="35"/>
        <v>2.5792490092308524</v>
      </c>
      <c r="AL11" s="22">
        <f t="shared" si="4"/>
        <v>16.722443785999424</v>
      </c>
      <c r="AM11" s="62">
        <f t="shared" si="5"/>
        <v>310.05577711933273</v>
      </c>
      <c r="AN11" s="62">
        <f ca="1">AVERAGE(OFFSET($AM$3,0,0,'Données projet'!$E$10+1,1))-AVERAGE(OFFSET($H$3,0,0,'Données projet'!$E$10+1,1))</f>
        <v>60.374143206158408</v>
      </c>
      <c r="AO11" s="62">
        <f t="shared" si="36"/>
        <v>338.95520219048694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4.6051200000000003</v>
      </c>
      <c r="D12" s="12">
        <f t="shared" si="32"/>
        <v>1.7766086391063436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10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49.262466687838447</v>
      </c>
      <c r="H12" s="70">
        <f t="shared" si="1"/>
        <v>304.44817737977684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16.333333333333332</v>
      </c>
      <c r="N12" s="14">
        <f>IF('Données projet'!$A$36&gt;35,N11+M12-V11,IF(A12&lt;'Données projet'!$A$36,$K$205^A12,IF(A12='Données projet'!$A$36,'Données projet'!$B$36,N11+M12-V11)))</f>
        <v>17.146428199482255</v>
      </c>
      <c r="O12" s="14">
        <f>N12*VLOOKUP('Données projet'!$B$9,Paramètres!$A$1:$I$89,3,0)*VLOOKUP('Données projet'!$B$9,Paramètres!$A$1:$I$89,5,0)</f>
        <v>9.8434215007587742</v>
      </c>
      <c r="P12" s="14">
        <f t="shared" si="33"/>
        <v>3.4761294664868565</v>
      </c>
      <c r="Q12" s="22">
        <f t="shared" si="2"/>
        <v>23.198217934619475</v>
      </c>
      <c r="R12" s="62">
        <f t="shared" si="0"/>
        <v>316.53155126795281</v>
      </c>
      <c r="S12" s="62">
        <f ca="1">AVERAGE(OFFSET($R$3,0,0,'Données projet'!$E$9+1,1))-AVERAGE(OFFSET($H$3,0,0,'Données projet'!$E$9+1,1))</f>
        <v>61.920120153277935</v>
      </c>
      <c r="T12" s="62">
        <f t="shared" si="34"/>
        <v>346.77984765566453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16.333333333333332</v>
      </c>
      <c r="AI12" s="14">
        <f>IF('Données projet'!$A$62&gt;35,AI11+AH12-AQ11,IF(A12&lt;'Données projet'!$A$62,$AF$205^A12,IF(A12='Données projet'!$A$62,'Données projet'!$B$62,AI11+AH12-AQ11)))</f>
        <v>17.146428199482255</v>
      </c>
      <c r="AJ12" s="14">
        <f>AI12*VLOOKUP('Données projet'!$B$10,Paramètres!$A$1:$I$89,3,0)*VLOOKUP('Données projet'!$B$10,Paramètres!$A$1:$I$89,5,0)</f>
        <v>9.6294340768292344</v>
      </c>
      <c r="AK12" s="14">
        <f t="shared" si="35"/>
        <v>3.4092723811239267</v>
      </c>
      <c r="AL12" s="22">
        <f t="shared" si="4"/>
        <v>22.709080414268424</v>
      </c>
      <c r="AM12" s="62">
        <f t="shared" si="5"/>
        <v>316.04241374760176</v>
      </c>
      <c r="AN12" s="62">
        <f ca="1">AVERAGE(OFFSET($AM$3,0,0,'Données projet'!$E$10+1,1))-AVERAGE(OFFSET($H$3,0,0,'Données projet'!$E$10+1,1))</f>
        <v>60.374143206158408</v>
      </c>
      <c r="AO12" s="62">
        <f t="shared" si="36"/>
        <v>338.95520219048694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5.1168000000000005</v>
      </c>
      <c r="D13" s="12">
        <f t="shared" si="32"/>
        <v>1.9499482615706021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10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54.550337457737982</v>
      </c>
      <c r="H13" s="70">
        <f t="shared" si="1"/>
        <v>305.64125322223543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16.333333333333332</v>
      </c>
      <c r="N13" s="14">
        <f>IF('Données projet'!$A$36&gt;35,N12+M13-V12,IF(A13&lt;'Données projet'!$A$36,$K$205^A13,IF(A13='Données projet'!$A$36,'Données projet'!$B$36,N12+M13-V12)))</f>
        <v>23.512784986417795</v>
      </c>
      <c r="O13" s="14">
        <f>N13*VLOOKUP('Données projet'!$B$9,Paramètres!$A$1:$I$89,3,0)*VLOOKUP('Données projet'!$B$9,Paramètres!$A$1:$I$89,5,0)</f>
        <v>13.498219605002729</v>
      </c>
      <c r="P13" s="14">
        <f t="shared" si="33"/>
        <v>4.5947762860006884</v>
      </c>
      <c r="Q13" s="22">
        <f t="shared" si="2"/>
        <v>31.511967843497619</v>
      </c>
      <c r="R13" s="62">
        <f t="shared" si="0"/>
        <v>324.84530117683096</v>
      </c>
      <c r="S13" s="62">
        <f ca="1">AVERAGE(OFFSET($R$3,0,0,'Données projet'!$E$9+1,1))-AVERAGE(OFFSET($H$3,0,0,'Données projet'!$E$9+1,1))</f>
        <v>61.920120153277935</v>
      </c>
      <c r="T13" s="62">
        <f t="shared" si="34"/>
        <v>346.77984765566453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16.333333333333332</v>
      </c>
      <c r="AI13" s="14">
        <f>IF('Données projet'!$A$62&gt;35,AI12+AH13-AQ12,IF(A13&lt;'Données projet'!$A$62,$AF$205^A13,IF(A13='Données projet'!$A$62,'Données projet'!$B$62,AI12+AH13-AQ12)))</f>
        <v>23.512784986417795</v>
      </c>
      <c r="AJ13" s="14">
        <f>AI13*VLOOKUP('Données projet'!$B$10,Paramètres!$A$1:$I$89,3,0)*VLOOKUP('Données projet'!$B$10,Paramètres!$A$1:$I$89,5,0)</f>
        <v>13.204780048372234</v>
      </c>
      <c r="AK13" s="14">
        <f t="shared" si="35"/>
        <v>4.506404045168364</v>
      </c>
      <c r="AL13" s="22">
        <f t="shared" si="4"/>
        <v>30.846978962916541</v>
      </c>
      <c r="AM13" s="62">
        <f t="shared" si="5"/>
        <v>324.18031229624984</v>
      </c>
      <c r="AN13" s="62">
        <f ca="1">AVERAGE(OFFSET($AM$3,0,0,'Données projet'!$E$10+1,1))-AVERAGE(OFFSET($H$3,0,0,'Données projet'!$E$10+1,1))</f>
        <v>60.374143206158408</v>
      </c>
      <c r="AO13" s="62">
        <f t="shared" si="36"/>
        <v>338.95520219048694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5.6284800000000006</v>
      </c>
      <c r="D14" s="12">
        <f t="shared" si="32"/>
        <v>2.1212783761607334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10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59.822696237030222</v>
      </c>
      <c r="H14" s="70">
        <f t="shared" si="1"/>
        <v>306.83082917181326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16.333333333333332</v>
      </c>
      <c r="N14" s="14">
        <f>IF('Données projet'!$A$36&gt;35,N13+M14-V13,IF(A14&lt;'Données projet'!$A$36,$K$205^A14,IF(A14='Données projet'!$A$36,'Données projet'!$B$36,N13+M14-V13)))</f>
        <v>32.242928462162624</v>
      </c>
      <c r="O14" s="14">
        <f>N14*VLOOKUP('Données projet'!$B$9,Paramètres!$A$1:$I$89,3,0)*VLOOKUP('Données projet'!$B$9,Paramètres!$A$1:$I$89,5,0)</f>
        <v>18.510020371558319</v>
      </c>
      <c r="P14" s="14">
        <f t="shared" si="33"/>
        <v>6.073412777611833</v>
      </c>
      <c r="Q14" s="22">
        <f t="shared" si="2"/>
        <v>42.816146068138011</v>
      </c>
      <c r="R14" s="62">
        <f t="shared" si="0"/>
        <v>336.14947940147135</v>
      </c>
      <c r="S14" s="62">
        <f ca="1">AVERAGE(OFFSET($R$3,0,0,'Données projet'!$E$9+1,1))-AVERAGE(OFFSET($H$3,0,0,'Données projet'!$E$9+1,1))</f>
        <v>61.920120153277935</v>
      </c>
      <c r="T14" s="62">
        <f t="shared" si="34"/>
        <v>346.77984765566453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16.333333333333332</v>
      </c>
      <c r="AI14" s="14">
        <f>IF('Données projet'!$A$62&gt;35,AI13+AH14-AQ13,IF(A14&lt;'Données projet'!$A$62,$AF$205^A14,IF(A14='Données projet'!$A$62,'Données projet'!$B$62,AI13+AH14-AQ13)))</f>
        <v>32.242928462162624</v>
      </c>
      <c r="AJ14" s="14">
        <f>AI14*VLOOKUP('Données projet'!$B$10,Paramètres!$A$1:$I$89,3,0)*VLOOKUP('Données projet'!$B$10,Paramètres!$A$1:$I$89,5,0)</f>
        <v>18.107628624350532</v>
      </c>
      <c r="AK14" s="14">
        <f t="shared" si="35"/>
        <v>5.9566016287660251</v>
      </c>
      <c r="AL14" s="22">
        <f t="shared" si="4"/>
        <v>41.911867690844666</v>
      </c>
      <c r="AM14" s="62">
        <f t="shared" si="5"/>
        <v>335.24520102417796</v>
      </c>
      <c r="AN14" s="62">
        <f ca="1">AVERAGE(OFFSET($AM$3,0,0,'Données projet'!$E$10+1,1))-AVERAGE(OFFSET($H$3,0,0,'Données projet'!$E$10+1,1))</f>
        <v>60.374143206158408</v>
      </c>
      <c r="AO14" s="62">
        <f t="shared" si="36"/>
        <v>338.95520219048694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6.1401600000000007</v>
      </c>
      <c r="D15" s="12">
        <f t="shared" si="32"/>
        <v>2.2908024414015595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10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65.081113582748884</v>
      </c>
      <c r="H15" s="70">
        <f t="shared" si="1"/>
        <v>308.01725958544102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16.333333333333332</v>
      </c>
      <c r="N15" s="14">
        <f>IF('Données projet'!$A$36&gt;35,N14+M15-V14,IF(A15&lt;'Données projet'!$A$36,$K$205^A15,IF(A15='Données projet'!$A$36,'Données projet'!$B$36,N14+M15-V14)))</f>
        <v>44.214517183594673</v>
      </c>
      <c r="O15" s="14">
        <f>N15*VLOOKUP('Données projet'!$B$9,Paramètres!$A$1:$I$89,3,0)*VLOOKUP('Données projet'!$B$9,Paramètres!$A$1:$I$89,5,0)</f>
        <v>25.382670024758028</v>
      </c>
      <c r="P15" s="14">
        <f t="shared" si="33"/>
        <v>8.027886554486571</v>
      </c>
      <c r="Q15" s="22">
        <f t="shared" si="2"/>
        <v>58.190052708851006</v>
      </c>
      <c r="R15" s="62">
        <f t="shared" si="0"/>
        <v>351.52338604218431</v>
      </c>
      <c r="S15" s="62">
        <f ca="1">AVERAGE(OFFSET($R$3,0,0,'Données projet'!$E$9+1,1))-AVERAGE(OFFSET($H$3,0,0,'Données projet'!$E$9+1,1))</f>
        <v>61.920120153277935</v>
      </c>
      <c r="T15" s="62">
        <f t="shared" si="34"/>
        <v>346.77984765566453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16.333333333333332</v>
      </c>
      <c r="AI15" s="14">
        <f>IF('Données projet'!$A$62&gt;35,AI14+AH15-AQ14,IF(A15&lt;'Données projet'!$A$62,$AF$205^A15,IF(A15='Données projet'!$A$62,'Données projet'!$B$62,AI14+AH15-AQ14)))</f>
        <v>44.214517183594673</v>
      </c>
      <c r="AJ15" s="14">
        <f>AI15*VLOOKUP('Données projet'!$B$10,Paramètres!$A$1:$I$89,3,0)*VLOOKUP('Données projet'!$B$10,Paramètres!$A$1:$I$89,5,0)</f>
        <v>24.830872850306768</v>
      </c>
      <c r="AK15" s="14">
        <f t="shared" si="35"/>
        <v>7.8734846250326429</v>
      </c>
      <c r="AL15" s="22">
        <f t="shared" si="4"/>
        <v>56.960089269549478</v>
      </c>
      <c r="AM15" s="62">
        <f t="shared" si="5"/>
        <v>350.2934226028828</v>
      </c>
      <c r="AN15" s="62">
        <f ca="1">AVERAGE(OFFSET($AM$3,0,0,'Données projet'!$E$10+1,1))-AVERAGE(OFFSET($H$3,0,0,'Données projet'!$E$10+1,1))</f>
        <v>60.374143206158408</v>
      </c>
      <c r="AO15" s="62">
        <f t="shared" si="36"/>
        <v>338.95520219048694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6.6518400000000009</v>
      </c>
      <c r="D16" s="12">
        <f t="shared" si="32"/>
        <v>2.4586880723865119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10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70.326883365790636</v>
      </c>
      <c r="H16" s="70">
        <f t="shared" si="1"/>
        <v>309.2008363927398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16.333333333333332</v>
      </c>
      <c r="N16" s="14">
        <f>IF('Données projet'!$A$36&gt;35,N15+M16-V15,IF(A16&lt;'Données projet'!$A$36,$K$205^A16,IF(A16='Données projet'!$A$36,'Données projet'!$B$36,N15+M16-V15)))</f>
        <v>60.631078596738192</v>
      </c>
      <c r="O16" s="14">
        <f>N16*VLOOKUP('Données projet'!$B$9,Paramètres!$A$1:$I$89,3,0)*VLOOKUP('Données projet'!$B$9,Paramètres!$A$1:$I$89,5,0)</f>
        <v>34.807089600815466</v>
      </c>
      <c r="P16" s="14">
        <f t="shared" si="33"/>
        <v>10.611325936757407</v>
      </c>
      <c r="Q16" s="22">
        <f t="shared" si="2"/>
        <v>79.103740394606078</v>
      </c>
      <c r="R16" s="62">
        <f t="shared" si="0"/>
        <v>372.43707372793938</v>
      </c>
      <c r="S16" s="62">
        <f ca="1">AVERAGE(OFFSET($R$3,0,0,'Données projet'!$E$9+1,1))-AVERAGE(OFFSET($H$3,0,0,'Données projet'!$E$9+1,1))</f>
        <v>61.920120153277935</v>
      </c>
      <c r="T16" s="62">
        <f t="shared" si="34"/>
        <v>346.77984765566453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16.333333333333332</v>
      </c>
      <c r="AI16" s="14">
        <f>IF('Données projet'!$A$62&gt;35,AI15+AH16-AQ15,IF(A16&lt;'Données projet'!$A$62,$AF$205^A16,IF(A16='Données projet'!$A$62,'Données projet'!$B$62,AI15+AH16-AQ15)))</f>
        <v>60.631078596738192</v>
      </c>
      <c r="AJ16" s="14">
        <f>AI16*VLOOKUP('Données projet'!$B$10,Paramètres!$A$1:$I$89,3,0)*VLOOKUP('Données projet'!$B$10,Paramètres!$A$1:$I$89,5,0)</f>
        <v>34.050413739928167</v>
      </c>
      <c r="AK16" s="14">
        <f t="shared" si="35"/>
        <v>10.407236206841604</v>
      </c>
      <c r="AL16" s="22">
        <f t="shared" si="4"/>
        <v>77.430406990624007</v>
      </c>
      <c r="AM16" s="62">
        <f t="shared" si="5"/>
        <v>370.76374032395734</v>
      </c>
      <c r="AN16" s="62">
        <f ca="1">AVERAGE(OFFSET($AM$3,0,0,'Données projet'!$E$10+1,1))-AVERAGE(OFFSET($H$3,0,0,'Données projet'!$E$10+1,1))</f>
        <v>60.374143206158408</v>
      </c>
      <c r="AO16" s="62">
        <f t="shared" si="36"/>
        <v>338.95520219048694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7.163520000000001</v>
      </c>
      <c r="D17" s="12">
        <f t="shared" si="32"/>
        <v>2.6250756324075932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10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75.561089092269142</v>
      </c>
      <c r="H17" s="70">
        <f t="shared" si="1"/>
        <v>310.38180405977653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16.333333333333332</v>
      </c>
      <c r="N17" s="14">
        <f>IF('Données projet'!$A$36&gt;35,N16+M17-V16,IF(A17&lt;'Données projet'!$A$36,$K$205^A17,IF(A17='Données projet'!$A$36,'Données projet'!$B$36,N16+M17-V16)))</f>
        <v>83.143002026669905</v>
      </c>
      <c r="O17" s="14">
        <f>N17*VLOOKUP('Données projet'!$B$9,Paramètres!$A$1:$I$89,3,0)*VLOOKUP('Données projet'!$B$9,Paramètres!$A$1:$I$89,5,0)</f>
        <v>47.730734603470658</v>
      </c>
      <c r="P17" s="14">
        <f t="shared" si="33"/>
        <v>14.026137187149361</v>
      </c>
      <c r="Q17" s="22">
        <f t="shared" si="2"/>
        <v>107.55988503532986</v>
      </c>
      <c r="R17" s="62">
        <f t="shared" si="0"/>
        <v>400.89321836866316</v>
      </c>
      <c r="S17" s="62">
        <f ca="1">AVERAGE(OFFSET($R$3,0,0,'Données projet'!$E$9+1,1))-AVERAGE(OFFSET($H$3,0,0,'Données projet'!$E$9+1,1))</f>
        <v>61.920120153277935</v>
      </c>
      <c r="T17" s="62">
        <f t="shared" si="34"/>
        <v>346.77984765566453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16.333333333333332</v>
      </c>
      <c r="AI17" s="14">
        <f>IF('Données projet'!$A$62&gt;35,AI16+AH17-AQ16,IF(A17&lt;'Données projet'!$A$62,$AF$205^A17,IF(A17='Données projet'!$A$62,'Données projet'!$B$62,AI16+AH17-AQ16)))</f>
        <v>83.143002026669905</v>
      </c>
      <c r="AJ17" s="14">
        <f>AI17*VLOOKUP('Données projet'!$B$10,Paramètres!$A$1:$I$89,3,0)*VLOOKUP('Données projet'!$B$10,Paramètres!$A$1:$I$89,5,0)</f>
        <v>46.69310993817782</v>
      </c>
      <c r="AK17" s="14">
        <f t="shared" si="35"/>
        <v>13.756369717245216</v>
      </c>
      <c r="AL17" s="22">
        <f t="shared" si="4"/>
        <v>105.28284373319512</v>
      </c>
      <c r="AM17" s="62">
        <f t="shared" si="5"/>
        <v>398.61617706652845</v>
      </c>
      <c r="AN17" s="62">
        <f ca="1">AVERAGE(OFFSET($AM$3,0,0,'Données projet'!$E$10+1,1))-AVERAGE(OFFSET($H$3,0,0,'Données projet'!$E$10+1,1))</f>
        <v>60.374143206158408</v>
      </c>
      <c r="AO17" s="62">
        <f t="shared" si="36"/>
        <v>338.95520219048694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7.6752000000000011</v>
      </c>
      <c r="D18" s="12">
        <f t="shared" si="32"/>
        <v>2.7900842966227914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10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80.784650710772425</v>
      </c>
      <c r="H18" s="70">
        <f t="shared" si="1"/>
        <v>311.56037014995132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16.333333333333332</v>
      </c>
      <c r="N18" s="14">
        <f>IF('Données projet'!$A$36&gt;35,N17+M18-V17,IF(A18&lt;'Données projet'!$A$36,$K$205^A18,IF(A18='Données projet'!$A$36,'Données projet'!$B$36,N17+M18-V17)))</f>
        <v>114.01345557422967</v>
      </c>
      <c r="O18" s="14">
        <f>N18*VLOOKUP('Données projet'!$B$9,Paramètres!$A$1:$I$89,3,0)*VLOOKUP('Données projet'!$B$9,Paramètres!$A$1:$I$89,5,0)</f>
        <v>65.452844576053764</v>
      </c>
      <c r="P18" s="14">
        <f t="shared" si="33"/>
        <v>18.539862554900605</v>
      </c>
      <c r="Q18" s="22">
        <f t="shared" si="2"/>
        <v>146.28729825307889</v>
      </c>
      <c r="R18" s="62">
        <f t="shared" si="0"/>
        <v>439.62063158641217</v>
      </c>
      <c r="S18" s="62">
        <f ca="1">AVERAGE(OFFSET($R$3,0,0,'Données projet'!$E$9+1,1))-AVERAGE(OFFSET($H$3,0,0,'Données projet'!$E$9+1,1))</f>
        <v>61.920120153277935</v>
      </c>
      <c r="T18" s="62">
        <f t="shared" si="34"/>
        <v>346.77984765566453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16.333333333333332</v>
      </c>
      <c r="AI18" s="14">
        <f>IF('Données projet'!$A$62&gt;35,AI17+AH18-AQ17,IF(A18&lt;'Données projet'!$A$62,$AF$205^A18,IF(A18='Données projet'!$A$62,'Données projet'!$B$62,AI17+AH18-AQ17)))</f>
        <v>114.01345557422967</v>
      </c>
      <c r="AJ18" s="14">
        <f>AI18*VLOOKUP('Données projet'!$B$10,Paramètres!$A$1:$I$89,3,0)*VLOOKUP('Données projet'!$B$10,Paramètres!$A$1:$I$89,5,0)</f>
        <v>64.029956650487378</v>
      </c>
      <c r="AK18" s="14">
        <f t="shared" si="35"/>
        <v>18.183281712500996</v>
      </c>
      <c r="AL18" s="22">
        <f t="shared" si="4"/>
        <v>143.18805681553809</v>
      </c>
      <c r="AM18" s="62">
        <f t="shared" si="5"/>
        <v>436.52139014887143</v>
      </c>
      <c r="AN18" s="62">
        <f ca="1">AVERAGE(OFFSET($AM$3,0,0,'Données projet'!$E$10+1,1))-AVERAGE(OFFSET($H$3,0,0,'Données projet'!$E$10+1,1))</f>
        <v>60.374143206158408</v>
      </c>
      <c r="AO18" s="62">
        <f t="shared" si="36"/>
        <v>338.95520219048694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8.1868800000000004</v>
      </c>
      <c r="D19" s="12">
        <f t="shared" si="32"/>
        <v>2.9538164511971763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10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85.998358570644868</v>
      </c>
      <c r="H19" s="70">
        <f t="shared" si="1"/>
        <v>312.73671298583508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16.333333333333332</v>
      </c>
      <c r="N19" s="14">
        <f>IF('Données projet'!$A$36&gt;35,N18+M19-V18,IF(A19&lt;'Données projet'!$A$36,$K$205^A19,IF(A19='Données projet'!$A$36,'Données projet'!$B$36,N18+M19-V18)))</f>
        <v>156.34590687268079</v>
      </c>
      <c r="O19" s="14">
        <f>N19*VLOOKUP('Données projet'!$B$9,Paramètres!$A$1:$I$89,3,0)*VLOOKUP('Données projet'!$B$9,Paramètres!$A$1:$I$89,5,0)</f>
        <v>89.755058217468587</v>
      </c>
      <c r="P19" s="14">
        <f t="shared" si="33"/>
        <v>24.506141567581778</v>
      </c>
      <c r="Q19" s="22">
        <f t="shared" si="2"/>
        <v>199.00492295896268</v>
      </c>
      <c r="R19" s="62">
        <f t="shared" si="0"/>
        <v>492.33825629229602</v>
      </c>
      <c r="S19" s="62">
        <f ca="1">AVERAGE(OFFSET($R$3,0,0,'Données projet'!$E$9+1,1))-AVERAGE(OFFSET($H$3,0,0,'Données projet'!$E$9+1,1))</f>
        <v>61.920120153277935</v>
      </c>
      <c r="T19" s="62">
        <f t="shared" si="34"/>
        <v>346.77984765566453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16.333333333333332</v>
      </c>
      <c r="AI19" s="14">
        <f>IF('Données projet'!$A$62&gt;35,AI18+AH19-AQ18,IF(A19&lt;'Données projet'!$A$62,$AF$205^A19,IF(A19='Données projet'!$A$62,'Données projet'!$B$62,AI18+AH19-AQ18)))</f>
        <v>156.34590687268079</v>
      </c>
      <c r="AJ19" s="14">
        <f>AI19*VLOOKUP('Données projet'!$B$10,Paramètres!$A$1:$I$89,3,0)*VLOOKUP('Données projet'!$B$10,Paramètres!$A$1:$I$89,5,0)</f>
        <v>87.80386129969753</v>
      </c>
      <c r="AK19" s="14">
        <f t="shared" si="35"/>
        <v>24.03481010122081</v>
      </c>
      <c r="AL19" s="22">
        <f t="shared" si="4"/>
        <v>194.78568602326609</v>
      </c>
      <c r="AM19" s="62">
        <f t="shared" si="5"/>
        <v>488.11901935659944</v>
      </c>
      <c r="AN19" s="62">
        <f ca="1">AVERAGE(OFFSET($AM$3,0,0,'Données projet'!$E$10+1,1))-AVERAGE(OFFSET($H$3,0,0,'Données projet'!$E$10+1,1))</f>
        <v>60.374143206158408</v>
      </c>
      <c r="AO19" s="62">
        <f t="shared" si="36"/>
        <v>338.95520219048694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8.6985600000000005</v>
      </c>
      <c r="D20" s="12">
        <f t="shared" si="32"/>
        <v>3.1163609606645983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10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91.202898643726726</v>
      </c>
      <c r="H20" s="70">
        <f t="shared" si="1"/>
        <v>313.91098733982415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16.333333333333332</v>
      </c>
      <c r="N20" s="14">
        <f>IF('Données projet'!$A$36&gt;35,N19+M20-V19,IF(A20&lt;'Données projet'!$A$36,$K$205^A20,IF(A20='Données projet'!$A$36,'Données projet'!$B$36,N19+M20-V19)))</f>
        <v>214.3961208151122</v>
      </c>
      <c r="O20" s="14">
        <f>N20*VLOOKUP('Données projet'!$B$9,Paramètres!$A$1:$I$89,3,0)*VLOOKUP('Données projet'!$B$9,Paramètres!$A$1:$I$89,5,0)</f>
        <v>123.08052503753962</v>
      </c>
      <c r="P20" s="14">
        <f t="shared" si="33"/>
        <v>32.39241783761863</v>
      </c>
      <c r="Q20" s="22">
        <f t="shared" si="2"/>
        <v>270.78204217423394</v>
      </c>
      <c r="R20" s="62">
        <f t="shared" si="0"/>
        <v>564.11537550756725</v>
      </c>
      <c r="S20" s="62">
        <f ca="1">AVERAGE(OFFSET($R$3,0,0,'Données projet'!$E$9+1,1))-AVERAGE(OFFSET($H$3,0,0,'Données projet'!$E$9+1,1))</f>
        <v>61.920120153277935</v>
      </c>
      <c r="T20" s="62">
        <f t="shared" si="34"/>
        <v>346.77984765566453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16.333333333333332</v>
      </c>
      <c r="AI20" s="14">
        <f>IF('Données projet'!$A$62&gt;35,AI19+AH20-AQ19,IF(A20&lt;'Données projet'!$A$62,$AF$205^A20,IF(A20='Données projet'!$A$62,'Données projet'!$B$62,AI19+AH20-AQ19)))</f>
        <v>214.3961208151122</v>
      </c>
      <c r="AJ20" s="14">
        <f>AI20*VLOOKUP('Données projet'!$B$10,Paramètres!$A$1:$I$89,3,0)*VLOOKUP('Données projet'!$B$10,Paramètres!$A$1:$I$89,5,0)</f>
        <v>120.404861449767</v>
      </c>
      <c r="AK20" s="14">
        <f t="shared" si="35"/>
        <v>31.76940806040507</v>
      </c>
      <c r="AL20" s="22">
        <f t="shared" si="4"/>
        <v>265.03685273021631</v>
      </c>
      <c r="AM20" s="62">
        <f t="shared" si="5"/>
        <v>558.37018606354968</v>
      </c>
      <c r="AN20" s="62">
        <f ca="1">AVERAGE(OFFSET($AM$3,0,0,'Données projet'!$E$10+1,1))-AVERAGE(OFFSET($H$3,0,0,'Données projet'!$E$10+1,1))</f>
        <v>60.374143206158408</v>
      </c>
      <c r="AO20" s="62">
        <f t="shared" si="36"/>
        <v>338.95520219048694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9.2102400000000006</v>
      </c>
      <c r="D21" s="12">
        <f t="shared" si="32"/>
        <v>3.2777956443170075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10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96.398871640341824</v>
      </c>
      <c r="H21" s="70">
        <f t="shared" si="1"/>
        <v>315.08332874718542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3">
        <f>VLOOKUP(A21,'Données projet'!$A$35:$I$55,2,0)</f>
        <v>294</v>
      </c>
      <c r="L21" s="13">
        <f>VLOOKUP(A21,'Données projet'!$A$35:$I$55,9,0)</f>
        <v>16.333333333333332</v>
      </c>
      <c r="M21" s="13">
        <f t="array" ref="M21">INDEX(L:L,MIN(IF(ISNUMBER(L21:L217),ROW(L21:L217),"")))</f>
        <v>16.333333333333332</v>
      </c>
      <c r="N21" s="14">
        <f>IF('Données projet'!$A$36&gt;35,N20+M21-V20,IF(A21&lt;'Données projet'!$A$36,$K$205^A21,IF(A21='Données projet'!$A$36,'Données projet'!$B$36,N20+M21-V20)))</f>
        <v>294</v>
      </c>
      <c r="O21" s="14">
        <f>N21*VLOOKUP('Données projet'!$B$9,Paramètres!$A$1:$I$89,3,0)*VLOOKUP('Données projet'!$B$9,Paramètres!$A$1:$I$89,5,0)</f>
        <v>168.77951999999999</v>
      </c>
      <c r="P21" s="14">
        <f t="shared" si="33"/>
        <v>42.816562145177031</v>
      </c>
      <c r="Q21" s="22">
        <f t="shared" si="2"/>
        <v>368.52984306951663</v>
      </c>
      <c r="R21" s="62">
        <f t="shared" si="0"/>
        <v>661.86317640284994</v>
      </c>
      <c r="S21" s="62">
        <f ca="1">AVERAGE(OFFSET($R$3,0,0,'Données projet'!$E$9+1,1))-AVERAGE(OFFSET($H$3,0,0,'Données projet'!$E$9+1,1))</f>
        <v>61.920120153277935</v>
      </c>
      <c r="T21" s="62">
        <f t="shared" si="34"/>
        <v>346.77984765566453</v>
      </c>
      <c r="U21" s="16">
        <f>IF(ISNA(VLOOKUP(A21,'Données projet'!$A$35:$I$55,3,0)),0,VLOOKUP(A21,'Données projet'!$A$35:$I$55,3,0))</f>
        <v>1</v>
      </c>
      <c r="V21" s="16">
        <f>IF(ISNA(VLOOKUP(A21,'Données projet'!$A$35:$I$55,4,0)),0,VLOOKUP(A21,'Données projet'!$A$35:$I$55,4,0))</f>
        <v>294</v>
      </c>
      <c r="W21" s="17">
        <f>IF(ISNA(VLOOKUP(A21,'Données projet'!$A$35:$I$55,5,0)),0%,VLOOKUP(A21,'Données projet'!$A$35:$I$55,5,0)*VLOOKUP('Données projet'!$B$9,Paramètres!$A$1:$I$89,7,0))</f>
        <v>0.48</v>
      </c>
      <c r="X21" s="17">
        <f>IF(ISNA(VLOOKUP(A21,'Données projet'!$A$35:$I$55,6,0)),0%,VLOOKUP(A21,'Données projet'!$A$35:$I$55,6,0)*VLOOKUP('Données projet'!$B$9,Paramètres!$A$1:$I$89,7,0))</f>
        <v>0.12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89.558764815258812</v>
      </c>
      <c r="AA21" s="23">
        <f>EXP(-LN(2)/25)*AA20+(1-EXP(-LN(2)/25))/(LN(2)/25)*Calculateur!V21*Calculateur!X21*VLOOKUP('Données projet'!$B$9,Paramètres!$A$1:$I$89,3,0)*0.475*44/12</f>
        <v>22.301534458404102</v>
      </c>
      <c r="AB21" s="23">
        <f>EXP(-LN(2)/2)*AB20+(1-EXP(-LN(2)/2))/(LN(2)/2)*V21*Y21*VLOOKUP('Données projet'!$B$9,Paramètres!$A$1:$I$89,3,0)*0.475*44/12</f>
        <v>0</v>
      </c>
      <c r="AC21" s="24">
        <f t="shared" si="3"/>
        <v>111.86029927366292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3">
        <f>VLOOKUP(A21,'Données projet'!$A$61:$I$81,2,0)</f>
        <v>294</v>
      </c>
      <c r="AG21" s="13">
        <f>VLOOKUP(A21,'Données projet'!$A$61:$I$81,9,0)</f>
        <v>16.333333333333332</v>
      </c>
      <c r="AH21" s="13">
        <f t="array" ref="AH21">INDEX(AG:AG,MIN(IF(ISNUMBER(AG21:AG217),ROW(AG21:AG217),"")))</f>
        <v>16.333333333333332</v>
      </c>
      <c r="AI21" s="14">
        <f>IF('Données projet'!$A$62&gt;35,AI20+AH21-AQ20,IF(A21&lt;'Données projet'!$A$62,$AF$205^A21,IF(A21='Données projet'!$A$62,'Données projet'!$B$62,AI20+AH21-AQ20)))</f>
        <v>294</v>
      </c>
      <c r="AJ21" s="14">
        <f>AI21*VLOOKUP('Données projet'!$B$10,Paramètres!$A$1:$I$89,3,0)*VLOOKUP('Données projet'!$B$10,Paramètres!$A$1:$I$89,5,0)</f>
        <v>165.1104</v>
      </c>
      <c r="AK21" s="14">
        <f t="shared" si="35"/>
        <v>41.993062739333446</v>
      </c>
      <c r="AL21" s="22">
        <f t="shared" si="4"/>
        <v>360.70519760433905</v>
      </c>
      <c r="AM21" s="62">
        <f t="shared" si="5"/>
        <v>654.03853093767236</v>
      </c>
      <c r="AN21" s="62">
        <f ca="1">AVERAGE(OFFSET($AM$3,0,0,'Données projet'!$E$10+1,1))-AVERAGE(OFFSET($H$3,0,0,'Données projet'!$E$10+1,1))</f>
        <v>60.374143206158408</v>
      </c>
      <c r="AO21" s="62">
        <f t="shared" si="36"/>
        <v>338.95520219048694</v>
      </c>
      <c r="AP21" s="16">
        <f>IF(ISNA(VLOOKUP(A21,'Données projet'!$A$61:$I$81,3,0)),0,VLOOKUP(A21,'Données projet'!$A$61:$I$81,3,0))</f>
        <v>1</v>
      </c>
      <c r="AQ21" s="16">
        <f>IF(ISNA(VLOOKUP(A21,'Données projet'!$A$61:$I$81,4,0)),0,VLOOKUP(A21,'Données projet'!$A$61:$I$81,4,0))</f>
        <v>294</v>
      </c>
      <c r="AR21" s="17">
        <f>IF(ISNA(VLOOKUP(A21,'Données projet'!$A$61:$I$81,5,0)),0%,VLOOKUP(A21,'Données projet'!$A$61:$I$81,5,0)*VLOOKUP('Données projet'!$B$10,Paramètres!$A$1:$I$89,7,0))</f>
        <v>0.48</v>
      </c>
      <c r="AS21" s="17">
        <f>IF(ISNA(VLOOKUP(A21,'Données projet'!$A$61:$I$81,6,0)),0%,VLOOKUP(A21,'Données projet'!$A$61:$I$81,6,0)*VLOOKUP('Données projet'!$B$10,Paramètres!$A$1:$I$89,7,0))</f>
        <v>0.12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87.611835145361866</v>
      </c>
      <c r="AV21" s="23">
        <f>EXP(-LN(2)/25)*AV20+(1-EXP(-LN(2)/25))/(LN(2)/25)*Calculateur!AQ21*Calculateur!AS21*VLOOKUP('Données projet'!$B$10,Paramètres!$A$1:$I$89,3,0)*0.475*44/12</f>
        <v>21.816718491917054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109.42855363727892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9.7219200000000008</v>
      </c>
      <c r="D22" s="12">
        <f t="shared" si="32"/>
        <v>3.4381891865081835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10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101.58680775550177</v>
      </c>
      <c r="H22" s="70">
        <f t="shared" si="1"/>
        <v>316.25385683316841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0</v>
      </c>
      <c r="N22" s="14">
        <f>IF('Données projet'!$A$36&gt;35,N21+M22-V21,IF(A22&lt;'Données projet'!$A$36,$K$205^A22,IF(A22='Données projet'!$A$36,'Données projet'!$B$36,N21+M22-V21)))</f>
        <v>0</v>
      </c>
      <c r="O22" s="14">
        <f>N22*VLOOKUP('Données projet'!$B$9,Paramètres!$A$1:$I$89,3,0)*VLOOKUP('Données projet'!$B$9,Paramètres!$A$1:$I$89,5,0)</f>
        <v>0</v>
      </c>
      <c r="P22" s="14" t="e">
        <f t="shared" si="33"/>
        <v>#NUM!</v>
      </c>
      <c r="Q22" s="22" t="e">
        <f t="shared" si="2"/>
        <v>#NUM!</v>
      </c>
      <c r="R22" s="62" t="e">
        <f t="shared" si="0"/>
        <v>#NUM!</v>
      </c>
      <c r="S22" s="62">
        <f ca="1">AVERAGE(OFFSET($R$3,0,0,'Données projet'!$E$9+1,1))-AVERAGE(OFFSET($H$3,0,0,'Données projet'!$E$9+1,1))</f>
        <v>61.920120153277935</v>
      </c>
      <c r="T22" s="62">
        <f t="shared" si="34"/>
        <v>346.77984765566453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87.802572062684305</v>
      </c>
      <c r="AA22" s="23">
        <f>EXP(-LN(2)/25)*AA21+(1-EXP(-LN(2)/25))/(LN(2)/25)*Calculateur!V22*Calculateur!X22*VLOOKUP('Données projet'!$B$9,Paramètres!$A$1:$I$89,3,0)*0.475*44/12</f>
        <v>21.691697825852316</v>
      </c>
      <c r="AB22" s="23">
        <f>EXP(-LN(2)/2)*AB21+(1-EXP(-LN(2)/2))/(LN(2)/2)*V22*Y22*VLOOKUP('Données projet'!$B$9,Paramètres!$A$1:$I$89,3,0)*0.475*44/12</f>
        <v>0</v>
      </c>
      <c r="AC22" s="24">
        <f t="shared" si="3"/>
        <v>109.49426988853662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0</v>
      </c>
      <c r="AI22" s="14">
        <f>IF('Données projet'!$A$62&gt;35,AI21+AH22-AQ21,IF(A22&lt;'Données projet'!$A$62,$AF$205^A22,IF(A22='Données projet'!$A$62,'Données projet'!$B$62,AI21+AH22-AQ21)))</f>
        <v>0</v>
      </c>
      <c r="AJ22" s="14">
        <f>AI22*VLOOKUP('Données projet'!$B$10,Paramètres!$A$1:$I$89,3,0)*VLOOKUP('Données projet'!$B$10,Paramètres!$A$1:$I$89,5,0)</f>
        <v>0</v>
      </c>
      <c r="AK22" s="14" t="e">
        <f t="shared" si="35"/>
        <v>#NUM!</v>
      </c>
      <c r="AL22" s="22" t="e">
        <f t="shared" si="4"/>
        <v>#NUM!</v>
      </c>
      <c r="AM22" s="62" t="e">
        <f t="shared" si="5"/>
        <v>#NUM!</v>
      </c>
      <c r="AN22" s="62">
        <f ca="1">AVERAGE(OFFSET($AM$3,0,0,'Données projet'!$E$10+1,1))-AVERAGE(OFFSET($H$3,0,0,'Données projet'!$E$10+1,1))</f>
        <v>60.374143206158408</v>
      </c>
      <c r="AO22" s="62">
        <f t="shared" si="36"/>
        <v>338.95520219048694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85.893820496104198</v>
      </c>
      <c r="AV22" s="23">
        <f>EXP(-LN(2)/25)*AV21+(1-EXP(-LN(2)/25))/(LN(2)/25)*Calculateur!AQ22*Calculateur!AS22*VLOOKUP('Données projet'!$B$10,Paramètres!$A$1:$I$89,3,0)*0.475*44/12</f>
        <v>21.220139177464219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107.11395967356842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10.233600000000001</v>
      </c>
      <c r="D23" s="12">
        <f t="shared" si="32"/>
        <v>3.5976026333152715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10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106.7671782220828</v>
      </c>
      <c r="H23" s="70">
        <f t="shared" si="1"/>
        <v>317.42267791969073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0</v>
      </c>
      <c r="N23" s="14">
        <f>IF('Données projet'!$A$36&gt;35,N22+M23-V22,IF(A23&lt;'Données projet'!$A$36,$K$205^A23,IF(A23='Données projet'!$A$36,'Données projet'!$B$36,N22+M23-V22)))</f>
        <v>0</v>
      </c>
      <c r="O23" s="14">
        <f>N23*VLOOKUP('Données projet'!$B$9,Paramètres!$A$1:$I$89,3,0)*VLOOKUP('Données projet'!$B$9,Paramètres!$A$1:$I$89,5,0)</f>
        <v>0</v>
      </c>
      <c r="P23" s="14" t="e">
        <f t="shared" si="33"/>
        <v>#NUM!</v>
      </c>
      <c r="Q23" s="22" t="e">
        <f t="shared" si="2"/>
        <v>#NUM!</v>
      </c>
      <c r="R23" s="62" t="e">
        <f t="shared" si="0"/>
        <v>#NUM!</v>
      </c>
      <c r="S23" s="62">
        <f ca="1">AVERAGE(OFFSET($R$3,0,0,'Données projet'!$E$9+1,1))-AVERAGE(OFFSET($H$3,0,0,'Données projet'!$E$9+1,1))</f>
        <v>61.920120153277935</v>
      </c>
      <c r="T23" s="62">
        <f t="shared" si="34"/>
        <v>346.77984765566453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86.080817178815977</v>
      </c>
      <c r="AA23" s="23">
        <f>EXP(-LN(2)/25)*AA22+(1-EXP(-LN(2)/25))/(LN(2)/25)*Calculateur!V23*Calculateur!X23*VLOOKUP('Données projet'!$B$9,Paramètres!$A$1:$I$89,3,0)*0.475*44/12</f>
        <v>21.098537208087574</v>
      </c>
      <c r="AB23" s="23">
        <f>EXP(-LN(2)/2)*AB22+(1-EXP(-LN(2)/2))/(LN(2)/2)*V23*Y23*VLOOKUP('Données projet'!$B$9,Paramètres!$A$1:$I$89,3,0)*0.475*44/12</f>
        <v>0</v>
      </c>
      <c r="AC23" s="24">
        <f t="shared" si="3"/>
        <v>107.17935438690355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0</v>
      </c>
      <c r="AI23" s="14">
        <f>IF('Données projet'!$A$62&gt;35,AI22+AH23-AQ22,IF(A23&lt;'Données projet'!$A$62,$AF$205^A23,IF(A23='Données projet'!$A$62,'Données projet'!$B$62,AI22+AH23-AQ22)))</f>
        <v>0</v>
      </c>
      <c r="AJ23" s="14">
        <f>AI23*VLOOKUP('Données projet'!$B$10,Paramètres!$A$1:$I$89,3,0)*VLOOKUP('Données projet'!$B$10,Paramètres!$A$1:$I$89,5,0)</f>
        <v>0</v>
      </c>
      <c r="AK23" s="14" t="e">
        <f t="shared" si="35"/>
        <v>#NUM!</v>
      </c>
      <c r="AL23" s="22" t="e">
        <f t="shared" si="4"/>
        <v>#NUM!</v>
      </c>
      <c r="AM23" s="62" t="e">
        <f t="shared" si="5"/>
        <v>#NUM!</v>
      </c>
      <c r="AN23" s="62">
        <f ca="1">AVERAGE(OFFSET($AM$3,0,0,'Données projet'!$E$10+1,1))-AVERAGE(OFFSET($H$3,0,0,'Données projet'!$E$10+1,1))</f>
        <v>60.374143206158408</v>
      </c>
      <c r="AO23" s="62">
        <f t="shared" si="36"/>
        <v>338.95520219048694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84.209495066233004</v>
      </c>
      <c r="AV23" s="23">
        <f>EXP(-LN(2)/25)*AV22+(1-EXP(-LN(2)/25))/(LN(2)/25)*Calculateur!AQ23*Calculateur!AS23*VLOOKUP('Données projet'!$B$10,Paramètres!$A$1:$I$89,3,0)*0.475*44/12</f>
        <v>20.639873355737841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104.84936842197084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10.745280000000001</v>
      </c>
      <c r="D24" s="12">
        <f t="shared" si="32"/>
        <v>3.7560905813614998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10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111.94040448770282</v>
      </c>
      <c r="H24" s="70">
        <f t="shared" si="1"/>
        <v>318.58988709587129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0</v>
      </c>
      <c r="N24" s="14">
        <f>IF('Données projet'!$A$36&gt;35,N23+M24-V23,IF(A24&lt;'Données projet'!$A$36,$K$205^A24,IF(A24='Données projet'!$A$36,'Données projet'!$B$36,N23+M24-V23)))</f>
        <v>0</v>
      </c>
      <c r="O24" s="14">
        <f>N24*VLOOKUP('Données projet'!$B$9,Paramètres!$A$1:$I$89,3,0)*VLOOKUP('Données projet'!$B$9,Paramètres!$A$1:$I$89,5,0)</f>
        <v>0</v>
      </c>
      <c r="P24" s="14" t="e">
        <f t="shared" si="33"/>
        <v>#NUM!</v>
      </c>
      <c r="Q24" s="22" t="e">
        <f t="shared" si="2"/>
        <v>#NUM!</v>
      </c>
      <c r="R24" s="62" t="e">
        <f t="shared" si="0"/>
        <v>#NUM!</v>
      </c>
      <c r="S24" s="62">
        <f ca="1">AVERAGE(OFFSET($R$3,0,0,'Données projet'!$E$9+1,1))-AVERAGE(OFFSET($H$3,0,0,'Données projet'!$E$9+1,1))</f>
        <v>61.920120153277935</v>
      </c>
      <c r="T24" s="62">
        <f t="shared" si="34"/>
        <v>346.77984765566453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84.39282485805353</v>
      </c>
      <c r="AA24" s="23">
        <f>EXP(-LN(2)/25)*AA23+(1-EXP(-LN(2)/25))/(LN(2)/25)*Calculateur!V24*Calculateur!X24*VLOOKUP('Données projet'!$B$9,Paramètres!$A$1:$I$89,3,0)*0.475*44/12</f>
        <v>20.521596598608568</v>
      </c>
      <c r="AB24" s="23">
        <f>EXP(-LN(2)/2)*AB23+(1-EXP(-LN(2)/2))/(LN(2)/2)*V24*Y24*VLOOKUP('Données projet'!$B$9,Paramètres!$A$1:$I$89,3,0)*0.475*44/12</f>
        <v>0</v>
      </c>
      <c r="AC24" s="24">
        <f t="shared" si="3"/>
        <v>104.9144214566621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0</v>
      </c>
      <c r="AI24" s="14">
        <f>IF('Données projet'!$A$62&gt;35,AI23+AH24-AQ23,IF(A24&lt;'Données projet'!$A$62,$AF$205^A24,IF(A24='Données projet'!$A$62,'Données projet'!$B$62,AI23+AH24-AQ23)))</f>
        <v>0</v>
      </c>
      <c r="AJ24" s="14">
        <f>AI24*VLOOKUP('Données projet'!$B$10,Paramètres!$A$1:$I$89,3,0)*VLOOKUP('Données projet'!$B$10,Paramètres!$A$1:$I$89,5,0)</f>
        <v>0</v>
      </c>
      <c r="AK24" s="14" t="e">
        <f t="shared" si="35"/>
        <v>#NUM!</v>
      </c>
      <c r="AL24" s="22" t="e">
        <f t="shared" si="4"/>
        <v>#NUM!</v>
      </c>
      <c r="AM24" s="62" t="e">
        <f t="shared" si="5"/>
        <v>#NUM!</v>
      </c>
      <c r="AN24" s="62">
        <f ca="1">AVERAGE(OFFSET($AM$3,0,0,'Données projet'!$E$10+1,1))-AVERAGE(OFFSET($H$3,0,0,'Données projet'!$E$10+1,1))</f>
        <v>60.374143206158408</v>
      </c>
      <c r="AO24" s="62">
        <f t="shared" si="36"/>
        <v>338.95520219048694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82.558198230704519</v>
      </c>
      <c r="AV24" s="23">
        <f>EXP(-LN(2)/25)*AV23+(1-EXP(-LN(2)/25))/(LN(2)/25)*Calculateur!AQ24*Calculateur!AS24*VLOOKUP('Données projet'!$B$10,Paramètres!$A$1:$I$89,3,0)*0.475*44/12</f>
        <v>20.075474933421422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102.63367316412594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11.256960000000001</v>
      </c>
      <c r="D25" s="12">
        <f t="shared" si="32"/>
        <v>3.9137021337805784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10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117.10686559409571</v>
      </c>
      <c r="H25" s="70">
        <f t="shared" si="1"/>
        <v>319.75556988300116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0</v>
      </c>
      <c r="N25" s="14">
        <f>IF('Données projet'!$A$36&gt;35,N24+M25-V24,IF(A25&lt;'Données projet'!$A$36,$K$205^A25,IF(A25='Données projet'!$A$36,'Données projet'!$B$36,N24+M25-V24)))</f>
        <v>0</v>
      </c>
      <c r="O25" s="14">
        <f>N25*VLOOKUP('Données projet'!$B$9,Paramètres!$A$1:$I$89,3,0)*VLOOKUP('Données projet'!$B$9,Paramètres!$A$1:$I$89,5,0)</f>
        <v>0</v>
      </c>
      <c r="P25" s="14" t="e">
        <f t="shared" si="33"/>
        <v>#NUM!</v>
      </c>
      <c r="Q25" s="22" t="e">
        <f t="shared" si="2"/>
        <v>#NUM!</v>
      </c>
      <c r="R25" s="62" t="e">
        <f t="shared" si="0"/>
        <v>#NUM!</v>
      </c>
      <c r="S25" s="62">
        <f ca="1">AVERAGE(OFFSET($R$3,0,0,'Données projet'!$E$9+1,1))-AVERAGE(OFFSET($H$3,0,0,'Données projet'!$E$9+1,1))</f>
        <v>61.920120153277935</v>
      </c>
      <c r="T25" s="62">
        <f t="shared" si="34"/>
        <v>346.77984765566453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82.737933037127576</v>
      </c>
      <c r="AA25" s="23">
        <f>EXP(-LN(2)/25)*AA24+(1-EXP(-LN(2)/25))/(LN(2)/25)*Calculateur!V25*Calculateur!X25*VLOOKUP('Données projet'!$B$9,Paramètres!$A$1:$I$89,3,0)*0.475*44/12</f>
        <v>19.960432460435754</v>
      </c>
      <c r="AB25" s="23">
        <f>EXP(-LN(2)/2)*AB24+(1-EXP(-LN(2)/2))/(LN(2)/2)*V25*Y25*VLOOKUP('Données projet'!$B$9,Paramètres!$A$1:$I$89,3,0)*0.475*44/12</f>
        <v>0</v>
      </c>
      <c r="AC25" s="24">
        <f t="shared" si="3"/>
        <v>102.69836549756333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0</v>
      </c>
      <c r="AI25" s="14">
        <f>IF('Données projet'!$A$62&gt;35,AI24+AH25-AQ24,IF(A25&lt;'Données projet'!$A$62,$AF$205^A25,IF(A25='Données projet'!$A$62,'Données projet'!$B$62,AI24+AH25-AQ24)))</f>
        <v>0</v>
      </c>
      <c r="AJ25" s="14">
        <f>AI25*VLOOKUP('Données projet'!$B$10,Paramètres!$A$1:$I$89,3,0)*VLOOKUP('Données projet'!$B$10,Paramètres!$A$1:$I$89,5,0)</f>
        <v>0</v>
      </c>
      <c r="AK25" s="14" t="e">
        <f t="shared" si="35"/>
        <v>#NUM!</v>
      </c>
      <c r="AL25" s="22" t="e">
        <f t="shared" si="4"/>
        <v>#NUM!</v>
      </c>
      <c r="AM25" s="62" t="e">
        <f t="shared" si="5"/>
        <v>#NUM!</v>
      </c>
      <c r="AN25" s="62">
        <f ca="1">AVERAGE(OFFSET($AM$3,0,0,'Données projet'!$E$10+1,1))-AVERAGE(OFFSET($H$3,0,0,'Données projet'!$E$10+1,1))</f>
        <v>60.374143206158408</v>
      </c>
      <c r="AO25" s="62">
        <f t="shared" si="36"/>
        <v>338.95520219048694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80.939282318929131</v>
      </c>
      <c r="AV25" s="23">
        <f>EXP(-LN(2)/25)*AV24+(1-EXP(-LN(2)/25))/(LN(2)/25)*Calculateur!AQ25*Calculateur!AS25*VLOOKUP('Données projet'!$B$10,Paramètres!$A$1:$I$89,3,0)*0.475*44/12</f>
        <v>19.52651001564367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100.4657923345728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11.768640000000001</v>
      </c>
      <c r="D26" s="12">
        <f t="shared" si="32"/>
        <v>4.070481677456149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10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122.26690417685451</v>
      </c>
      <c r="H26" s="70">
        <f t="shared" si="1"/>
        <v>320.91980358823611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0</v>
      </c>
      <c r="N26" s="14">
        <f>IF('Données projet'!$A$36&gt;35,N25+M26-V25,IF(A26&lt;'Données projet'!$A$36,$K$205^A26,IF(A26='Données projet'!$A$36,'Données projet'!$B$36,N25+M26-V25)))</f>
        <v>0</v>
      </c>
      <c r="O26" s="14">
        <f>N26*VLOOKUP('Données projet'!$B$9,Paramètres!$A$1:$I$89,3,0)*VLOOKUP('Données projet'!$B$9,Paramètres!$A$1:$I$89,5,0)</f>
        <v>0</v>
      </c>
      <c r="P26" s="14" t="e">
        <f t="shared" si="33"/>
        <v>#NUM!</v>
      </c>
      <c r="Q26" s="22" t="e">
        <f t="shared" si="2"/>
        <v>#NUM!</v>
      </c>
      <c r="R26" s="62" t="e">
        <f t="shared" si="0"/>
        <v>#NUM!</v>
      </c>
      <c r="S26" s="62">
        <f ca="1">AVERAGE(OFFSET($R$3,0,0,'Données projet'!$E$9+1,1))-AVERAGE(OFFSET($H$3,0,0,'Données projet'!$E$9+1,1))</f>
        <v>61.920120153277935</v>
      </c>
      <c r="T26" s="62">
        <f t="shared" si="34"/>
        <v>346.77984765566453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81.115492635425639</v>
      </c>
      <c r="AA26" s="23">
        <f>EXP(-LN(2)/25)*AA25+(1-EXP(-LN(2)/25))/(LN(2)/25)*Calculateur!V26*Calculateur!X26*VLOOKUP('Données projet'!$B$9,Paramètres!$A$1:$I$89,3,0)*0.475*44/12</f>
        <v>19.414613385131616</v>
      </c>
      <c r="AB26" s="23">
        <f>EXP(-LN(2)/2)*AB25+(1-EXP(-LN(2)/2))/(LN(2)/2)*V26*Y26*VLOOKUP('Données projet'!$B$9,Paramètres!$A$1:$I$89,3,0)*0.475*44/12</f>
        <v>0</v>
      </c>
      <c r="AC26" s="24">
        <f t="shared" si="3"/>
        <v>100.53010602055726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0</v>
      </c>
      <c r="AI26" s="14">
        <f>IF('Données projet'!$A$62&gt;35,AI25+AH26-AQ25,IF(A26&lt;'Données projet'!$A$62,$AF$205^A26,IF(A26='Données projet'!$A$62,'Données projet'!$B$62,AI25+AH26-AQ25)))</f>
        <v>0</v>
      </c>
      <c r="AJ26" s="14">
        <f>AI26*VLOOKUP('Données projet'!$B$10,Paramètres!$A$1:$I$89,3,0)*VLOOKUP('Données projet'!$B$10,Paramètres!$A$1:$I$89,5,0)</f>
        <v>0</v>
      </c>
      <c r="AK26" s="14" t="e">
        <f t="shared" si="35"/>
        <v>#NUM!</v>
      </c>
      <c r="AL26" s="22" t="e">
        <f t="shared" si="4"/>
        <v>#NUM!</v>
      </c>
      <c r="AM26" s="62" t="e">
        <f t="shared" si="5"/>
        <v>#NUM!</v>
      </c>
      <c r="AN26" s="62">
        <f ca="1">AVERAGE(OFFSET($AM$3,0,0,'Données projet'!$E$10+1,1))-AVERAGE(OFFSET($H$3,0,0,'Données projet'!$E$10+1,1))</f>
        <v>60.374143206158408</v>
      </c>
      <c r="AO26" s="62">
        <f t="shared" si="36"/>
        <v>338.95520219048694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79.352112360742453</v>
      </c>
      <c r="AV26" s="23">
        <f>EXP(-LN(2)/25)*AV25+(1-EXP(-LN(2)/25))/(LN(2)/25)*Calculateur!AQ26*Calculateur!AS26*VLOOKUP('Données projet'!$B$10,Paramètres!$A$1:$I$89,3,0)*0.475*44/12</f>
        <v>18.99255657241136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98.344668933153812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12.280320000000001</v>
      </c>
      <c r="D27" s="12">
        <f t="shared" si="32"/>
        <v>4.2264695212749892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10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127.42083139229817</v>
      </c>
      <c r="H27" s="70">
        <f t="shared" si="1"/>
        <v>322.08265841622057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0</v>
      </c>
      <c r="N27" s="14">
        <f>IF('Données projet'!$A$36&gt;35,N26+M27-V26,IF(A27&lt;'Données projet'!$A$36,$K$205^A27,IF(A27='Données projet'!$A$36,'Données projet'!$B$36,N26+M27-V26)))</f>
        <v>0</v>
      </c>
      <c r="O27" s="14">
        <f>N27*VLOOKUP('Données projet'!$B$9,Paramètres!$A$1:$I$89,3,0)*VLOOKUP('Données projet'!$B$9,Paramètres!$A$1:$I$89,5,0)</f>
        <v>0</v>
      </c>
      <c r="P27" s="14" t="e">
        <f t="shared" si="33"/>
        <v>#NUM!</v>
      </c>
      <c r="Q27" s="22" t="e">
        <f t="shared" si="2"/>
        <v>#NUM!</v>
      </c>
      <c r="R27" s="62" t="e">
        <f t="shared" si="0"/>
        <v>#NUM!</v>
      </c>
      <c r="S27" s="62">
        <f ca="1">AVERAGE(OFFSET($R$3,0,0,'Données projet'!$E$9+1,1))-AVERAGE(OFFSET($H$3,0,0,'Données projet'!$E$9+1,1))</f>
        <v>61.920120153277935</v>
      </c>
      <c r="T27" s="62">
        <f t="shared" si="34"/>
        <v>346.77984765566453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79.524867300410151</v>
      </c>
      <c r="AA27" s="23">
        <f>EXP(-LN(2)/25)*AA26+(1-EXP(-LN(2)/25))/(LN(2)/25)*Calculateur!V27*Calculateur!X27*VLOOKUP('Données projet'!$B$9,Paramètres!$A$1:$I$89,3,0)*0.475*44/12</f>
        <v>18.883719761145048</v>
      </c>
      <c r="AB27" s="23">
        <f>EXP(-LN(2)/2)*AB26+(1-EXP(-LN(2)/2))/(LN(2)/2)*V27*Y27*VLOOKUP('Données projet'!$B$9,Paramètres!$A$1:$I$89,3,0)*0.475*44/12</f>
        <v>0</v>
      </c>
      <c r="AC27" s="24">
        <f t="shared" si="3"/>
        <v>98.408587061555195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0</v>
      </c>
      <c r="AI27" s="14">
        <f>IF('Données projet'!$A$62&gt;35,AI26+AH27-AQ26,IF(A27&lt;'Données projet'!$A$62,$AF$205^A27,IF(A27='Données projet'!$A$62,'Données projet'!$B$62,AI26+AH27-AQ26)))</f>
        <v>0</v>
      </c>
      <c r="AJ27" s="14">
        <f>AI27*VLOOKUP('Données projet'!$B$10,Paramètres!$A$1:$I$89,3,0)*VLOOKUP('Données projet'!$B$10,Paramètres!$A$1:$I$89,5,0)</f>
        <v>0</v>
      </c>
      <c r="AK27" s="14" t="e">
        <f t="shared" si="35"/>
        <v>#NUM!</v>
      </c>
      <c r="AL27" s="22" t="e">
        <f t="shared" si="4"/>
        <v>#NUM!</v>
      </c>
      <c r="AM27" s="62" t="e">
        <f t="shared" si="5"/>
        <v>#NUM!</v>
      </c>
      <c r="AN27" s="62">
        <f ca="1">AVERAGE(OFFSET($AM$3,0,0,'Données projet'!$E$10+1,1))-AVERAGE(OFFSET($H$3,0,0,'Données projet'!$E$10+1,1))</f>
        <v>60.374143206158408</v>
      </c>
      <c r="AO27" s="62">
        <f t="shared" si="36"/>
        <v>338.95520219048694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77.79606583735773</v>
      </c>
      <c r="AV27" s="23">
        <f>EXP(-LN(2)/25)*AV26+(1-EXP(-LN(2)/25))/(LN(2)/25)*Calculateur!AQ27*Calculateur!AS27*VLOOKUP('Données projet'!$B$10,Paramètres!$A$1:$I$89,3,0)*0.475*44/12</f>
        <v>18.473204114163629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96.269269951521352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12.792000000000002</v>
      </c>
      <c r="D28" s="12">
        <f t="shared" si="32"/>
        <v>4.3817024250072478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10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132.56893100005598</v>
      </c>
      <c r="H28" s="70">
        <f t="shared" si="1"/>
        <v>323.24419839022096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0</v>
      </c>
      <c r="N28" s="14">
        <f>IF('Données projet'!$A$36&gt;35,N27+M28-V27,IF(A28&lt;'Données projet'!$A$36,$K$205^A28,IF(A28='Données projet'!$A$36,'Données projet'!$B$36,N27+M28-V27)))</f>
        <v>0</v>
      </c>
      <c r="O28" s="14">
        <f>N28*VLOOKUP('Données projet'!$B$9,Paramètres!$A$1:$I$89,3,0)*VLOOKUP('Données projet'!$B$9,Paramètres!$A$1:$I$89,5,0)</f>
        <v>0</v>
      </c>
      <c r="P28" s="14" t="e">
        <f t="shared" si="33"/>
        <v>#NUM!</v>
      </c>
      <c r="Q28" s="22" t="e">
        <f t="shared" si="2"/>
        <v>#NUM!</v>
      </c>
      <c r="R28" s="62" t="e">
        <f t="shared" si="0"/>
        <v>#NUM!</v>
      </c>
      <c r="S28" s="62">
        <f ca="1">AVERAGE(OFFSET($R$3,0,0,'Données projet'!$E$9+1,1))-AVERAGE(OFFSET($H$3,0,0,'Données projet'!$E$9+1,1))</f>
        <v>61.920120153277935</v>
      </c>
      <c r="T28" s="62">
        <f t="shared" si="34"/>
        <v>346.77984765566453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77.965433158028645</v>
      </c>
      <c r="AA28" s="23">
        <f>EXP(-LN(2)/25)*AA27+(1-EXP(-LN(2)/25))/(LN(2)/25)*Calculateur!V28*Calculateur!X28*VLOOKUP('Données projet'!$B$9,Paramètres!$A$1:$I$89,3,0)*0.475*44/12</f>
        <v>18.367343451224873</v>
      </c>
      <c r="AB28" s="23">
        <f>EXP(-LN(2)/2)*AB27+(1-EXP(-LN(2)/2))/(LN(2)/2)*V28*Y28*VLOOKUP('Données projet'!$B$9,Paramètres!$A$1:$I$89,3,0)*0.475*44/12</f>
        <v>0</v>
      </c>
      <c r="AC28" s="24">
        <f t="shared" si="3"/>
        <v>96.332776609253514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0</v>
      </c>
      <c r="AI28" s="14">
        <f>IF('Données projet'!$A$62&gt;35,AI27+AH28-AQ27,IF(A28&lt;'Données projet'!$A$62,$AF$205^A28,IF(A28='Données projet'!$A$62,'Données projet'!$B$62,AI27+AH28-AQ27)))</f>
        <v>0</v>
      </c>
      <c r="AJ28" s="14">
        <f>AI28*VLOOKUP('Données projet'!$B$10,Paramètres!$A$1:$I$89,3,0)*VLOOKUP('Données projet'!$B$10,Paramètres!$A$1:$I$89,5,0)</f>
        <v>0</v>
      </c>
      <c r="AK28" s="14" t="e">
        <f t="shared" si="35"/>
        <v>#NUM!</v>
      </c>
      <c r="AL28" s="22" t="e">
        <f t="shared" si="4"/>
        <v>#NUM!</v>
      </c>
      <c r="AM28" s="62" t="e">
        <f t="shared" si="5"/>
        <v>#NUM!</v>
      </c>
      <c r="AN28" s="62">
        <f ca="1">AVERAGE(OFFSET($AM$3,0,0,'Données projet'!$E$10+1,1))-AVERAGE(OFFSET($H$3,0,0,'Données projet'!$E$10+1,1))</f>
        <v>60.374143206158408</v>
      </c>
      <c r="AO28" s="62">
        <f t="shared" si="36"/>
        <v>338.95520219048694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76.270532437201922</v>
      </c>
      <c r="AV28" s="23">
        <f>EXP(-LN(2)/25)*AV27+(1-EXP(-LN(2)/25))/(LN(2)/25)*Calculateur!AQ28*Calculateur!AS28*VLOOKUP('Données projet'!$B$10,Paramètres!$A$1:$I$89,3,0)*0.475*44/12</f>
        <v>17.968053376198242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94.238585813400164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13.303680000000002</v>
      </c>
      <c r="D29" s="12">
        <f t="shared" si="32"/>
        <v>4.536214041183829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10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137.71146277405066</v>
      </c>
      <c r="H29" s="70">
        <f t="shared" si="1"/>
        <v>324.40448212172851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0</v>
      </c>
      <c r="N29" s="14">
        <f>IF('Données projet'!$A$36&gt;35,N28+M29-V28,IF(A29&lt;'Données projet'!$A$36,$K$205^A29,IF(A29='Données projet'!$A$36,'Données projet'!$B$36,N28+M29-V28)))</f>
        <v>0</v>
      </c>
      <c r="O29" s="14">
        <f>N29*VLOOKUP('Données projet'!$B$9,Paramètres!$A$1:$I$89,3,0)*VLOOKUP('Données projet'!$B$9,Paramètres!$A$1:$I$89,5,0)</f>
        <v>0</v>
      </c>
      <c r="P29" s="14" t="e">
        <f t="shared" si="33"/>
        <v>#NUM!</v>
      </c>
      <c r="Q29" s="22" t="e">
        <f t="shared" si="2"/>
        <v>#NUM!</v>
      </c>
      <c r="R29" s="62" t="e">
        <f t="shared" si="0"/>
        <v>#NUM!</v>
      </c>
      <c r="S29" s="62">
        <f ca="1">AVERAGE(OFFSET($R$3,0,0,'Données projet'!$E$9+1,1))-AVERAGE(OFFSET($H$3,0,0,'Données projet'!$E$9+1,1))</f>
        <v>61.920120153277935</v>
      </c>
      <c r="T29" s="62">
        <f t="shared" si="34"/>
        <v>346.77984765566453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76.436578568018348</v>
      </c>
      <c r="AA29" s="23">
        <f>EXP(-LN(2)/25)*AA28+(1-EXP(-LN(2)/25))/(LN(2)/25)*Calculateur!V29*Calculateur!X29*VLOOKUP('Données projet'!$B$9,Paramètres!$A$1:$I$89,3,0)*0.475*44/12</f>
        <v>17.865087478654516</v>
      </c>
      <c r="AB29" s="23">
        <f>EXP(-LN(2)/2)*AB28+(1-EXP(-LN(2)/2))/(LN(2)/2)*V29*Y29*VLOOKUP('Données projet'!$B$9,Paramètres!$A$1:$I$89,3,0)*0.475*44/12</f>
        <v>0</v>
      </c>
      <c r="AC29" s="24">
        <f t="shared" si="3"/>
        <v>94.301666046672864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0</v>
      </c>
      <c r="AI29" s="14">
        <f>IF('Données projet'!$A$62&gt;35,AI28+AH29-AQ28,IF(A29&lt;'Données projet'!$A$62,$AF$205^A29,IF(A29='Données projet'!$A$62,'Données projet'!$B$62,AI28+AH29-AQ28)))</f>
        <v>0</v>
      </c>
      <c r="AJ29" s="14">
        <f>AI29*VLOOKUP('Données projet'!$B$10,Paramètres!$A$1:$I$89,3,0)*VLOOKUP('Données projet'!$B$10,Paramètres!$A$1:$I$89,5,0)</f>
        <v>0</v>
      </c>
      <c r="AK29" s="14" t="e">
        <f t="shared" si="35"/>
        <v>#NUM!</v>
      </c>
      <c r="AL29" s="22" t="e">
        <f t="shared" si="4"/>
        <v>#NUM!</v>
      </c>
      <c r="AM29" s="62" t="e">
        <f t="shared" si="5"/>
        <v>#NUM!</v>
      </c>
      <c r="AN29" s="62">
        <f ca="1">AVERAGE(OFFSET($AM$3,0,0,'Données projet'!$E$10+1,1))-AVERAGE(OFFSET($H$3,0,0,'Données projet'!$E$10+1,1))</f>
        <v>60.374143206158408</v>
      </c>
      <c r="AO29" s="62">
        <f t="shared" si="36"/>
        <v>338.95520219048694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74.774913816539666</v>
      </c>
      <c r="AV29" s="23">
        <f>EXP(-LN(2)/25)*AV28+(1-EXP(-LN(2)/25))/(LN(2)/25)*Calculateur!AQ29*Calculateur!AS29*VLOOKUP('Données projet'!$B$10,Paramètres!$A$1:$I$89,3,0)*0.475*44/12</f>
        <v>17.476716011727241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92.251629828266914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13.815360000000002</v>
      </c>
      <c r="D30" s="12">
        <f t="shared" si="32"/>
        <v>4.6900352870805335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10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142.84866537395501</v>
      </c>
      <c r="H30" s="70">
        <f t="shared" si="1"/>
        <v>325.56356345833194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0</v>
      </c>
      <c r="N30" s="14">
        <f>IF('Données projet'!$A$36&gt;35,N29+M30-V29,IF(A30&lt;'Données projet'!$A$36,$K$205^A30,IF(A30='Données projet'!$A$36,'Données projet'!$B$36,N29+M30-V29)))</f>
        <v>0</v>
      </c>
      <c r="O30" s="14">
        <f>N30*VLOOKUP('Données projet'!$B$9,Paramètres!$A$1:$I$89,3,0)*VLOOKUP('Données projet'!$B$9,Paramètres!$A$1:$I$89,5,0)</f>
        <v>0</v>
      </c>
      <c r="P30" s="14" t="e">
        <f t="shared" si="33"/>
        <v>#NUM!</v>
      </c>
      <c r="Q30" s="22" t="e">
        <f t="shared" si="2"/>
        <v>#NUM!</v>
      </c>
      <c r="R30" s="62" t="e">
        <f t="shared" si="0"/>
        <v>#NUM!</v>
      </c>
      <c r="S30" s="62">
        <f ca="1">AVERAGE(OFFSET($R$3,0,0,'Données projet'!$E$9+1,1))-AVERAGE(OFFSET($H$3,0,0,'Données projet'!$E$9+1,1))</f>
        <v>61.920120153277935</v>
      </c>
      <c r="T30" s="62">
        <f t="shared" si="34"/>
        <v>346.77984765566453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74.937703884008926</v>
      </c>
      <c r="AA30" s="23">
        <f>EXP(-LN(2)/25)*AA29+(1-EXP(-LN(2)/25))/(LN(2)/25)*Calculateur!V30*Calculateur!X30*VLOOKUP('Données projet'!$B$9,Paramètres!$A$1:$I$89,3,0)*0.475*44/12</f>
        <v>17.376565722066587</v>
      </c>
      <c r="AB30" s="23">
        <f>EXP(-LN(2)/2)*AB29+(1-EXP(-LN(2)/2))/(LN(2)/2)*V30*Y30*VLOOKUP('Données projet'!$B$9,Paramètres!$A$1:$I$89,3,0)*0.475*44/12</f>
        <v>0</v>
      </c>
      <c r="AC30" s="24">
        <f t="shared" si="3"/>
        <v>92.314269606075513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0</v>
      </c>
      <c r="AI30" s="14">
        <f>IF('Données projet'!$A$62&gt;35,AI29+AH30-AQ29,IF(A30&lt;'Données projet'!$A$62,$AF$205^A30,IF(A30='Données projet'!$A$62,'Données projet'!$B$62,AI29+AH30-AQ29)))</f>
        <v>0</v>
      </c>
      <c r="AJ30" s="14">
        <f>AI30*VLOOKUP('Données projet'!$B$10,Paramètres!$A$1:$I$89,3,0)*VLOOKUP('Données projet'!$B$10,Paramètres!$A$1:$I$89,5,0)</f>
        <v>0</v>
      </c>
      <c r="AK30" s="14" t="e">
        <f t="shared" si="35"/>
        <v>#NUM!</v>
      </c>
      <c r="AL30" s="22" t="e">
        <f t="shared" si="4"/>
        <v>#NUM!</v>
      </c>
      <c r="AM30" s="62" t="e">
        <f t="shared" si="5"/>
        <v>#NUM!</v>
      </c>
      <c r="AN30" s="62">
        <f ca="1">AVERAGE(OFFSET($AM$3,0,0,'Données projet'!$E$10+1,1))-AVERAGE(OFFSET($H$3,0,0,'Données projet'!$E$10+1,1))</f>
        <v>60.374143206158408</v>
      </c>
      <c r="AO30" s="62">
        <f t="shared" si="36"/>
        <v>338.95520219048694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73.308623364791316</v>
      </c>
      <c r="AV30" s="23">
        <f>EXP(-LN(2)/25)*AV29+(1-EXP(-LN(2)/25))/(LN(2)/25)*Calculateur!AQ30*Calculateur!AS30*VLOOKUP('Données projet'!$B$10,Paramètres!$A$1:$I$89,3,0)*0.475*44/12</f>
        <v>16.998814293326006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90.307437658117323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14.327040000000002</v>
      </c>
      <c r="D31" s="12">
        <f t="shared" si="32"/>
        <v>4.843194660044249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10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147.98075877928895</v>
      </c>
      <c r="H31" s="70">
        <f t="shared" si="1"/>
        <v>326.72149203291036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0</v>
      </c>
      <c r="N31" s="14">
        <f>IF('Données projet'!$A$36&gt;35,N30+M31-V30,IF(A31&lt;'Données projet'!$A$36,$K$205^A31,IF(A31='Données projet'!$A$36,'Données projet'!$B$36,N30+M31-V30)))</f>
        <v>0</v>
      </c>
      <c r="O31" s="14">
        <f>N31*VLOOKUP('Données projet'!$B$9,Paramètres!$A$1:$I$89,3,0)*VLOOKUP('Données projet'!$B$9,Paramètres!$A$1:$I$89,5,0)</f>
        <v>0</v>
      </c>
      <c r="P31" s="14" t="e">
        <f t="shared" si="33"/>
        <v>#NUM!</v>
      </c>
      <c r="Q31" s="22" t="e">
        <f t="shared" si="2"/>
        <v>#NUM!</v>
      </c>
      <c r="R31" s="62" t="e">
        <f t="shared" si="0"/>
        <v>#NUM!</v>
      </c>
      <c r="S31" s="62">
        <f ca="1">AVERAGE(OFFSET($R$3,0,0,'Données projet'!$E$9+1,1))-AVERAGE(OFFSET($H$3,0,0,'Données projet'!$E$9+1,1))</f>
        <v>61.920120153277935</v>
      </c>
      <c r="T31" s="62">
        <f t="shared" si="34"/>
        <v>346.77984765566453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73.468221218329646</v>
      </c>
      <c r="AA31" s="23">
        <f>EXP(-LN(2)/25)*AA30+(1-EXP(-LN(2)/25))/(LN(2)/25)*Calculateur!V31*Calculateur!X31*VLOOKUP('Données projet'!$B$9,Paramètres!$A$1:$I$89,3,0)*0.475*44/12</f>
        <v>16.901402618602798</v>
      </c>
      <c r="AB31" s="23">
        <f>EXP(-LN(2)/2)*AB30+(1-EXP(-LN(2)/2))/(LN(2)/2)*V31*Y31*VLOOKUP('Données projet'!$B$9,Paramètres!$A$1:$I$89,3,0)*0.475*44/12</f>
        <v>0</v>
      </c>
      <c r="AC31" s="24">
        <f t="shared" si="3"/>
        <v>90.369623836932448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0</v>
      </c>
      <c r="AI31" s="14">
        <f>IF('Données projet'!$A$62&gt;35,AI30+AH31-AQ30,IF(A31&lt;'Données projet'!$A$62,$AF$205^A31,IF(A31='Données projet'!$A$62,'Données projet'!$B$62,AI30+AH31-AQ30)))</f>
        <v>0</v>
      </c>
      <c r="AJ31" s="14">
        <f>AI31*VLOOKUP('Données projet'!$B$10,Paramètres!$A$1:$I$89,3,0)*VLOOKUP('Données projet'!$B$10,Paramètres!$A$1:$I$89,5,0)</f>
        <v>0</v>
      </c>
      <c r="AK31" s="14" t="e">
        <f t="shared" si="35"/>
        <v>#NUM!</v>
      </c>
      <c r="AL31" s="22" t="e">
        <f t="shared" si="4"/>
        <v>#NUM!</v>
      </c>
      <c r="AM31" s="62" t="e">
        <f t="shared" si="5"/>
        <v>#NUM!</v>
      </c>
      <c r="AN31" s="62">
        <f ca="1">AVERAGE(OFFSET($AM$3,0,0,'Données projet'!$E$10+1,1))-AVERAGE(OFFSET($H$3,0,0,'Données projet'!$E$10+1,1))</f>
        <v>60.374143206158408</v>
      </c>
      <c r="AO31" s="62">
        <f t="shared" si="36"/>
        <v>338.95520219048694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71.871085974452882</v>
      </c>
      <c r="AV31" s="23">
        <f>EXP(-LN(2)/25)*AV30+(1-EXP(-LN(2)/25))/(LN(2)/25)*Calculateur!AQ31*Calculateur!AS31*VLOOKUP('Données projet'!$B$10,Paramètres!$A$1:$I$89,3,0)*0.475*44/12</f>
        <v>16.533980822546216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88.405066796999094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14.838720000000002</v>
      </c>
      <c r="D32" s="12">
        <f t="shared" si="32"/>
        <v>4.9957185065066634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10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153.10794636601636</v>
      </c>
      <c r="H32" s="70">
        <f t="shared" si="1"/>
        <v>327.87831373216574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0</v>
      </c>
      <c r="N32" s="14">
        <f>IF('Données projet'!$A$36&gt;35,N31+M32-V31,IF(A32&lt;'Données projet'!$A$36,$K$205^A32,IF(A32='Données projet'!$A$36,'Données projet'!$B$36,N31+M32-V31)))</f>
        <v>0</v>
      </c>
      <c r="O32" s="14">
        <f>N32*VLOOKUP('Données projet'!$B$9,Paramètres!$A$1:$I$89,3,0)*VLOOKUP('Données projet'!$B$9,Paramètres!$A$1:$I$89,5,0)</f>
        <v>0</v>
      </c>
      <c r="P32" s="14" t="e">
        <f t="shared" si="33"/>
        <v>#NUM!</v>
      </c>
      <c r="Q32" s="22" t="e">
        <f t="shared" si="2"/>
        <v>#NUM!</v>
      </c>
      <c r="R32" s="62" t="e">
        <f t="shared" si="0"/>
        <v>#NUM!</v>
      </c>
      <c r="S32" s="62">
        <f ca="1">AVERAGE(OFFSET($R$3,0,0,'Données projet'!$E$9+1,1))-AVERAGE(OFFSET($H$3,0,0,'Données projet'!$E$9+1,1))</f>
        <v>61.920120153277935</v>
      </c>
      <c r="T32" s="62">
        <f t="shared" si="34"/>
        <v>346.77984765566453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72.027554211428409</v>
      </c>
      <c r="AA32" s="23">
        <f>EXP(-LN(2)/25)*AA31+(1-EXP(-LN(2)/25))/(LN(2)/25)*Calculateur!V32*Calculateur!X32*VLOOKUP('Données projet'!$B$9,Paramètres!$A$1:$I$89,3,0)*0.475*44/12</f>
        <v>16.439232875190971</v>
      </c>
      <c r="AB32" s="23">
        <f>EXP(-LN(2)/2)*AB31+(1-EXP(-LN(2)/2))/(LN(2)/2)*V32*Y32*VLOOKUP('Données projet'!$B$9,Paramètres!$A$1:$I$89,3,0)*0.475*44/12</f>
        <v>0</v>
      </c>
      <c r="AC32" s="24">
        <f t="shared" si="3"/>
        <v>88.466787086619377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0</v>
      </c>
      <c r="AI32" s="14">
        <f>IF('Données projet'!$A$62&gt;35,AI31+AH32-AQ31,IF(A32&lt;'Données projet'!$A$62,$AF$205^A32,IF(A32='Données projet'!$A$62,'Données projet'!$B$62,AI31+AH32-AQ31)))</f>
        <v>0</v>
      </c>
      <c r="AJ32" s="14">
        <f>AI32*VLOOKUP('Données projet'!$B$10,Paramètres!$A$1:$I$89,3,0)*VLOOKUP('Données projet'!$B$10,Paramètres!$A$1:$I$89,5,0)</f>
        <v>0</v>
      </c>
      <c r="AK32" s="14" t="e">
        <f t="shared" si="35"/>
        <v>#NUM!</v>
      </c>
      <c r="AL32" s="22" t="e">
        <f t="shared" si="4"/>
        <v>#NUM!</v>
      </c>
      <c r="AM32" s="62" t="e">
        <f t="shared" si="5"/>
        <v>#NUM!</v>
      </c>
      <c r="AN32" s="62">
        <f ca="1">AVERAGE(OFFSET($AM$3,0,0,'Données projet'!$E$10+1,1))-AVERAGE(OFFSET($H$3,0,0,'Données projet'!$E$10+1,1))</f>
        <v>60.374143206158408</v>
      </c>
      <c r="AO32" s="62">
        <f t="shared" si="36"/>
        <v>338.95520219048694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70.461737815527755</v>
      </c>
      <c r="AV32" s="23">
        <f>EXP(-LN(2)/25)*AV31+(1-EXP(-LN(2)/25))/(LN(2)/25)*Calculateur!AQ32*Calculateur!AS32*VLOOKUP('Données projet'!$B$10,Paramètres!$A$1:$I$89,3,0)*0.475*44/12</f>
        <v>16.081858247469427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86.543596062997182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15.350400000000002</v>
      </c>
      <c r="D33" s="12">
        <f t="shared" si="32"/>
        <v>5.1476312528501964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10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158.23041668866819</v>
      </c>
      <c r="H33" s="70">
        <f t="shared" si="1"/>
        <v>329.03407109871409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0</v>
      </c>
      <c r="N33" s="14">
        <f>IF('Données projet'!$A$36&gt;35,N32+M33-V32,IF(A33&lt;'Données projet'!$A$36,$K$205^A33,IF(A33='Données projet'!$A$36,'Données projet'!$B$36,N32+M33-V32)))</f>
        <v>0</v>
      </c>
      <c r="O33" s="14">
        <f>N33*VLOOKUP('Données projet'!$B$9,Paramètres!$A$1:$I$89,3,0)*VLOOKUP('Données projet'!$B$9,Paramètres!$A$1:$I$89,5,0)</f>
        <v>0</v>
      </c>
      <c r="P33" s="14" t="e">
        <f t="shared" si="33"/>
        <v>#NUM!</v>
      </c>
      <c r="Q33" s="22" t="e">
        <f t="shared" si="2"/>
        <v>#NUM!</v>
      </c>
      <c r="R33" s="62" t="e">
        <f t="shared" si="0"/>
        <v>#NUM!</v>
      </c>
      <c r="S33" s="62">
        <f ca="1">AVERAGE(OFFSET($R$3,0,0,'Données projet'!$E$9+1,1))-AVERAGE(OFFSET($H$3,0,0,'Données projet'!$E$9+1,1))</f>
        <v>61.920120153277935</v>
      </c>
      <c r="T33" s="62">
        <f t="shared" si="34"/>
        <v>346.77984765566453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70.615137805812395</v>
      </c>
      <c r="AA33" s="23">
        <f>EXP(-LN(2)/25)*AA32+(1-EXP(-LN(2)/25))/(LN(2)/25)*Calculateur!V33*Calculateur!X33*VLOOKUP('Données projet'!$B$9,Paramètres!$A$1:$I$89,3,0)*0.475*44/12</f>
        <v>15.98970118771719</v>
      </c>
      <c r="AB33" s="23">
        <f>EXP(-LN(2)/2)*AB32+(1-EXP(-LN(2)/2))/(LN(2)/2)*V33*Y33*VLOOKUP('Données projet'!$B$9,Paramètres!$A$1:$I$89,3,0)*0.475*44/12</f>
        <v>0</v>
      </c>
      <c r="AC33" s="24">
        <f t="shared" si="3"/>
        <v>86.604838993529583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 t="e">
        <f>VLOOKUP(A33,'Données projet'!$A$61:$I$81,2,0)</f>
        <v>#N/A</v>
      </c>
      <c r="AG33" s="13" t="e">
        <f>VLOOKUP(A33,'Données projet'!$A$61:$I$81,9,0)</f>
        <v>#N/A</v>
      </c>
      <c r="AH33" s="13">
        <f t="array" ref="AH33">INDEX(AG:AG,MIN(IF(ISNUMBER(AG33:AG229),ROW(AG33:AG229),"")))</f>
        <v>0</v>
      </c>
      <c r="AI33" s="14">
        <f>IF('Données projet'!$A$62&gt;35,AI32+AH33-AQ32,IF(A33&lt;'Données projet'!$A$62,$AF$205^A33,IF(A33='Données projet'!$A$62,'Données projet'!$B$62,AI32+AH33-AQ32)))</f>
        <v>0</v>
      </c>
      <c r="AJ33" s="14">
        <f>AI33*VLOOKUP('Données projet'!$B$10,Paramètres!$A$1:$I$89,3,0)*VLOOKUP('Données projet'!$B$10,Paramètres!$A$1:$I$89,5,0)</f>
        <v>0</v>
      </c>
      <c r="AK33" s="14" t="e">
        <f t="shared" si="35"/>
        <v>#NUM!</v>
      </c>
      <c r="AL33" s="22" t="e">
        <f t="shared" si="4"/>
        <v>#NUM!</v>
      </c>
      <c r="AM33" s="62" t="e">
        <f t="shared" si="5"/>
        <v>#NUM!</v>
      </c>
      <c r="AN33" s="62">
        <f ca="1">AVERAGE(OFFSET($AM$3,0,0,'Données projet'!$E$10+1,1))-AVERAGE(OFFSET($H$3,0,0,'Données projet'!$E$10+1,1))</f>
        <v>60.374143206158408</v>
      </c>
      <c r="AO33" s="62">
        <f t="shared" si="36"/>
        <v>338.95520219048694</v>
      </c>
      <c r="AP33" s="16">
        <f>IF(ISNA(VLOOKUP(A33,'Données projet'!$A$61:$I$81,3,0)),0,VLOOKUP(A33,'Données projet'!$A$61:$I$81,3,0))</f>
        <v>0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69.080026114381653</v>
      </c>
      <c r="AV33" s="23">
        <f>EXP(-LN(2)/25)*AV32+(1-EXP(-LN(2)/25))/(LN(2)/25)*Calculateur!AQ33*Calculateur!AS33*VLOOKUP('Données projet'!$B$10,Paramètres!$A$1:$I$89,3,0)*0.475*44/12</f>
        <v>15.642098987984205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84.722125102365851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15.862080000000002</v>
      </c>
      <c r="D34" s="12">
        <f t="shared" si="32"/>
        <v>5.2989556046270634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10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163.34834501817386</v>
      </c>
      <c r="H34" s="70">
        <f t="shared" si="1"/>
        <v>330.18880367805878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0</v>
      </c>
      <c r="N34" s="14">
        <f>IF('Données projet'!$A$36&gt;35,N33+M34-V33,IF(A34&lt;'Données projet'!$A$36,$K$205^A34,IF(A34='Données projet'!$A$36,'Données projet'!$B$36,N33+M34-V33)))</f>
        <v>0</v>
      </c>
      <c r="O34" s="14">
        <f>N34*VLOOKUP('Données projet'!$B$9,Paramètres!$A$1:$I$89,3,0)*VLOOKUP('Données projet'!$B$9,Paramètres!$A$1:$I$89,5,0)</f>
        <v>0</v>
      </c>
      <c r="P34" s="14" t="e">
        <f t="shared" si="33"/>
        <v>#NUM!</v>
      </c>
      <c r="Q34" s="22" t="e">
        <f t="shared" si="2"/>
        <v>#NUM!</v>
      </c>
      <c r="R34" s="62" t="e">
        <f t="shared" si="0"/>
        <v>#NUM!</v>
      </c>
      <c r="S34" s="62">
        <f ca="1">AVERAGE(OFFSET($R$3,0,0,'Données projet'!$E$9+1,1))-AVERAGE(OFFSET($H$3,0,0,'Données projet'!$E$9+1,1))</f>
        <v>61.920120153277935</v>
      </c>
      <c r="T34" s="62">
        <f t="shared" si="34"/>
        <v>346.77984765566453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69.230418024421567</v>
      </c>
      <c r="AA34" s="23">
        <f>EXP(-LN(2)/25)*AA33+(1-EXP(-LN(2)/25))/(LN(2)/25)*Calculateur!V34*Calculateur!X34*VLOOKUP('Données projet'!$B$9,Paramètres!$A$1:$I$89,3,0)*0.475*44/12</f>
        <v>15.552461967877223</v>
      </c>
      <c r="AB34" s="23">
        <f>EXP(-LN(2)/2)*AB33+(1-EXP(-LN(2)/2))/(LN(2)/2)*V34*Y34*VLOOKUP('Données projet'!$B$9,Paramètres!$A$1:$I$89,3,0)*0.475*44/12</f>
        <v>0</v>
      </c>
      <c r="AC34" s="24">
        <f t="shared" si="3"/>
        <v>84.782879992298788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0</v>
      </c>
      <c r="AI34" s="14">
        <f>IF('Données projet'!$A$62&gt;35,AI33+AH34-AQ33,IF(A34&lt;'Données projet'!$A$62,$AF$205^A34,IF(A34='Données projet'!$A$62,'Données projet'!$B$62,AI33+AH34-AQ33)))</f>
        <v>0</v>
      </c>
      <c r="AJ34" s="14">
        <f>AI34*VLOOKUP('Données projet'!$B$10,Paramètres!$A$1:$I$89,3,0)*VLOOKUP('Données projet'!$B$10,Paramètres!$A$1:$I$89,5,0)</f>
        <v>0</v>
      </c>
      <c r="AK34" s="14" t="e">
        <f t="shared" si="35"/>
        <v>#NUM!</v>
      </c>
      <c r="AL34" s="22" t="e">
        <f t="shared" si="4"/>
        <v>#NUM!</v>
      </c>
      <c r="AM34" s="62" t="e">
        <f t="shared" si="5"/>
        <v>#NUM!</v>
      </c>
      <c r="AN34" s="62">
        <f ca="1">AVERAGE(OFFSET($AM$3,0,0,'Données projet'!$E$10+1,1))-AVERAGE(OFFSET($H$3,0,0,'Données projet'!$E$10+1,1))</f>
        <v>60.374143206158408</v>
      </c>
      <c r="AO34" s="62">
        <f t="shared" si="36"/>
        <v>338.95520219048694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67.725408936934102</v>
      </c>
      <c r="AV34" s="23">
        <f>EXP(-LN(2)/25)*AV33+(1-EXP(-LN(2)/25))/(LN(2)/25)*Calculateur!AQ34*Calculateur!AS34*VLOOKUP('Données projet'!$B$10,Paramètres!$A$1:$I$89,3,0)*0.475*44/12</f>
        <v>15.214364968575541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82.939773905509639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16.373760000000001</v>
      </c>
      <c r="D35" s="12">
        <f t="shared" si="32"/>
        <v>5.4497127193506145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10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168.46189467568897</v>
      </c>
      <c r="H35" s="70">
        <f t="shared" si="1"/>
        <v>331.34254831953564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0</v>
      </c>
      <c r="N35" s="14">
        <f>IF('Données projet'!$A$36&gt;35,N34+M35-V34,IF(A35&lt;'Données projet'!$A$36,$K$205^A35,IF(A35='Données projet'!$A$36,'Données projet'!$B$36,N34+M35-V34)))</f>
        <v>0</v>
      </c>
      <c r="O35" s="14">
        <f>N35*VLOOKUP('Données projet'!$B$9,Paramètres!$A$1:$I$89,3,0)*VLOOKUP('Données projet'!$B$9,Paramètres!$A$1:$I$89,5,0)</f>
        <v>0</v>
      </c>
      <c r="P35" s="14" t="e">
        <f t="shared" si="33"/>
        <v>#NUM!</v>
      </c>
      <c r="Q35" s="22" t="e">
        <f t="shared" ref="Q35:Q66" si="53">(O35+P35)*0.475*44/12</f>
        <v>#NUM!</v>
      </c>
      <c r="R35" s="62" t="e">
        <f t="shared" si="0"/>
        <v>#NUM!</v>
      </c>
      <c r="S35" s="62">
        <f ca="1">AVERAGE(OFFSET($R$3,0,0,'Données projet'!$E$9+1,1))-AVERAGE(OFFSET($H$3,0,0,'Données projet'!$E$9+1,1))</f>
        <v>61.920120153277935</v>
      </c>
      <c r="T35" s="62">
        <f t="shared" si="34"/>
        <v>346.77984765566453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67.872851753348144</v>
      </c>
      <c r="AA35" s="23">
        <f>EXP(-LN(2)/25)*AA34+(1-EXP(-LN(2)/25))/(LN(2)/25)*Calculateur!V35*Calculateur!X35*VLOOKUP('Données projet'!$B$9,Paramètres!$A$1:$I$89,3,0)*0.475*44/12</f>
        <v>15.127179077497191</v>
      </c>
      <c r="AB35" s="23">
        <f>EXP(-LN(2)/2)*AB34+(1-EXP(-LN(2)/2))/(LN(2)/2)*V35*Y35*VLOOKUP('Données projet'!$B$9,Paramètres!$A$1:$I$89,3,0)*0.475*44/12</f>
        <v>0</v>
      </c>
      <c r="AC35" s="24">
        <f t="shared" si="3"/>
        <v>83.000030830845333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0</v>
      </c>
      <c r="AI35" s="14">
        <f>IF('Données projet'!$A$62&gt;35,AI34+AH35-AQ34,IF(A35&lt;'Données projet'!$A$62,$AF$205^A35,IF(A35='Données projet'!$A$62,'Données projet'!$B$62,AI34+AH35-AQ34)))</f>
        <v>0</v>
      </c>
      <c r="AJ35" s="14">
        <f>AI35*VLOOKUP('Données projet'!$B$10,Paramètres!$A$1:$I$89,3,0)*VLOOKUP('Données projet'!$B$10,Paramètres!$A$1:$I$89,5,0)</f>
        <v>0</v>
      </c>
      <c r="AK35" s="14" t="e">
        <f t="shared" si="35"/>
        <v>#NUM!</v>
      </c>
      <c r="AL35" s="22" t="e">
        <f t="shared" si="4"/>
        <v>#NUM!</v>
      </c>
      <c r="AM35" s="62" t="e">
        <f t="shared" si="5"/>
        <v>#NUM!</v>
      </c>
      <c r="AN35" s="62">
        <f ca="1">AVERAGE(OFFSET($AM$3,0,0,'Données projet'!$E$10+1,1))-AVERAGE(OFFSET($H$3,0,0,'Données projet'!$E$10+1,1))</f>
        <v>60.374143206158408</v>
      </c>
      <c r="AO35" s="62">
        <f t="shared" si="36"/>
        <v>338.95520219048694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66.397354976101411</v>
      </c>
      <c r="AV35" s="23">
        <f>EXP(-LN(2)/25)*AV34+(1-EXP(-LN(2)/25))/(LN(2)/25)*Calculateur!AQ35*Calculateur!AS35*VLOOKUP('Données projet'!$B$10,Paramètres!$A$1:$I$89,3,0)*0.475*44/12</f>
        <v>14.798327358421162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81.195682334522573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16.885439999999999</v>
      </c>
      <c r="D36" s="12">
        <f t="shared" si="32"/>
        <v>5.5999223570809251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10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173.57121819501063</v>
      </c>
      <c r="H36" s="70">
        <f t="shared" si="1"/>
        <v>332.49533943858256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0</v>
      </c>
      <c r="N36" s="14">
        <f>IF('Données projet'!$A$36&gt;35,N35+M36-V35,IF(A36&lt;'Données projet'!$A$36,$K$205^A36,IF(A36='Données projet'!$A$36,'Données projet'!$B$36,N35+M36-V35)))</f>
        <v>0</v>
      </c>
      <c r="O36" s="14">
        <f>N36*VLOOKUP('Données projet'!$B$9,Paramètres!$A$1:$I$89,3,0)*VLOOKUP('Données projet'!$B$9,Paramètres!$A$1:$I$89,5,0)</f>
        <v>0</v>
      </c>
      <c r="P36" s="14" t="e">
        <f t="shared" si="33"/>
        <v>#NUM!</v>
      </c>
      <c r="Q36" s="22" t="e">
        <f t="shared" si="53"/>
        <v>#NUM!</v>
      </c>
      <c r="R36" s="62" t="e">
        <f t="shared" si="0"/>
        <v>#NUM!</v>
      </c>
      <c r="S36" s="62">
        <f ca="1">AVERAGE(OFFSET($R$3,0,0,'Données projet'!$E$9+1,1))-AVERAGE(OFFSET($H$3,0,0,'Données projet'!$E$9+1,1))</f>
        <v>61.920120153277935</v>
      </c>
      <c r="T36" s="62">
        <f t="shared" si="34"/>
        <v>346.77984765566453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66.54190652881681</v>
      </c>
      <c r="AA36" s="23">
        <f>EXP(-LN(2)/25)*AA35+(1-EXP(-LN(2)/25))/(LN(2)/25)*Calculateur!V36*Calculateur!X36*VLOOKUP('Données projet'!$B$9,Paramètres!$A$1:$I$89,3,0)*0.475*44/12</f>
        <v>14.713525570119256</v>
      </c>
      <c r="AB36" s="23">
        <f>EXP(-LN(2)/2)*AB35+(1-EXP(-LN(2)/2))/(LN(2)/2)*V36*Y36*VLOOKUP('Données projet'!$B$9,Paramètres!$A$1:$I$89,3,0)*0.475*44/12</f>
        <v>0</v>
      </c>
      <c r="AC36" s="24">
        <f t="shared" si="3"/>
        <v>81.255432098936069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0</v>
      </c>
      <c r="AI36" s="14">
        <f>IF('Données projet'!$A$62&gt;35,AI35+AH36-AQ35,IF(A36&lt;'Données projet'!$A$62,$AF$205^A36,IF(A36='Données projet'!$A$62,'Données projet'!$B$62,AI35+AH36-AQ35)))</f>
        <v>0</v>
      </c>
      <c r="AJ36" s="14">
        <f>AI36*VLOOKUP('Données projet'!$B$10,Paramètres!$A$1:$I$89,3,0)*VLOOKUP('Données projet'!$B$10,Paramètres!$A$1:$I$89,5,0)</f>
        <v>0</v>
      </c>
      <c r="AK36" s="14" t="e">
        <f t="shared" si="35"/>
        <v>#NUM!</v>
      </c>
      <c r="AL36" s="22" t="e">
        <f t="shared" si="4"/>
        <v>#NUM!</v>
      </c>
      <c r="AM36" s="62" t="e">
        <f t="shared" si="5"/>
        <v>#NUM!</v>
      </c>
      <c r="AN36" s="62">
        <f ca="1">AVERAGE(OFFSET($AM$3,0,0,'Données projet'!$E$10+1,1))-AVERAGE(OFFSET($H$3,0,0,'Données projet'!$E$10+1,1))</f>
        <v>60.374143206158408</v>
      </c>
      <c r="AO36" s="62">
        <f t="shared" si="36"/>
        <v>338.95520219048694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65.09534334340772</v>
      </c>
      <c r="AV36" s="23">
        <f>EXP(-LN(2)/25)*AV35+(1-EXP(-LN(2)/25))/(LN(2)/25)*Calculateur!AQ36*Calculateur!AS36*VLOOKUP('Données projet'!$B$10,Paramètres!$A$1:$I$89,3,0)*0.475*44/12</f>
        <v>14.393666318594921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79.489009662002644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17.397119999999997</v>
      </c>
      <c r="D37" s="12">
        <f t="shared" si="32"/>
        <v>5.7496030122448101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10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178.67645834013535</v>
      </c>
      <c r="H37" s="70">
        <f t="shared" si="1"/>
        <v>333.64720924632633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0</v>
      </c>
      <c r="N37" s="14">
        <f>IF('Données projet'!$A$36&gt;35,N36+M37-V36,IF(A37&lt;'Données projet'!$A$36,$K$205^A37,IF(A37='Données projet'!$A$36,'Données projet'!$B$36,N36+M37-V36)))</f>
        <v>0</v>
      </c>
      <c r="O37" s="14">
        <f>N37*VLOOKUP('Données projet'!$B$9,Paramètres!$A$1:$I$89,3,0)*VLOOKUP('Données projet'!$B$9,Paramètres!$A$1:$I$89,5,0)</f>
        <v>0</v>
      </c>
      <c r="P37" s="14" t="e">
        <f t="shared" si="33"/>
        <v>#NUM!</v>
      </c>
      <c r="Q37" s="22" t="e">
        <f t="shared" si="53"/>
        <v>#NUM!</v>
      </c>
      <c r="R37" s="62" t="e">
        <f t="shared" si="0"/>
        <v>#NUM!</v>
      </c>
      <c r="S37" s="62">
        <f ca="1">AVERAGE(OFFSET($R$3,0,0,'Données projet'!$E$9+1,1))-AVERAGE(OFFSET($H$3,0,0,'Données projet'!$E$9+1,1))</f>
        <v>61.920120153277935</v>
      </c>
      <c r="T37" s="62">
        <f t="shared" si="34"/>
        <v>346.77984765566453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65.23706032834211</v>
      </c>
      <c r="AA37" s="23">
        <f>EXP(-LN(2)/25)*AA36+(1-EXP(-LN(2)/25))/(LN(2)/25)*Calculateur!V37*Calculateur!X37*VLOOKUP('Données projet'!$B$9,Paramètres!$A$1:$I$89,3,0)*0.475*44/12</f>
        <v>14.311183439653663</v>
      </c>
      <c r="AB37" s="23">
        <f>EXP(-LN(2)/2)*AB36+(1-EXP(-LN(2)/2))/(LN(2)/2)*V37*Y37*VLOOKUP('Données projet'!$B$9,Paramètres!$A$1:$I$89,3,0)*0.475*44/12</f>
        <v>0</v>
      </c>
      <c r="AC37" s="24">
        <f t="shared" si="3"/>
        <v>79.548243767995771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0</v>
      </c>
      <c r="AI37" s="14">
        <f>IF('Données projet'!$A$62&gt;35,AI36+AH37-AQ36,IF(A37&lt;'Données projet'!$A$62,$AF$205^A37,IF(A37='Données projet'!$A$62,'Données projet'!$B$62,AI36+AH37-AQ36)))</f>
        <v>0</v>
      </c>
      <c r="AJ37" s="14">
        <f>AI37*VLOOKUP('Données projet'!$B$10,Paramètres!$A$1:$I$89,3,0)*VLOOKUP('Données projet'!$B$10,Paramètres!$A$1:$I$89,5,0)</f>
        <v>0</v>
      </c>
      <c r="AK37" s="14" t="e">
        <f t="shared" si="35"/>
        <v>#NUM!</v>
      </c>
      <c r="AL37" s="22" t="e">
        <f t="shared" si="4"/>
        <v>#NUM!</v>
      </c>
      <c r="AM37" s="62" t="e">
        <f t="shared" si="5"/>
        <v>#NUM!</v>
      </c>
      <c r="AN37" s="62">
        <f ca="1">AVERAGE(OFFSET($AM$3,0,0,'Données projet'!$E$10+1,1))-AVERAGE(OFFSET($H$3,0,0,'Données projet'!$E$10+1,1))</f>
        <v>60.374143206158408</v>
      </c>
      <c r="AO37" s="62">
        <f t="shared" si="36"/>
        <v>338.95520219048694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63.818863364682464</v>
      </c>
      <c r="AV37" s="23">
        <f>EXP(-LN(2)/25)*AV36+(1-EXP(-LN(2)/25))/(LN(2)/25)*Calculateur!AQ37*Calculateur!AS37*VLOOKUP('Données projet'!$B$10,Paramètres!$A$1:$I$89,3,0)*0.475*44/12</f>
        <v>14.000070756182929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77.818934120865393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17.908799999999996</v>
      </c>
      <c r="D38" s="12">
        <f t="shared" si="32"/>
        <v>5.898772029511778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10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183.77774899974006</v>
      </c>
      <c r="H38" s="70">
        <f t="shared" si="1"/>
        <v>334.79818795139965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0</v>
      </c>
      <c r="N38" s="14">
        <f>IF('Données projet'!$A$36&gt;35,N37+M38-V37,IF(A38&lt;'Données projet'!$A$36,$K$205^A38,IF(A38='Données projet'!$A$36,'Données projet'!$B$36,N37+M38-V37)))</f>
        <v>0</v>
      </c>
      <c r="O38" s="14">
        <f>N38*VLOOKUP('Données projet'!$B$9,Paramètres!$A$1:$I$89,3,0)*VLOOKUP('Données projet'!$B$9,Paramètres!$A$1:$I$89,5,0)</f>
        <v>0</v>
      </c>
      <c r="P38" s="14" t="e">
        <f t="shared" si="33"/>
        <v>#NUM!</v>
      </c>
      <c r="Q38" s="22" t="e">
        <f t="shared" si="53"/>
        <v>#NUM!</v>
      </c>
      <c r="R38" s="62" t="e">
        <f t="shared" si="0"/>
        <v>#NUM!</v>
      </c>
      <c r="S38" s="62">
        <f ca="1">AVERAGE(OFFSET($R$3,0,0,'Données projet'!$E$9+1,1))-AVERAGE(OFFSET($H$3,0,0,'Données projet'!$E$9+1,1))</f>
        <v>61.920120153277935</v>
      </c>
      <c r="T38" s="62">
        <f t="shared" si="34"/>
        <v>346.77984765566453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63.957801365981119</v>
      </c>
      <c r="AA38" s="23">
        <f>EXP(-LN(2)/25)*AA37+(1-EXP(-LN(2)/25))/(LN(2)/25)*Calculateur!V38*Calculateur!X38*VLOOKUP('Données projet'!$B$9,Paramètres!$A$1:$I$89,3,0)*0.475*44/12</f>
        <v>13.919843375903906</v>
      </c>
      <c r="AB38" s="23">
        <f>EXP(-LN(2)/2)*AB37+(1-EXP(-LN(2)/2))/(LN(2)/2)*V38*Y38*VLOOKUP('Données projet'!$B$9,Paramètres!$A$1:$I$89,3,0)*0.475*44/12</f>
        <v>0</v>
      </c>
      <c r="AC38" s="24">
        <f t="shared" si="3"/>
        <v>77.877644741885021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0</v>
      </c>
      <c r="AI38" s="14">
        <f>IF('Données projet'!$A$62&gt;35,AI37+AH38-AQ37,IF(A38&lt;'Données projet'!$A$62,$AF$205^A38,IF(A38='Données projet'!$A$62,'Données projet'!$B$62,AI37+AH38-AQ37)))</f>
        <v>0</v>
      </c>
      <c r="AJ38" s="14">
        <f>AI38*VLOOKUP('Données projet'!$B$10,Paramètres!$A$1:$I$89,3,0)*VLOOKUP('Données projet'!$B$10,Paramètres!$A$1:$I$89,5,0)</f>
        <v>0</v>
      </c>
      <c r="AK38" s="14" t="e">
        <f t="shared" si="35"/>
        <v>#NUM!</v>
      </c>
      <c r="AL38" s="22" t="e">
        <f t="shared" si="4"/>
        <v>#NUM!</v>
      </c>
      <c r="AM38" s="62" t="e">
        <f t="shared" si="5"/>
        <v>#NUM!</v>
      </c>
      <c r="AN38" s="62">
        <f ca="1">AVERAGE(OFFSET($AM$3,0,0,'Données projet'!$E$10+1,1))-AVERAGE(OFFSET($H$3,0,0,'Données projet'!$E$10+1,1))</f>
        <v>60.374143206158408</v>
      </c>
      <c r="AO38" s="62">
        <f t="shared" si="36"/>
        <v>338.95520219048694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62.567414379764102</v>
      </c>
      <c r="AV38" s="23">
        <f>EXP(-LN(2)/25)*AV37+(1-EXP(-LN(2)/25))/(LN(2)/25)*Calculateur!AQ38*Calculateur!AS38*VLOOKUP('Données projet'!$B$10,Paramètres!$A$1:$I$89,3,0)*0.475*44/12</f>
        <v>13.617238085123383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76.184652464887478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18.420479999999994</v>
      </c>
      <c r="D39" s="12">
        <f t="shared" si="32"/>
        <v>6.0474457060548152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10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188.87521597656348</v>
      </c>
      <c r="H39" s="70">
        <f t="shared" si="1"/>
        <v>335.94830393804546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0</v>
      </c>
      <c r="N39" s="14">
        <f>IF('Données projet'!$A$36&gt;35,N38+M39-V38,IF(A39&lt;'Données projet'!$A$36,$K$205^A39,IF(A39='Données projet'!$A$36,'Données projet'!$B$36,N38+M39-V38)))</f>
        <v>0</v>
      </c>
      <c r="O39" s="14">
        <f>N39*VLOOKUP('Données projet'!$B$9,Paramètres!$A$1:$I$89,3,0)*VLOOKUP('Données projet'!$B$9,Paramètres!$A$1:$I$89,5,0)</f>
        <v>0</v>
      </c>
      <c r="P39" s="14" t="e">
        <f t="shared" si="33"/>
        <v>#NUM!</v>
      </c>
      <c r="Q39" s="22" t="e">
        <f t="shared" si="53"/>
        <v>#NUM!</v>
      </c>
      <c r="R39" s="62" t="e">
        <f t="shared" si="0"/>
        <v>#NUM!</v>
      </c>
      <c r="S39" s="62">
        <f ca="1">AVERAGE(OFFSET($R$3,0,0,'Données projet'!$E$9+1,1))-AVERAGE(OFFSET($H$3,0,0,'Données projet'!$E$9+1,1))</f>
        <v>61.920120153277935</v>
      </c>
      <c r="T39" s="62">
        <f t="shared" si="34"/>
        <v>346.77984765566453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62.703627891601101</v>
      </c>
      <c r="AA39" s="23">
        <f>EXP(-LN(2)/25)*AA38+(1-EXP(-LN(2)/25))/(LN(2)/25)*Calculateur!V39*Calculateur!X39*VLOOKUP('Données projet'!$B$9,Paramètres!$A$1:$I$89,3,0)*0.475*44/12</f>
        <v>13.539204526777064</v>
      </c>
      <c r="AB39" s="23">
        <f>EXP(-LN(2)/2)*AB38+(1-EXP(-LN(2)/2))/(LN(2)/2)*V39*Y39*VLOOKUP('Données projet'!$B$9,Paramètres!$A$1:$I$89,3,0)*0.475*44/12</f>
        <v>0</v>
      </c>
      <c r="AC39" s="24">
        <f t="shared" si="3"/>
        <v>76.242832418378171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0</v>
      </c>
      <c r="AI39" s="14">
        <f>IF('Données projet'!$A$62&gt;35,AI38+AH39-AQ38,IF(A39&lt;'Données projet'!$A$62,$AF$205^A39,IF(A39='Données projet'!$A$62,'Données projet'!$B$62,AI38+AH39-AQ38)))</f>
        <v>0</v>
      </c>
      <c r="AJ39" s="14">
        <f>AI39*VLOOKUP('Données projet'!$B$10,Paramètres!$A$1:$I$89,3,0)*VLOOKUP('Données projet'!$B$10,Paramètres!$A$1:$I$89,5,0)</f>
        <v>0</v>
      </c>
      <c r="AK39" s="14" t="e">
        <f t="shared" si="35"/>
        <v>#NUM!</v>
      </c>
      <c r="AL39" s="22" t="e">
        <f t="shared" si="4"/>
        <v>#NUM!</v>
      </c>
      <c r="AM39" s="62" t="e">
        <f t="shared" si="5"/>
        <v>#NUM!</v>
      </c>
      <c r="AN39" s="62">
        <f ca="1">AVERAGE(OFFSET($AM$3,0,0,'Données projet'!$E$10+1,1))-AVERAGE(OFFSET($H$3,0,0,'Données projet'!$E$10+1,1))</f>
        <v>60.374143206158408</v>
      </c>
      <c r="AO39" s="62">
        <f t="shared" si="36"/>
        <v>338.95520219048694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61.340505546131482</v>
      </c>
      <c r="AV39" s="23">
        <f>EXP(-LN(2)/25)*AV38+(1-EXP(-LN(2)/25))/(LN(2)/25)*Calculateur!AQ39*Calculateur!AS39*VLOOKUP('Données projet'!$B$10,Paramètres!$A$1:$I$89,3,0)*0.475*44/12</f>
        <v>13.244873993586255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74.585379539717735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18.932159999999993</v>
      </c>
      <c r="D40" s="12">
        <f t="shared" si="32"/>
        <v>6.1956393821294142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10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193.96897768661299</v>
      </c>
      <c r="H40" s="70">
        <f t="shared" si="1"/>
        <v>337.09758392387539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0</v>
      </c>
      <c r="N40" s="14">
        <f>IF('Données projet'!$A$36&gt;35,N39+M40-V39,IF(A40&lt;'Données projet'!$A$36,$K$205^A40,IF(A40='Données projet'!$A$36,'Données projet'!$B$36,N39+M40-V39)))</f>
        <v>0</v>
      </c>
      <c r="O40" s="14">
        <f>N40*VLOOKUP('Données projet'!$B$9,Paramètres!$A$1:$I$89,3,0)*VLOOKUP('Données projet'!$B$9,Paramètres!$A$1:$I$89,5,0)</f>
        <v>0</v>
      </c>
      <c r="P40" s="14" t="e">
        <f t="shared" si="33"/>
        <v>#NUM!</v>
      </c>
      <c r="Q40" s="22" t="e">
        <f t="shared" si="53"/>
        <v>#NUM!</v>
      </c>
      <c r="R40" s="62" t="e">
        <f t="shared" si="0"/>
        <v>#NUM!</v>
      </c>
      <c r="S40" s="62">
        <f ca="1">AVERAGE(OFFSET($R$3,0,0,'Données projet'!$E$9+1,1))-AVERAGE(OFFSET($H$3,0,0,'Données projet'!$E$9+1,1))</f>
        <v>61.920120153277935</v>
      </c>
      <c r="T40" s="62">
        <f t="shared" si="34"/>
        <v>346.77984765566453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61.474047994083392</v>
      </c>
      <c r="AA40" s="23">
        <f>EXP(-LN(2)/25)*AA39+(1-EXP(-LN(2)/25))/(LN(2)/25)*Calculateur!V40*Calculateur!X40*VLOOKUP('Données projet'!$B$9,Paramètres!$A$1:$I$89,3,0)*0.475*44/12</f>
        <v>13.168974266996523</v>
      </c>
      <c r="AB40" s="23">
        <f>EXP(-LN(2)/2)*AB39+(1-EXP(-LN(2)/2))/(LN(2)/2)*V40*Y40*VLOOKUP('Données projet'!$B$9,Paramètres!$A$1:$I$89,3,0)*0.475*44/12</f>
        <v>0</v>
      </c>
      <c r="AC40" s="24">
        <f t="shared" si="3"/>
        <v>74.643022261079921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0</v>
      </c>
      <c r="AI40" s="14">
        <f>IF('Données projet'!$A$62&gt;35,AI39+AH40-AQ39,IF(A40&lt;'Données projet'!$A$62,$AF$205^A40,IF(A40='Données projet'!$A$62,'Données projet'!$B$62,AI39+AH40-AQ39)))</f>
        <v>0</v>
      </c>
      <c r="AJ40" s="14">
        <f>AI40*VLOOKUP('Données projet'!$B$10,Paramètres!$A$1:$I$89,3,0)*VLOOKUP('Données projet'!$B$10,Paramètres!$A$1:$I$89,5,0)</f>
        <v>0</v>
      </c>
      <c r="AK40" s="14" t="e">
        <f t="shared" si="35"/>
        <v>#NUM!</v>
      </c>
      <c r="AL40" s="22" t="e">
        <f t="shared" si="4"/>
        <v>#NUM!</v>
      </c>
      <c r="AM40" s="62" t="e">
        <f t="shared" si="5"/>
        <v>#NUM!</v>
      </c>
      <c r="AN40" s="62">
        <f ca="1">AVERAGE(OFFSET($AM$3,0,0,'Données projet'!$E$10+1,1))-AVERAGE(OFFSET($H$3,0,0,'Données projet'!$E$10+1,1))</f>
        <v>60.374143206158408</v>
      </c>
      <c r="AO40" s="62">
        <f t="shared" si="36"/>
        <v>338.95520219048694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60.137655646385902</v>
      </c>
      <c r="AV40" s="23">
        <f>EXP(-LN(2)/25)*AV39+(1-EXP(-LN(2)/25))/(LN(2)/25)*Calculateur!AQ40*Calculateur!AS40*VLOOKUP('Données projet'!$B$10,Paramètres!$A$1:$I$89,3,0)*0.475*44/12</f>
        <v>12.882692217713988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73.02034786409989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19.443839999999991</v>
      </c>
      <c r="D41" s="12">
        <f t="shared" si="32"/>
        <v>6.3433675215849155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10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199.05914578065543</v>
      </c>
      <c r="H41" s="70">
        <f t="shared" si="1"/>
        <v>338.24605310009372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0</v>
      </c>
      <c r="N41" s="14">
        <f>IF('Données projet'!$A$36&gt;35,N40+M41-V40,IF(A41&lt;'Données projet'!$A$36,$K$205^A41,IF(A41='Données projet'!$A$36,'Données projet'!$B$36,N40+M41-V40)))</f>
        <v>0</v>
      </c>
      <c r="O41" s="14">
        <f>N41*VLOOKUP('Données projet'!$B$9,Paramètres!$A$1:$I$89,3,0)*VLOOKUP('Données projet'!$B$9,Paramètres!$A$1:$I$89,5,0)</f>
        <v>0</v>
      </c>
      <c r="P41" s="14" t="e">
        <f t="shared" si="33"/>
        <v>#NUM!</v>
      </c>
      <c r="Q41" s="22" t="e">
        <f t="shared" si="53"/>
        <v>#NUM!</v>
      </c>
      <c r="R41" s="62" t="e">
        <f t="shared" si="0"/>
        <v>#NUM!</v>
      </c>
      <c r="S41" s="62">
        <f ca="1">AVERAGE(OFFSET($R$3,0,0,'Données projet'!$E$9+1,1))-AVERAGE(OFFSET($H$3,0,0,'Données projet'!$E$9+1,1))</f>
        <v>61.920120153277935</v>
      </c>
      <c r="T41" s="62">
        <f t="shared" si="34"/>
        <v>346.77984765566453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60.268579408386323</v>
      </c>
      <c r="AA41" s="23">
        <f>EXP(-LN(2)/25)*AA40+(1-EXP(-LN(2)/25))/(LN(2)/25)*Calculateur!V41*Calculateur!X41*VLOOKUP('Données projet'!$B$9,Paramètres!$A$1:$I$89,3,0)*0.475*44/12</f>
        <v>12.808867973139245</v>
      </c>
      <c r="AB41" s="23">
        <f>EXP(-LN(2)/2)*AB40+(1-EXP(-LN(2)/2))/(LN(2)/2)*V41*Y41*VLOOKUP('Données projet'!$B$9,Paramètres!$A$1:$I$89,3,0)*0.475*44/12</f>
        <v>0</v>
      </c>
      <c r="AC41" s="24">
        <f t="shared" si="3"/>
        <v>73.077447381525573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0</v>
      </c>
      <c r="AI41" s="14">
        <f>IF('Données projet'!$A$62&gt;35,AI40+AH41-AQ40,IF(A41&lt;'Données projet'!$A$62,$AF$205^A41,IF(A41='Données projet'!$A$62,'Données projet'!$B$62,AI40+AH41-AQ40)))</f>
        <v>0</v>
      </c>
      <c r="AJ41" s="14">
        <f>AI41*VLOOKUP('Données projet'!$B$10,Paramètres!$A$1:$I$89,3,0)*VLOOKUP('Données projet'!$B$10,Paramètres!$A$1:$I$89,5,0)</f>
        <v>0</v>
      </c>
      <c r="AK41" s="14" t="e">
        <f t="shared" si="35"/>
        <v>#NUM!</v>
      </c>
      <c r="AL41" s="22" t="e">
        <f t="shared" si="4"/>
        <v>#NUM!</v>
      </c>
      <c r="AM41" s="62" t="e">
        <f t="shared" si="5"/>
        <v>#NUM!</v>
      </c>
      <c r="AN41" s="62">
        <f ca="1">AVERAGE(OFFSET($AM$3,0,0,'Données projet'!$E$10+1,1))-AVERAGE(OFFSET($H$3,0,0,'Données projet'!$E$10+1,1))</f>
        <v>60.374143206158408</v>
      </c>
      <c r="AO41" s="62">
        <f t="shared" si="36"/>
        <v>338.95520219048694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58.958392899508333</v>
      </c>
      <c r="AV41" s="23">
        <f>EXP(-LN(2)/25)*AV40+(1-EXP(-LN(2)/25))/(LN(2)/25)*Calculateur!AQ41*Calculateur!AS41*VLOOKUP('Données projet'!$B$10,Paramètres!$A$1:$I$89,3,0)*0.475*44/12</f>
        <v>12.530414321549259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71.488807221057584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19.955519999999989</v>
      </c>
      <c r="D42" s="12">
        <f t="shared" si="32"/>
        <v>6.4906437836625361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10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204.14582569844757</v>
      </c>
      <c r="H42" s="70">
        <f t="shared" si="1"/>
        <v>339.39373525654554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0</v>
      </c>
      <c r="N42" s="14">
        <f>IF('Données projet'!$A$36&gt;35,N41+M42-V41,IF(A42&lt;'Données projet'!$A$36,$K$205^A42,IF(A42='Données projet'!$A$36,'Données projet'!$B$36,N41+M42-V41)))</f>
        <v>0</v>
      </c>
      <c r="O42" s="14">
        <f>N42*VLOOKUP('Données projet'!$B$9,Paramètres!$A$1:$I$89,3,0)*VLOOKUP('Données projet'!$B$9,Paramètres!$A$1:$I$89,5,0)</f>
        <v>0</v>
      </c>
      <c r="P42" s="14" t="e">
        <f t="shared" si="33"/>
        <v>#NUM!</v>
      </c>
      <c r="Q42" s="22" t="e">
        <f t="shared" si="53"/>
        <v>#NUM!</v>
      </c>
      <c r="R42" s="62" t="e">
        <f t="shared" si="0"/>
        <v>#NUM!</v>
      </c>
      <c r="S42" s="62">
        <f ca="1">AVERAGE(OFFSET($R$3,0,0,'Données projet'!$E$9+1,1))-AVERAGE(OFFSET($H$3,0,0,'Données projet'!$E$9+1,1))</f>
        <v>61.920120153277935</v>
      </c>
      <c r="T42" s="62">
        <f t="shared" si="34"/>
        <v>346.77984765566453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59.086749326391541</v>
      </c>
      <c r="AA42" s="23">
        <f>EXP(-LN(2)/25)*AA41+(1-EXP(-LN(2)/25))/(LN(2)/25)*Calculateur!V42*Calculateur!X42*VLOOKUP('Données projet'!$B$9,Paramètres!$A$1:$I$89,3,0)*0.475*44/12</f>
        <v>12.45860880482466</v>
      </c>
      <c r="AB42" s="23">
        <f>EXP(-LN(2)/2)*AB41+(1-EXP(-LN(2)/2))/(LN(2)/2)*V42*Y42*VLOOKUP('Données projet'!$B$9,Paramètres!$A$1:$I$89,3,0)*0.475*44/12</f>
        <v>0</v>
      </c>
      <c r="AC42" s="24">
        <f t="shared" si="3"/>
        <v>71.545358131216204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0</v>
      </c>
      <c r="AI42" s="14">
        <f>IF('Données projet'!$A$62&gt;35,AI41+AH42-AQ41,IF(A42&lt;'Données projet'!$A$62,$AF$205^A42,IF(A42='Données projet'!$A$62,'Données projet'!$B$62,AI41+AH42-AQ41)))</f>
        <v>0</v>
      </c>
      <c r="AJ42" s="14">
        <f>AI42*VLOOKUP('Données projet'!$B$10,Paramètres!$A$1:$I$89,3,0)*VLOOKUP('Données projet'!$B$10,Paramètres!$A$1:$I$89,5,0)</f>
        <v>0</v>
      </c>
      <c r="AK42" s="14" t="e">
        <f t="shared" si="35"/>
        <v>#NUM!</v>
      </c>
      <c r="AL42" s="22" t="e">
        <f t="shared" si="4"/>
        <v>#NUM!</v>
      </c>
      <c r="AM42" s="62" t="e">
        <f t="shared" si="5"/>
        <v>#NUM!</v>
      </c>
      <c r="AN42" s="62">
        <f ca="1">AVERAGE(OFFSET($AM$3,0,0,'Données projet'!$E$10+1,1))-AVERAGE(OFFSET($H$3,0,0,'Données projet'!$E$10+1,1))</f>
        <v>60.374143206158408</v>
      </c>
      <c r="AO42" s="62">
        <f t="shared" si="36"/>
        <v>338.95520219048694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57.802254775817779</v>
      </c>
      <c r="AV42" s="23">
        <f>EXP(-LN(2)/25)*AV41+(1-EXP(-LN(2)/25))/(LN(2)/25)*Calculateur!AQ42*Calculateur!AS42*VLOOKUP('Données projet'!$B$10,Paramètres!$A$1:$I$89,3,0)*0.475*44/12</f>
        <v>12.187769482980643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69.990024258798428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20.467199999999988</v>
      </c>
      <c r="D43" s="12">
        <f t="shared" si="32"/>
        <v>6.6374810872223451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10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209.22911716452325</v>
      </c>
      <c r="H43" s="70">
        <f t="shared" si="1"/>
        <v>340.54065289357885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0</v>
      </c>
      <c r="N43" s="14">
        <f>IF('Données projet'!$A$36&gt;35,N42+M43-V42,IF(A43&lt;'Données projet'!$A$36,$K$205^A43,IF(A43='Données projet'!$A$36,'Données projet'!$B$36,N42+M43-V42)))</f>
        <v>0</v>
      </c>
      <c r="O43" s="14">
        <f>N43*VLOOKUP('Données projet'!$B$9,Paramètres!$A$1:$I$89,3,0)*VLOOKUP('Données projet'!$B$9,Paramètres!$A$1:$I$89,5,0)</f>
        <v>0</v>
      </c>
      <c r="P43" s="14" t="e">
        <f t="shared" si="33"/>
        <v>#NUM!</v>
      </c>
      <c r="Q43" s="22" t="e">
        <f t="shared" si="53"/>
        <v>#NUM!</v>
      </c>
      <c r="R43" s="62" t="e">
        <f t="shared" si="0"/>
        <v>#NUM!</v>
      </c>
      <c r="S43" s="62">
        <f ca="1">AVERAGE(OFFSET($R$3,0,0,'Données projet'!$E$9+1,1))-AVERAGE(OFFSET($H$3,0,0,'Données projet'!$E$9+1,1))</f>
        <v>61.920120153277935</v>
      </c>
      <c r="T43" s="62">
        <f t="shared" si="34"/>
        <v>346.77984765566453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57.928094211459502</v>
      </c>
      <c r="AA43" s="23">
        <f>EXP(-LN(2)/25)*AA42+(1-EXP(-LN(2)/25))/(LN(2)/25)*Calculateur!V43*Calculateur!X43*VLOOKUP('Données projet'!$B$9,Paramètres!$A$1:$I$89,3,0)*0.475*44/12</f>
        <v>12.117927491886967</v>
      </c>
      <c r="AB43" s="23">
        <f>EXP(-LN(2)/2)*AB42+(1-EXP(-LN(2)/2))/(LN(2)/2)*V43*Y43*VLOOKUP('Données projet'!$B$9,Paramètres!$A$1:$I$89,3,0)*0.475*44/12</f>
        <v>0</v>
      </c>
      <c r="AC43" s="24">
        <f t="shared" si="3"/>
        <v>70.046021703346469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 t="e">
        <f>VLOOKUP(A43,'Données projet'!$A$61:$I$81,2,0)</f>
        <v>#N/A</v>
      </c>
      <c r="AG43" s="13" t="e">
        <f>VLOOKUP(A43,'Données projet'!$A$61:$I$81,9,0)</f>
        <v>#N/A</v>
      </c>
      <c r="AH43" s="13">
        <f t="array" ref="AH43">INDEX(AG:AG,MIN(IF(ISNUMBER(AG43:AG239),ROW(AG43:AG239),"")))</f>
        <v>0</v>
      </c>
      <c r="AI43" s="14">
        <f>IF('Données projet'!$A$62&gt;35,AI42+AH43-AQ42,IF(A43&lt;'Données projet'!$A$62,$AF$205^A43,IF(A43='Données projet'!$A$62,'Données projet'!$B$62,AI42+AH43-AQ42)))</f>
        <v>0</v>
      </c>
      <c r="AJ43" s="14">
        <f>AI43*VLOOKUP('Données projet'!$B$10,Paramètres!$A$1:$I$89,3,0)*VLOOKUP('Données projet'!$B$10,Paramètres!$A$1:$I$89,5,0)</f>
        <v>0</v>
      </c>
      <c r="AK43" s="14" t="e">
        <f t="shared" si="35"/>
        <v>#NUM!</v>
      </c>
      <c r="AL43" s="22" t="e">
        <f t="shared" si="4"/>
        <v>#NUM!</v>
      </c>
      <c r="AM43" s="62" t="e">
        <f t="shared" si="5"/>
        <v>#NUM!</v>
      </c>
      <c r="AN43" s="62">
        <f ca="1">AVERAGE(OFFSET($AM$3,0,0,'Données projet'!$E$10+1,1))-AVERAGE(OFFSET($H$3,0,0,'Données projet'!$E$10+1,1))</f>
        <v>60.374143206158408</v>
      </c>
      <c r="AO43" s="62">
        <f t="shared" si="36"/>
        <v>338.95520219048694</v>
      </c>
      <c r="AP43" s="16">
        <f>IF(ISNA(VLOOKUP(A43,'Données projet'!$A$61:$I$81,3,0)),0,VLOOKUP(A43,'Données projet'!$A$61:$I$81,3,0))</f>
        <v>0</v>
      </c>
      <c r="AQ43" s="16">
        <f>IF(ISNA(VLOOKUP(A43,'Données projet'!$A$61:$I$81,4,0)),0,VLOOKUP(A43,'Données projet'!$A$61:$I$81,4,0))</f>
        <v>0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56.668787815558176</v>
      </c>
      <c r="AV43" s="23">
        <f>EXP(-LN(2)/25)*AV42+(1-EXP(-LN(2)/25))/(LN(2)/25)*Calculateur!AQ43*Calculateur!AS43*VLOOKUP('Données projet'!$B$10,Paramètres!$A$1:$I$89,3,0)*0.475*44/12</f>
        <v>11.854494285541596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68.523282101099767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20.978879999999986</v>
      </c>
      <c r="D44" s="12">
        <f t="shared" si="32"/>
        <v>6.7838916683666852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10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214.30911463300586</v>
      </c>
      <c r="H44" s="70">
        <f t="shared" si="1"/>
        <v>341.68682732240529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0</v>
      </c>
      <c r="N44" s="14">
        <f>IF('Données projet'!$A$36&gt;35,N43+M44-V43,IF(A44&lt;'Données projet'!$A$36,$K$205^A44,IF(A44='Données projet'!$A$36,'Données projet'!$B$36,N43+M44-V43)))</f>
        <v>0</v>
      </c>
      <c r="O44" s="14">
        <f>N44*VLOOKUP('Données projet'!$B$9,Paramètres!$A$1:$I$89,3,0)*VLOOKUP('Données projet'!$B$9,Paramètres!$A$1:$I$89,5,0)</f>
        <v>0</v>
      </c>
      <c r="P44" s="14" t="e">
        <f t="shared" si="33"/>
        <v>#NUM!</v>
      </c>
      <c r="Q44" s="22" t="e">
        <f t="shared" si="53"/>
        <v>#NUM!</v>
      </c>
      <c r="R44" s="62" t="e">
        <f t="shared" si="0"/>
        <v>#NUM!</v>
      </c>
      <c r="S44" s="62">
        <f ca="1">AVERAGE(OFFSET($R$3,0,0,'Données projet'!$E$9+1,1))-AVERAGE(OFFSET($H$3,0,0,'Données projet'!$E$9+1,1))</f>
        <v>61.920120153277935</v>
      </c>
      <c r="T44" s="62">
        <f t="shared" si="34"/>
        <v>346.77984765566453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56.79215961662144</v>
      </c>
      <c r="AA44" s="23">
        <f>EXP(-LN(2)/25)*AA43+(1-EXP(-LN(2)/25))/(LN(2)/25)*Calculateur!V44*Calculateur!X44*VLOOKUP('Données projet'!$B$9,Paramètres!$A$1:$I$89,3,0)*0.475*44/12</f>
        <v>11.786562127367207</v>
      </c>
      <c r="AB44" s="23">
        <f>EXP(-LN(2)/2)*AB43+(1-EXP(-LN(2)/2))/(LN(2)/2)*V44*Y44*VLOOKUP('Données projet'!$B$9,Paramètres!$A$1:$I$89,3,0)*0.475*44/12</f>
        <v>0</v>
      </c>
      <c r="AC44" s="24">
        <f t="shared" si="3"/>
        <v>68.578721743988652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0</v>
      </c>
      <c r="AI44" s="14">
        <f>IF('Données projet'!$A$62&gt;35,AI43+AH44-AQ43,IF(A44&lt;'Données projet'!$A$62,$AF$205^A44,IF(A44='Données projet'!$A$62,'Données projet'!$B$62,AI43+AH44-AQ43)))</f>
        <v>0</v>
      </c>
      <c r="AJ44" s="14">
        <f>AI44*VLOOKUP('Données projet'!$B$10,Paramètres!$A$1:$I$89,3,0)*VLOOKUP('Données projet'!$B$10,Paramètres!$A$1:$I$89,5,0)</f>
        <v>0</v>
      </c>
      <c r="AK44" s="14" t="e">
        <f t="shared" si="35"/>
        <v>#NUM!</v>
      </c>
      <c r="AL44" s="22" t="e">
        <f t="shared" si="4"/>
        <v>#NUM!</v>
      </c>
      <c r="AM44" s="62" t="e">
        <f t="shared" si="5"/>
        <v>#NUM!</v>
      </c>
      <c r="AN44" s="62">
        <f ca="1">AVERAGE(OFFSET($AM$3,0,0,'Données projet'!$E$10+1,1))-AVERAGE(OFFSET($H$3,0,0,'Données projet'!$E$10+1,1))</f>
        <v>60.374143206158408</v>
      </c>
      <c r="AO44" s="62">
        <f t="shared" si="36"/>
        <v>338.95520219048694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55.55754745104268</v>
      </c>
      <c r="AV44" s="23">
        <f>EXP(-LN(2)/25)*AV43+(1-EXP(-LN(2)/25))/(LN(2)/25)*Calculateur!AQ44*Calculateur!AS44*VLOOKUP('Données projet'!$B$10,Paramètres!$A$1:$I$89,3,0)*0.475*44/12</f>
        <v>11.530332515902701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67.08787996694538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21.490559999999984</v>
      </c>
      <c r="D45" s="12">
        <f t="shared" si="32"/>
        <v>6.9298871322835565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10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219.38590768780281</v>
      </c>
      <c r="H45" s="70">
        <f t="shared" si="1"/>
        <v>342.83227875539382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0</v>
      </c>
      <c r="N45" s="14">
        <f>IF('Données projet'!$A$36&gt;35,N44+M45-V44,IF(A45&lt;'Données projet'!$A$36,$K$205^A45,IF(A45='Données projet'!$A$36,'Données projet'!$B$36,N44+M45-V44)))</f>
        <v>0</v>
      </c>
      <c r="O45" s="14">
        <f>N45*VLOOKUP('Données projet'!$B$9,Paramètres!$A$1:$I$89,3,0)*VLOOKUP('Données projet'!$B$9,Paramètres!$A$1:$I$89,5,0)</f>
        <v>0</v>
      </c>
      <c r="P45" s="14" t="e">
        <f t="shared" si="33"/>
        <v>#NUM!</v>
      </c>
      <c r="Q45" s="22" t="e">
        <f t="shared" si="53"/>
        <v>#NUM!</v>
      </c>
      <c r="R45" s="62" t="e">
        <f t="shared" si="0"/>
        <v>#NUM!</v>
      </c>
      <c r="S45" s="62">
        <f ca="1">AVERAGE(OFFSET($R$3,0,0,'Données projet'!$E$9+1,1))-AVERAGE(OFFSET($H$3,0,0,'Données projet'!$E$9+1,1))</f>
        <v>61.920120153277935</v>
      </c>
      <c r="T45" s="62">
        <f t="shared" si="34"/>
        <v>346.77984765566453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55.678500006336463</v>
      </c>
      <c r="AA45" s="23">
        <f>EXP(-LN(2)/25)*AA44+(1-EXP(-LN(2)/25))/(LN(2)/25)*Calculateur!V45*Calculateur!X45*VLOOKUP('Données projet'!$B$9,Paramètres!$A$1:$I$89,3,0)*0.475*44/12</f>
        <v>11.464257966165986</v>
      </c>
      <c r="AB45" s="23">
        <f>EXP(-LN(2)/2)*AB44+(1-EXP(-LN(2)/2))/(LN(2)/2)*V45*Y45*VLOOKUP('Données projet'!$B$9,Paramètres!$A$1:$I$89,3,0)*0.475*44/12</f>
        <v>0</v>
      </c>
      <c r="AC45" s="24">
        <f t="shared" si="3"/>
        <v>67.142757972502451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0</v>
      </c>
      <c r="AI45" s="14">
        <f>IF('Données projet'!$A$62&gt;35,AI44+AH45-AQ44,IF(A45&lt;'Données projet'!$A$62,$AF$205^A45,IF(A45='Données projet'!$A$62,'Données projet'!$B$62,AI44+AH45-AQ44)))</f>
        <v>0</v>
      </c>
      <c r="AJ45" s="14">
        <f>AI45*VLOOKUP('Données projet'!$B$10,Paramètres!$A$1:$I$89,3,0)*VLOOKUP('Données projet'!$B$10,Paramètres!$A$1:$I$89,5,0)</f>
        <v>0</v>
      </c>
      <c r="AK45" s="14" t="e">
        <f t="shared" si="35"/>
        <v>#NUM!</v>
      </c>
      <c r="AL45" s="22" t="e">
        <f t="shared" si="4"/>
        <v>#NUM!</v>
      </c>
      <c r="AM45" s="62" t="e">
        <f t="shared" si="5"/>
        <v>#NUM!</v>
      </c>
      <c r="AN45" s="62">
        <f ca="1">AVERAGE(OFFSET($AM$3,0,0,'Données projet'!$E$10+1,1))-AVERAGE(OFFSET($H$3,0,0,'Données projet'!$E$10+1,1))</f>
        <v>60.374143206158408</v>
      </c>
      <c r="AO45" s="62">
        <f t="shared" si="36"/>
        <v>338.95520219048694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54.468097832285636</v>
      </c>
      <c r="AV45" s="23">
        <f>EXP(-LN(2)/25)*AV44+(1-EXP(-LN(2)/25))/(LN(2)/25)*Calculateur!AQ45*Calculateur!AS45*VLOOKUP('Données projet'!$B$10,Paramètres!$A$1:$I$89,3,0)*0.475*44/12</f>
        <v>11.215034966901507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65.683132799187149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22.002239999999983</v>
      </c>
      <c r="D46" s="12">
        <f t="shared" si="32"/>
        <v>7.0754785000134275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10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224.4595814036123</v>
      </c>
      <c r="H46" s="70">
        <f t="shared" si="1"/>
        <v>343.97702638752332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0</v>
      </c>
      <c r="N46" s="14">
        <f>IF('Données projet'!$A$36&gt;35,N45+M46-V45,IF(A46&lt;'Données projet'!$A$36,$K$205^A46,IF(A46='Données projet'!$A$36,'Données projet'!$B$36,N45+M46-V45)))</f>
        <v>0</v>
      </c>
      <c r="O46" s="14">
        <f>N46*VLOOKUP('Données projet'!$B$9,Paramètres!$A$1:$I$89,3,0)*VLOOKUP('Données projet'!$B$9,Paramètres!$A$1:$I$89,5,0)</f>
        <v>0</v>
      </c>
      <c r="P46" s="14" t="e">
        <f t="shared" si="33"/>
        <v>#NUM!</v>
      </c>
      <c r="Q46" s="22" t="e">
        <f t="shared" si="53"/>
        <v>#NUM!</v>
      </c>
      <c r="R46" s="62" t="e">
        <f t="shared" si="0"/>
        <v>#NUM!</v>
      </c>
      <c r="S46" s="62">
        <f ca="1">AVERAGE(OFFSET($R$3,0,0,'Données projet'!$E$9+1,1))-AVERAGE(OFFSET($H$3,0,0,'Données projet'!$E$9+1,1))</f>
        <v>61.920120153277935</v>
      </c>
      <c r="T46" s="62">
        <f t="shared" si="34"/>
        <v>346.77984765566453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54.586678581743882</v>
      </c>
      <c r="AA46" s="23">
        <f>EXP(-LN(2)/25)*AA45+(1-EXP(-LN(2)/25))/(LN(2)/25)*Calculateur!V46*Calculateur!X46*VLOOKUP('Données projet'!$B$9,Paramètres!$A$1:$I$89,3,0)*0.475*44/12</f>
        <v>11.150767229202053</v>
      </c>
      <c r="AB46" s="23">
        <f>EXP(-LN(2)/2)*AB45+(1-EXP(-LN(2)/2))/(LN(2)/2)*V46*Y46*VLOOKUP('Données projet'!$B$9,Paramètres!$A$1:$I$89,3,0)*0.475*44/12</f>
        <v>0</v>
      </c>
      <c r="AC46" s="24">
        <f t="shared" si="3"/>
        <v>65.737445810945928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0</v>
      </c>
      <c r="AI46" s="14">
        <f>IF('Données projet'!$A$62&gt;35,AI45+AH46-AQ45,IF(A46&lt;'Données projet'!$A$62,$AF$205^A46,IF(A46='Données projet'!$A$62,'Données projet'!$B$62,AI45+AH46-AQ45)))</f>
        <v>0</v>
      </c>
      <c r="AJ46" s="14">
        <f>AI46*VLOOKUP('Données projet'!$B$10,Paramètres!$A$1:$I$89,3,0)*VLOOKUP('Données projet'!$B$10,Paramètres!$A$1:$I$89,5,0)</f>
        <v>0</v>
      </c>
      <c r="AK46" s="14" t="e">
        <f t="shared" si="35"/>
        <v>#NUM!</v>
      </c>
      <c r="AL46" s="22" t="e">
        <f t="shared" si="4"/>
        <v>#NUM!</v>
      </c>
      <c r="AM46" s="62" t="e">
        <f t="shared" si="5"/>
        <v>#NUM!</v>
      </c>
      <c r="AN46" s="62">
        <f ca="1">AVERAGE(OFFSET($AM$3,0,0,'Données projet'!$E$10+1,1))-AVERAGE(OFFSET($H$3,0,0,'Données projet'!$E$10+1,1))</f>
        <v>60.374143206158408</v>
      </c>
      <c r="AO46" s="62">
        <f t="shared" si="36"/>
        <v>338.95520219048694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53.400011656053763</v>
      </c>
      <c r="AV46" s="23">
        <f>EXP(-LN(2)/25)*AV45+(1-EXP(-LN(2)/25))/(LN(2)/25)*Calculateur!AQ46*Calculateur!AS46*VLOOKUP('Données projet'!$B$10,Paramètres!$A$1:$I$89,3,0)*0.475*44/12</f>
        <v>10.908359245958529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64.308370902012285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22.513919999999981</v>
      </c>
      <c r="D47" s="12">
        <f t="shared" si="32"/>
        <v>7.2206762507430744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10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229.53021667240253</v>
      </c>
      <c r="H47" s="70">
        <f t="shared" si="1"/>
        <v>345.12108847004413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0</v>
      </c>
      <c r="N47" s="14">
        <f>IF('Données projet'!$A$36&gt;35,N46+M47-V46,IF(A47&lt;'Données projet'!$A$36,$K$205^A47,IF(A47='Données projet'!$A$36,'Données projet'!$B$36,N46+M47-V46)))</f>
        <v>0</v>
      </c>
      <c r="O47" s="14">
        <f>N47*VLOOKUP('Données projet'!$B$9,Paramètres!$A$1:$I$89,3,0)*VLOOKUP('Données projet'!$B$9,Paramètres!$A$1:$I$89,5,0)</f>
        <v>0</v>
      </c>
      <c r="P47" s="14" t="e">
        <f t="shared" si="33"/>
        <v>#NUM!</v>
      </c>
      <c r="Q47" s="22" t="e">
        <f t="shared" si="53"/>
        <v>#NUM!</v>
      </c>
      <c r="R47" s="62" t="e">
        <f t="shared" si="0"/>
        <v>#NUM!</v>
      </c>
      <c r="S47" s="62">
        <f ca="1">AVERAGE(OFFSET($R$3,0,0,'Données projet'!$E$9+1,1))-AVERAGE(OFFSET($H$3,0,0,'Données projet'!$E$9+1,1))</f>
        <v>61.920120153277935</v>
      </c>
      <c r="T47" s="62">
        <f t="shared" si="34"/>
        <v>346.77984765566453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53.516267109342252</v>
      </c>
      <c r="AA47" s="23">
        <f>EXP(-LN(2)/25)*AA46+(1-EXP(-LN(2)/25))/(LN(2)/25)*Calculateur!V47*Calculateur!X47*VLOOKUP('Données projet'!$B$9,Paramètres!$A$1:$I$89,3,0)*0.475*44/12</f>
        <v>10.84584891292616</v>
      </c>
      <c r="AB47" s="23">
        <f>EXP(-LN(2)/2)*AB46+(1-EXP(-LN(2)/2))/(LN(2)/2)*V47*Y47*VLOOKUP('Données projet'!$B$9,Paramètres!$A$1:$I$89,3,0)*0.475*44/12</f>
        <v>0</v>
      </c>
      <c r="AC47" s="24">
        <f t="shared" si="3"/>
        <v>64.36211602226841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0</v>
      </c>
      <c r="AI47" s="14">
        <f>IF('Données projet'!$A$62&gt;35,AI46+AH47-AQ46,IF(A47&lt;'Données projet'!$A$62,$AF$205^A47,IF(A47='Données projet'!$A$62,'Données projet'!$B$62,AI46+AH47-AQ46)))</f>
        <v>0</v>
      </c>
      <c r="AJ47" s="14">
        <f>AI47*VLOOKUP('Données projet'!$B$10,Paramètres!$A$1:$I$89,3,0)*VLOOKUP('Données projet'!$B$10,Paramètres!$A$1:$I$89,5,0)</f>
        <v>0</v>
      </c>
      <c r="AK47" s="14" t="e">
        <f t="shared" si="35"/>
        <v>#NUM!</v>
      </c>
      <c r="AL47" s="22" t="e">
        <f t="shared" si="4"/>
        <v>#NUM!</v>
      </c>
      <c r="AM47" s="62" t="e">
        <f t="shared" si="5"/>
        <v>#NUM!</v>
      </c>
      <c r="AN47" s="62">
        <f ca="1">AVERAGE(OFFSET($AM$3,0,0,'Données projet'!$E$10+1,1))-AVERAGE(OFFSET($H$3,0,0,'Données projet'!$E$10+1,1))</f>
        <v>60.374143206158408</v>
      </c>
      <c r="AO47" s="62">
        <f t="shared" si="36"/>
        <v>338.95520219048694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52.352869998269561</v>
      </c>
      <c r="AV47" s="23">
        <f>EXP(-LN(2)/25)*AV46+(1-EXP(-LN(2)/25))/(LN(2)/25)*Calculateur!AQ47*Calculateur!AS47*VLOOKUP('Données projet'!$B$10,Paramètres!$A$1:$I$89,3,0)*0.475*44/12</f>
        <v>10.610069588732111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62.962939587001671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23.025599999999979</v>
      </c>
      <c r="D48" s="12">
        <f t="shared" si="32"/>
        <v>7.3654903601461541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10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234.59789049937368</v>
      </c>
      <c r="H48" s="70">
        <f t="shared" si="1"/>
        <v>346.26448237725447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0</v>
      </c>
      <c r="N48" s="14">
        <f>IF('Données projet'!$A$36&gt;35,N47+M48-V47,IF(A48&lt;'Données projet'!$A$36,$K$205^A48,IF(A48='Données projet'!$A$36,'Données projet'!$B$36,N47+M48-V47)))</f>
        <v>0</v>
      </c>
      <c r="O48" s="14">
        <f>N48*VLOOKUP('Données projet'!$B$9,Paramètres!$A$1:$I$89,3,0)*VLOOKUP('Données projet'!$B$9,Paramètres!$A$1:$I$89,5,0)</f>
        <v>0</v>
      </c>
      <c r="P48" s="14" t="e">
        <f t="shared" si="33"/>
        <v>#NUM!</v>
      </c>
      <c r="Q48" s="22" t="e">
        <f t="shared" si="53"/>
        <v>#NUM!</v>
      </c>
      <c r="R48" s="62" t="e">
        <f t="shared" si="0"/>
        <v>#NUM!</v>
      </c>
      <c r="S48" s="62">
        <f ca="1">AVERAGE(OFFSET($R$3,0,0,'Données projet'!$E$9+1,1))-AVERAGE(OFFSET($H$3,0,0,'Données projet'!$E$9+1,1))</f>
        <v>61.920120153277935</v>
      </c>
      <c r="T48" s="62">
        <f t="shared" si="34"/>
        <v>346.77984765566453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52.46684575302789</v>
      </c>
      <c r="AA48" s="23">
        <f>EXP(-LN(2)/25)*AA47+(1-EXP(-LN(2)/25))/(LN(2)/25)*Calculateur!V48*Calculateur!X48*VLOOKUP('Données projet'!$B$9,Paramètres!$A$1:$I$89,3,0)*0.475*44/12</f>
        <v>10.549268604043789</v>
      </c>
      <c r="AB48" s="23">
        <f>EXP(-LN(2)/2)*AB47+(1-EXP(-LN(2)/2))/(LN(2)/2)*V48*Y48*VLOOKUP('Données projet'!$B$9,Paramètres!$A$1:$I$89,3,0)*0.475*44/12</f>
        <v>0</v>
      </c>
      <c r="AC48" s="24">
        <f t="shared" si="3"/>
        <v>63.016114357071679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0</v>
      </c>
      <c r="AI48" s="14">
        <f>IF('Données projet'!$A$62&gt;35,AI47+AH48-AQ47,IF(A48&lt;'Données projet'!$A$62,$AF$205^A48,IF(A48='Données projet'!$A$62,'Données projet'!$B$62,AI47+AH48-AQ47)))</f>
        <v>0</v>
      </c>
      <c r="AJ48" s="14">
        <f>AI48*VLOOKUP('Données projet'!$B$10,Paramètres!$A$1:$I$89,3,0)*VLOOKUP('Données projet'!$B$10,Paramètres!$A$1:$I$89,5,0)</f>
        <v>0</v>
      </c>
      <c r="AK48" s="14" t="e">
        <f t="shared" si="35"/>
        <v>#NUM!</v>
      </c>
      <c r="AL48" s="22" t="e">
        <f t="shared" si="4"/>
        <v>#NUM!</v>
      </c>
      <c r="AM48" s="62" t="e">
        <f t="shared" si="5"/>
        <v>#NUM!</v>
      </c>
      <c r="AN48" s="62">
        <f ca="1">AVERAGE(OFFSET($AM$3,0,0,'Données projet'!$E$10+1,1))-AVERAGE(OFFSET($H$3,0,0,'Données projet'!$E$10+1,1))</f>
        <v>60.374143206158408</v>
      </c>
      <c r="AO48" s="62">
        <f t="shared" si="36"/>
        <v>338.95520219048694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51.326262149701158</v>
      </c>
      <c r="AV48" s="23">
        <f>EXP(-LN(2)/25)*AV47+(1-EXP(-LN(2)/25))/(LN(2)/25)*Calculateur!AQ48*Calculateur!AS48*VLOOKUP('Données projet'!$B$10,Paramètres!$A$1:$I$89,3,0)*0.475*44/12</f>
        <v>10.319936677868922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61.646198827570082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23.537279999999978</v>
      </c>
      <c r="D49" s="12">
        <f t="shared" si="32"/>
        <v>7.509930335219595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10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239.6626762718704</v>
      </c>
      <c r="H49" s="70">
        <f t="shared" si="1"/>
        <v>347.40722466717409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0</v>
      </c>
      <c r="N49" s="14">
        <f>IF('Données projet'!$A$36&gt;35,N48+M49-V48,IF(A49&lt;'Données projet'!$A$36,$K$205^A49,IF(A49='Données projet'!$A$36,'Données projet'!$B$36,N48+M49-V48)))</f>
        <v>0</v>
      </c>
      <c r="O49" s="14">
        <f>N49*VLOOKUP('Données projet'!$B$9,Paramètres!$A$1:$I$89,3,0)*VLOOKUP('Données projet'!$B$9,Paramètres!$A$1:$I$89,5,0)</f>
        <v>0</v>
      </c>
      <c r="P49" s="14" t="e">
        <f t="shared" si="33"/>
        <v>#NUM!</v>
      </c>
      <c r="Q49" s="22" t="e">
        <f t="shared" si="53"/>
        <v>#NUM!</v>
      </c>
      <c r="R49" s="62" t="e">
        <f t="shared" si="0"/>
        <v>#NUM!</v>
      </c>
      <c r="S49" s="62">
        <f ca="1">AVERAGE(OFFSET($R$3,0,0,'Données projet'!$E$9+1,1))-AVERAGE(OFFSET($H$3,0,0,'Données projet'!$E$9+1,1))</f>
        <v>61.920120153277935</v>
      </c>
      <c r="T49" s="62">
        <f t="shared" si="34"/>
        <v>346.77984765566453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51.438002909427027</v>
      </c>
      <c r="AA49" s="23">
        <f>EXP(-LN(2)/25)*AA48+(1-EXP(-LN(2)/25))/(LN(2)/25)*Calculateur!V49*Calculateur!X49*VLOOKUP('Données projet'!$B$9,Paramètres!$A$1:$I$89,3,0)*0.475*44/12</f>
        <v>10.260798299304286</v>
      </c>
      <c r="AB49" s="23">
        <f>EXP(-LN(2)/2)*AB48+(1-EXP(-LN(2)/2))/(LN(2)/2)*V49*Y49*VLOOKUP('Données projet'!$B$9,Paramètres!$A$1:$I$89,3,0)*0.475*44/12</f>
        <v>0</v>
      </c>
      <c r="AC49" s="24">
        <f t="shared" si="3"/>
        <v>61.698801208731311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0</v>
      </c>
      <c r="AI49" s="14">
        <f>IF('Données projet'!$A$62&gt;35,AI48+AH49-AQ48,IF(A49&lt;'Données projet'!$A$62,$AF$205^A49,IF(A49='Données projet'!$A$62,'Données projet'!$B$62,AI48+AH49-AQ48)))</f>
        <v>0</v>
      </c>
      <c r="AJ49" s="14">
        <f>AI49*VLOOKUP('Données projet'!$B$10,Paramètres!$A$1:$I$89,3,0)*VLOOKUP('Données projet'!$B$10,Paramètres!$A$1:$I$89,5,0)</f>
        <v>0</v>
      </c>
      <c r="AK49" s="14" t="e">
        <f t="shared" si="35"/>
        <v>#NUM!</v>
      </c>
      <c r="AL49" s="22" t="e">
        <f t="shared" si="4"/>
        <v>#NUM!</v>
      </c>
      <c r="AM49" s="62" t="e">
        <f t="shared" si="5"/>
        <v>#NUM!</v>
      </c>
      <c r="AN49" s="62">
        <f ca="1">AVERAGE(OFFSET($AM$3,0,0,'Données projet'!$E$10+1,1))-AVERAGE(OFFSET($H$3,0,0,'Données projet'!$E$10+1,1))</f>
        <v>60.374143206158408</v>
      </c>
      <c r="AO49" s="62">
        <f t="shared" si="36"/>
        <v>338.95520219048694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50.319785454874228</v>
      </c>
      <c r="AV49" s="23">
        <f>EXP(-LN(2)/25)*AV48+(1-EXP(-LN(2)/25))/(LN(2)/25)*Calculateur!AQ49*Calculateur!AS49*VLOOKUP('Données projet'!$B$10,Paramètres!$A$1:$I$89,3,0)*0.475*44/12</f>
        <v>10.037737466710713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60.357522921584945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24.048959999999976</v>
      </c>
      <c r="D50" s="12">
        <f t="shared" si="32"/>
        <v>7.6540052460053554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10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244.7246440042517</v>
      </c>
      <c r="H50" s="70">
        <f t="shared" si="1"/>
        <v>348.5493311367926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0</v>
      </c>
      <c r="N50" s="14">
        <f>IF('Données projet'!$A$36&gt;35,N49+M50-V49,IF(A50&lt;'Données projet'!$A$36,$K$205^A50,IF(A50='Données projet'!$A$36,'Données projet'!$B$36,N49+M50-V49)))</f>
        <v>0</v>
      </c>
      <c r="O50" s="14">
        <f>N50*VLOOKUP('Données projet'!$B$9,Paramètres!$A$1:$I$89,3,0)*VLOOKUP('Données projet'!$B$9,Paramètres!$A$1:$I$89,5,0)</f>
        <v>0</v>
      </c>
      <c r="P50" s="14" t="e">
        <f t="shared" si="33"/>
        <v>#NUM!</v>
      </c>
      <c r="Q50" s="22" t="e">
        <f t="shared" si="53"/>
        <v>#NUM!</v>
      </c>
      <c r="R50" s="62" t="e">
        <f t="shared" si="0"/>
        <v>#NUM!</v>
      </c>
      <c r="S50" s="62">
        <f ca="1">AVERAGE(OFFSET($R$3,0,0,'Données projet'!$E$9+1,1))-AVERAGE(OFFSET($H$3,0,0,'Données projet'!$E$9+1,1))</f>
        <v>61.920120153277935</v>
      </c>
      <c r="T50" s="62">
        <f t="shared" si="34"/>
        <v>346.77984765566453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50.429335046457005</v>
      </c>
      <c r="AA50" s="23">
        <f>EXP(-LN(2)/25)*AA49+(1-EXP(-LN(2)/25))/(LN(2)/25)*Calculateur!V50*Calculateur!X50*VLOOKUP('Données projet'!$B$9,Paramètres!$A$1:$I$89,3,0)*0.475*44/12</f>
        <v>9.980216230217879</v>
      </c>
      <c r="AB50" s="23">
        <f>EXP(-LN(2)/2)*AB49+(1-EXP(-LN(2)/2))/(LN(2)/2)*V50*Y50*VLOOKUP('Données projet'!$B$9,Paramètres!$A$1:$I$89,3,0)*0.475*44/12</f>
        <v>0</v>
      </c>
      <c r="AC50" s="24">
        <f t="shared" si="3"/>
        <v>60.409551276674883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0</v>
      </c>
      <c r="AI50" s="14">
        <f>IF('Données projet'!$A$62&gt;35,AI49+AH50-AQ49,IF(A50&lt;'Données projet'!$A$62,$AF$205^A50,IF(A50='Données projet'!$A$62,'Données projet'!$B$62,AI49+AH50-AQ49)))</f>
        <v>0</v>
      </c>
      <c r="AJ50" s="14">
        <f>AI50*VLOOKUP('Données projet'!$B$10,Paramètres!$A$1:$I$89,3,0)*VLOOKUP('Données projet'!$B$10,Paramètres!$A$1:$I$89,5,0)</f>
        <v>0</v>
      </c>
      <c r="AK50" s="14" t="e">
        <f t="shared" si="35"/>
        <v>#NUM!</v>
      </c>
      <c r="AL50" s="22" t="e">
        <f t="shared" si="4"/>
        <v>#NUM!</v>
      </c>
      <c r="AM50" s="62" t="e">
        <f t="shared" si="5"/>
        <v>#NUM!</v>
      </c>
      <c r="AN50" s="62">
        <f ca="1">AVERAGE(OFFSET($AM$3,0,0,'Données projet'!$E$10+1,1))-AVERAGE(OFFSET($H$3,0,0,'Données projet'!$E$10+1,1))</f>
        <v>60.374143206158408</v>
      </c>
      <c r="AO50" s="62">
        <f t="shared" si="36"/>
        <v>338.95520219048694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49.333045154142688</v>
      </c>
      <c r="AV50" s="23">
        <f>EXP(-LN(2)/25)*AV49+(1-EXP(-LN(2)/25))/(LN(2)/25)*Calculateur!AQ50*Calculateur!AS50*VLOOKUP('Données projet'!$B$10,Paramètres!$A$1:$I$89,3,0)*0.475*44/12</f>
        <v>9.7632550078218365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59.096300161964521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24.560639999999974</v>
      </c>
      <c r="D51" s="12">
        <f t="shared" si="32"/>
        <v>7.7977237545361815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10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249.78386056133175</v>
      </c>
      <c r="H51" s="70">
        <f t="shared" si="1"/>
        <v>349.69081687248377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0</v>
      </c>
      <c r="N51" s="14">
        <f>IF('Données projet'!$A$36&gt;35,N50+M51-V50,IF(A51&lt;'Données projet'!$A$36,$K$205^A51,IF(A51='Données projet'!$A$36,'Données projet'!$B$36,N50+M51-V50)))</f>
        <v>0</v>
      </c>
      <c r="O51" s="14">
        <f>N51*VLOOKUP('Données projet'!$B$9,Paramètres!$A$1:$I$89,3,0)*VLOOKUP('Données projet'!$B$9,Paramètres!$A$1:$I$89,5,0)</f>
        <v>0</v>
      </c>
      <c r="P51" s="14" t="e">
        <f t="shared" si="33"/>
        <v>#NUM!</v>
      </c>
      <c r="Q51" s="22" t="e">
        <f t="shared" si="53"/>
        <v>#NUM!</v>
      </c>
      <c r="R51" s="62" t="e">
        <f t="shared" si="0"/>
        <v>#NUM!</v>
      </c>
      <c r="S51" s="62">
        <f ca="1">AVERAGE(OFFSET($R$3,0,0,'Données projet'!$E$9+1,1))-AVERAGE(OFFSET($H$3,0,0,'Données projet'!$E$9+1,1))</f>
        <v>61.920120153277935</v>
      </c>
      <c r="T51" s="62">
        <f t="shared" si="34"/>
        <v>346.77984765566453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49.440446545053177</v>
      </c>
      <c r="AA51" s="23">
        <f>EXP(-LN(2)/25)*AA50+(1-EXP(-LN(2)/25))/(LN(2)/25)*Calculateur!V51*Calculateur!X51*VLOOKUP('Données projet'!$B$9,Paramètres!$A$1:$I$89,3,0)*0.475*44/12</f>
        <v>9.70730669256581</v>
      </c>
      <c r="AB51" s="23">
        <f>EXP(-LN(2)/2)*AB50+(1-EXP(-LN(2)/2))/(LN(2)/2)*V51*Y51*VLOOKUP('Données projet'!$B$9,Paramètres!$A$1:$I$89,3,0)*0.475*44/12</f>
        <v>0</v>
      </c>
      <c r="AC51" s="24">
        <f t="shared" si="3"/>
        <v>59.147753237618986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0</v>
      </c>
      <c r="AI51" s="14">
        <f>IF('Données projet'!$A$62&gt;35,AI50+AH51-AQ50,IF(A51&lt;'Données projet'!$A$62,$AF$205^A51,IF(A51='Données projet'!$A$62,'Données projet'!$B$62,AI50+AH51-AQ50)))</f>
        <v>0</v>
      </c>
      <c r="AJ51" s="14">
        <f>AI51*VLOOKUP('Données projet'!$B$10,Paramètres!$A$1:$I$89,3,0)*VLOOKUP('Données projet'!$B$10,Paramètres!$A$1:$I$89,5,0)</f>
        <v>0</v>
      </c>
      <c r="AK51" s="14" t="e">
        <f t="shared" si="35"/>
        <v>#NUM!</v>
      </c>
      <c r="AL51" s="22" t="e">
        <f t="shared" si="4"/>
        <v>#NUM!</v>
      </c>
      <c r="AM51" s="62" t="e">
        <f t="shared" si="5"/>
        <v>#NUM!</v>
      </c>
      <c r="AN51" s="62">
        <f ca="1">AVERAGE(OFFSET($AM$3,0,0,'Données projet'!$E$10+1,1))-AVERAGE(OFFSET($H$3,0,0,'Données projet'!$E$10+1,1))</f>
        <v>60.374143206158408</v>
      </c>
      <c r="AO51" s="62">
        <f t="shared" si="36"/>
        <v>338.95520219048694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48.365654228856336</v>
      </c>
      <c r="AV51" s="23">
        <f>EXP(-LN(2)/25)*AV50+(1-EXP(-LN(2)/25))/(LN(2)/25)*Calculateur!AQ51*Calculateur!AS51*VLOOKUP('Données projet'!$B$10,Paramètres!$A$1:$I$89,3,0)*0.475*44/12</f>
        <v>9.4962782862056816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57.861932515062016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25.072319999999973</v>
      </c>
      <c r="D52" s="12">
        <f t="shared" si="32"/>
        <v>7.9410941413012353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10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254.84038986267606</v>
      </c>
      <c r="H52" s="70">
        <f t="shared" si="1"/>
        <v>350.83169629609961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0</v>
      </c>
      <c r="N52" s="14">
        <f>IF('Données projet'!$A$36&gt;35,N51+M52-V51,IF(A52&lt;'Données projet'!$A$36,$K$205^A52,IF(A52='Données projet'!$A$36,'Données projet'!$B$36,N51+M52-V51)))</f>
        <v>0</v>
      </c>
      <c r="O52" s="14">
        <f>N52*VLOOKUP('Données projet'!$B$9,Paramètres!$A$1:$I$89,3,0)*VLOOKUP('Données projet'!$B$9,Paramètres!$A$1:$I$89,5,0)</f>
        <v>0</v>
      </c>
      <c r="P52" s="14" t="e">
        <f t="shared" si="33"/>
        <v>#NUM!</v>
      </c>
      <c r="Q52" s="22" t="e">
        <f t="shared" si="53"/>
        <v>#NUM!</v>
      </c>
      <c r="R52" s="62" t="e">
        <f t="shared" si="0"/>
        <v>#NUM!</v>
      </c>
      <c r="S52" s="62">
        <f ca="1">AVERAGE(OFFSET($R$3,0,0,'Données projet'!$E$9+1,1))-AVERAGE(OFFSET($H$3,0,0,'Données projet'!$E$9+1,1))</f>
        <v>61.920120153277935</v>
      </c>
      <c r="T52" s="62">
        <f t="shared" si="34"/>
        <v>346.77984765566453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48.470949543999453</v>
      </c>
      <c r="AA52" s="23">
        <f>EXP(-LN(2)/25)*AA51+(1-EXP(-LN(2)/25))/(LN(2)/25)*Calculateur!V52*Calculateur!X52*VLOOKUP('Données projet'!$B$9,Paramètres!$A$1:$I$89,3,0)*0.475*44/12</f>
        <v>9.441859880572526</v>
      </c>
      <c r="AB52" s="23">
        <f>EXP(-LN(2)/2)*AB51+(1-EXP(-LN(2)/2))/(LN(2)/2)*V52*Y52*VLOOKUP('Données projet'!$B$9,Paramètres!$A$1:$I$89,3,0)*0.475*44/12</f>
        <v>0</v>
      </c>
      <c r="AC52" s="24">
        <f t="shared" si="3"/>
        <v>57.912809424571975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0</v>
      </c>
      <c r="AI52" s="14">
        <f>IF('Données projet'!$A$62&gt;35,AI51+AH52-AQ51,IF(A52&lt;'Données projet'!$A$62,$AF$205^A52,IF(A52='Données projet'!$A$62,'Données projet'!$B$62,AI51+AH52-AQ51)))</f>
        <v>0</v>
      </c>
      <c r="AJ52" s="14">
        <f>AI52*VLOOKUP('Données projet'!$B$10,Paramètres!$A$1:$I$89,3,0)*VLOOKUP('Données projet'!$B$10,Paramètres!$A$1:$I$89,5,0)</f>
        <v>0</v>
      </c>
      <c r="AK52" s="14" t="e">
        <f t="shared" si="35"/>
        <v>#NUM!</v>
      </c>
      <c r="AL52" s="22" t="e">
        <f t="shared" si="4"/>
        <v>#NUM!</v>
      </c>
      <c r="AM52" s="62" t="e">
        <f t="shared" si="5"/>
        <v>#NUM!</v>
      </c>
      <c r="AN52" s="62">
        <f ca="1">AVERAGE(OFFSET($AM$3,0,0,'Données projet'!$E$10+1,1))-AVERAGE(OFFSET($H$3,0,0,'Données projet'!$E$10+1,1))</f>
        <v>60.374143206158408</v>
      </c>
      <c r="AO52" s="62">
        <f t="shared" si="36"/>
        <v>338.95520219048694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47.417233249564646</v>
      </c>
      <c r="AV52" s="23">
        <f>EXP(-LN(2)/25)*AV51+(1-EXP(-LN(2)/25))/(LN(2)/25)*Calculateur!AQ52*Calculateur!AS52*VLOOKUP('Données projet'!$B$10,Paramètres!$A$1:$I$89,3,0)*0.475*44/12</f>
        <v>9.2366020570818161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56.653835306646464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25.583999999999971</v>
      </c>
      <c r="D53" s="12">
        <f t="shared" si="32"/>
        <v>8.0841243294901695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10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259.89429306974847</v>
      </c>
      <c r="H53" s="70">
        <f t="shared" si="1"/>
        <v>351.97198320719531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0</v>
      </c>
      <c r="N53" s="14">
        <f>IF('Données projet'!$A$36&gt;35,N52+M53-V52,IF(A53&lt;'Données projet'!$A$36,$K$205^A53,IF(A53='Données projet'!$A$36,'Données projet'!$B$36,N52+M53-V52)))</f>
        <v>0</v>
      </c>
      <c r="O53" s="14">
        <f>N53*VLOOKUP('Données projet'!$B$9,Paramètres!$A$1:$I$89,3,0)*VLOOKUP('Données projet'!$B$9,Paramètres!$A$1:$I$89,5,0)</f>
        <v>0</v>
      </c>
      <c r="P53" s="14" t="e">
        <f t="shared" si="33"/>
        <v>#NUM!</v>
      </c>
      <c r="Q53" s="22" t="e">
        <f t="shared" si="53"/>
        <v>#NUM!</v>
      </c>
      <c r="R53" s="62" t="e">
        <f t="shared" si="0"/>
        <v>#NUM!</v>
      </c>
      <c r="S53" s="62">
        <f ca="1">AVERAGE(OFFSET($R$3,0,0,'Données projet'!$E$9+1,1))-AVERAGE(OFFSET($H$3,0,0,'Données projet'!$E$9+1,1))</f>
        <v>61.920120153277935</v>
      </c>
      <c r="T53" s="62">
        <f t="shared" si="34"/>
        <v>346.77984765566453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47.52046378780161</v>
      </c>
      <c r="AA53" s="23">
        <f>EXP(-LN(2)/25)*AA52+(1-EXP(-LN(2)/25))/(LN(2)/25)*Calculateur!V53*Calculateur!X53*VLOOKUP('Données projet'!$B$9,Paramètres!$A$1:$I$89,3,0)*0.475*44/12</f>
        <v>9.1836717256124381</v>
      </c>
      <c r="AB53" s="23">
        <f>EXP(-LN(2)/2)*AB52+(1-EXP(-LN(2)/2))/(LN(2)/2)*V53*Y53*VLOOKUP('Données projet'!$B$9,Paramètres!$A$1:$I$89,3,0)*0.475*44/12</f>
        <v>0</v>
      </c>
      <c r="AC53" s="24">
        <f t="shared" si="3"/>
        <v>56.704135513414045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 t="e">
        <f>VLOOKUP(A53,'Données projet'!$A$61:$I$81,2,0)</f>
        <v>#N/A</v>
      </c>
      <c r="AG53" s="13" t="e">
        <f>VLOOKUP(A53,'Données projet'!$A$61:$I$81,9,0)</f>
        <v>#N/A</v>
      </c>
      <c r="AH53" s="13">
        <f t="array" ref="AH53">INDEX(AG:AG,MIN(IF(ISNUMBER(AG53:AG249),ROW(AG53:AG249),"")))</f>
        <v>0</v>
      </c>
      <c r="AI53" s="14">
        <f>IF('Données projet'!$A$62&gt;35,AI52+AH53-AQ52,IF(A53&lt;'Données projet'!$A$62,$AF$205^A53,IF(A53='Données projet'!$A$62,'Données projet'!$B$62,AI52+AH53-AQ52)))</f>
        <v>0</v>
      </c>
      <c r="AJ53" s="14">
        <f>AI53*VLOOKUP('Données projet'!$B$10,Paramètres!$A$1:$I$89,3,0)*VLOOKUP('Données projet'!$B$10,Paramètres!$A$1:$I$89,5,0)</f>
        <v>0</v>
      </c>
      <c r="AK53" s="14" t="e">
        <f t="shared" si="35"/>
        <v>#NUM!</v>
      </c>
      <c r="AL53" s="22" t="e">
        <f t="shared" si="4"/>
        <v>#NUM!</v>
      </c>
      <c r="AM53" s="62" t="e">
        <f t="shared" si="5"/>
        <v>#NUM!</v>
      </c>
      <c r="AN53" s="62">
        <f ca="1">AVERAGE(OFFSET($AM$3,0,0,'Données projet'!$E$10+1,1))-AVERAGE(OFFSET($H$3,0,0,'Données projet'!$E$10+1,1))</f>
        <v>60.374143206158408</v>
      </c>
      <c r="AO53" s="62">
        <f t="shared" si="36"/>
        <v>338.95520219048694</v>
      </c>
      <c r="AP53" s="16">
        <f>IF(ISNA(VLOOKUP(A53,'Données projet'!$A$61:$I$81,3,0)),0,VLOOKUP(A53,'Données projet'!$A$61:$I$81,3,0))</f>
        <v>0</v>
      </c>
      <c r="AQ53" s="16">
        <f>IF(ISNA(VLOOKUP(A53,'Données projet'!$A$61:$I$81,4,0)),0,VLOOKUP(A53,'Données projet'!$A$61:$I$81,4,0))</f>
        <v>0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46.487410227197188</v>
      </c>
      <c r="AV53" s="23">
        <f>EXP(-LN(2)/25)*AV52+(1-EXP(-LN(2)/25))/(LN(2)/25)*Calculateur!AQ53*Calculateur!AS53*VLOOKUP('Données projet'!$B$10,Paramètres!$A$1:$I$89,3,0)*0.475*44/12</f>
        <v>8.9840266880991226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55.471436915296309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26.09567999999997</v>
      </c>
      <c r="D54" s="12">
        <f t="shared" si="32"/>
        <v>8.2268219072429449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10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264.94562875766462</v>
      </c>
      <c r="H54" s="70">
        <f t="shared" si="1"/>
        <v>353.11169082178139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0</v>
      </c>
      <c r="N54" s="14">
        <f>IF('Données projet'!$A$36&gt;35,N53+M54-V53,IF(A54&lt;'Données projet'!$A$36,$K$205^A54,IF(A54='Données projet'!$A$36,'Données projet'!$B$36,N53+M54-V53)))</f>
        <v>0</v>
      </c>
      <c r="O54" s="14">
        <f>N54*VLOOKUP('Données projet'!$B$9,Paramètres!$A$1:$I$89,3,0)*VLOOKUP('Données projet'!$B$9,Paramètres!$A$1:$I$89,5,0)</f>
        <v>0</v>
      </c>
      <c r="P54" s="14" t="e">
        <f t="shared" si="33"/>
        <v>#NUM!</v>
      </c>
      <c r="Q54" s="22" t="e">
        <f t="shared" si="53"/>
        <v>#NUM!</v>
      </c>
      <c r="R54" s="62" t="e">
        <f t="shared" si="0"/>
        <v>#NUM!</v>
      </c>
      <c r="S54" s="62">
        <f ca="1">AVERAGE(OFFSET($R$3,0,0,'Données projet'!$E$9+1,1))-AVERAGE(OFFSET($H$3,0,0,'Données projet'!$E$9+1,1))</f>
        <v>61.920120153277935</v>
      </c>
      <c r="T54" s="62">
        <f t="shared" si="34"/>
        <v>346.77984765566453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46.588616477543738</v>
      </c>
      <c r="AA54" s="23">
        <f>EXP(-LN(2)/25)*AA53+(1-EXP(-LN(2)/25))/(LN(2)/25)*Calculateur!V54*Calculateur!X54*VLOOKUP('Données projet'!$B$9,Paramètres!$A$1:$I$89,3,0)*0.475*44/12</f>
        <v>8.9325437393272598</v>
      </c>
      <c r="AB54" s="23">
        <f>EXP(-LN(2)/2)*AB53+(1-EXP(-LN(2)/2))/(LN(2)/2)*V54*Y54*VLOOKUP('Données projet'!$B$9,Paramètres!$A$1:$I$89,3,0)*0.475*44/12</f>
        <v>0</v>
      </c>
      <c r="AC54" s="24">
        <f t="shared" si="3"/>
        <v>55.521160216870996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0</v>
      </c>
      <c r="AI54" s="14">
        <f>IF('Données projet'!$A$62&gt;35,AI53+AH54-AQ53,IF(A54&lt;'Données projet'!$A$62,$AF$205^A54,IF(A54='Données projet'!$A$62,'Données projet'!$B$62,AI53+AH54-AQ53)))</f>
        <v>0</v>
      </c>
      <c r="AJ54" s="14">
        <f>AI54*VLOOKUP('Données projet'!$B$10,Paramètres!$A$1:$I$89,3,0)*VLOOKUP('Données projet'!$B$10,Paramètres!$A$1:$I$89,5,0)</f>
        <v>0</v>
      </c>
      <c r="AK54" s="14" t="e">
        <f t="shared" si="35"/>
        <v>#NUM!</v>
      </c>
      <c r="AL54" s="22" t="e">
        <f t="shared" si="4"/>
        <v>#NUM!</v>
      </c>
      <c r="AM54" s="62" t="e">
        <f t="shared" si="5"/>
        <v>#NUM!</v>
      </c>
      <c r="AN54" s="62">
        <f ca="1">AVERAGE(OFFSET($AM$3,0,0,'Données projet'!$E$10+1,1))-AVERAGE(OFFSET($H$3,0,0,'Données projet'!$E$10+1,1))</f>
        <v>60.374143206158408</v>
      </c>
      <c r="AO54" s="62">
        <f t="shared" si="36"/>
        <v>338.95520219048694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45.575820467162316</v>
      </c>
      <c r="AV54" s="23">
        <f>EXP(-LN(2)/25)*AV53+(1-EXP(-LN(2)/25))/(LN(2)/25)*Calculateur!AQ54*Calculateur!AS54*VLOOKUP('Données projet'!$B$10,Paramètres!$A$1:$I$89,3,0)*0.475*44/12</f>
        <v>8.7383580058636223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54.31417847302594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26.607359999999968</v>
      </c>
      <c r="D55" s="12">
        <f t="shared" si="32"/>
        <v>8.3691941481052172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10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269.9944530730927</v>
      </c>
      <c r="H55" s="70">
        <f t="shared" si="1"/>
        <v>354.25083180794985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0</v>
      </c>
      <c r="N55" s="14">
        <f>IF('Données projet'!$A$36&gt;35,N54+M55-V54,IF(A55&lt;'Données projet'!$A$36,$K$205^A55,IF(A55='Données projet'!$A$36,'Données projet'!$B$36,N54+M55-V54)))</f>
        <v>0</v>
      </c>
      <c r="O55" s="14">
        <f>N55*VLOOKUP('Données projet'!$B$9,Paramètres!$A$1:$I$89,3,0)*VLOOKUP('Données projet'!$B$9,Paramètres!$A$1:$I$89,5,0)</f>
        <v>0</v>
      </c>
      <c r="P55" s="14" t="e">
        <f t="shared" si="33"/>
        <v>#NUM!</v>
      </c>
      <c r="Q55" s="22" t="e">
        <f t="shared" si="53"/>
        <v>#NUM!</v>
      </c>
      <c r="R55" s="62" t="e">
        <f t="shared" si="0"/>
        <v>#NUM!</v>
      </c>
      <c r="S55" s="62">
        <f ca="1">AVERAGE(OFFSET($R$3,0,0,'Données projet'!$E$9+1,1))-AVERAGE(OFFSET($H$3,0,0,'Données projet'!$E$9+1,1))</f>
        <v>61.920120153277935</v>
      </c>
      <c r="T55" s="62">
        <f t="shared" si="34"/>
        <v>346.77984765566453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45.675042124669282</v>
      </c>
      <c r="AA55" s="23">
        <f>EXP(-LN(2)/25)*AA54+(1-EXP(-LN(2)/25))/(LN(2)/25)*Calculateur!V55*Calculateur!X55*VLOOKUP('Données projet'!$B$9,Paramètres!$A$1:$I$89,3,0)*0.475*44/12</f>
        <v>8.6882828610332954</v>
      </c>
      <c r="AB55" s="23">
        <f>EXP(-LN(2)/2)*AB54+(1-EXP(-LN(2)/2))/(LN(2)/2)*V55*Y55*VLOOKUP('Données projet'!$B$9,Paramètres!$A$1:$I$89,3,0)*0.475*44/12</f>
        <v>0</v>
      </c>
      <c r="AC55" s="24">
        <f t="shared" si="3"/>
        <v>54.363324985702576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0</v>
      </c>
      <c r="AI55" s="14">
        <f>IF('Données projet'!$A$62&gt;35,AI54+AH55-AQ54,IF(A55&lt;'Données projet'!$A$62,$AF$205^A55,IF(A55='Données projet'!$A$62,'Données projet'!$B$62,AI54+AH55-AQ54)))</f>
        <v>0</v>
      </c>
      <c r="AJ55" s="14">
        <f>AI55*VLOOKUP('Données projet'!$B$10,Paramètres!$A$1:$I$89,3,0)*VLOOKUP('Données projet'!$B$10,Paramètres!$A$1:$I$89,5,0)</f>
        <v>0</v>
      </c>
      <c r="AK55" s="14" t="e">
        <f t="shared" si="35"/>
        <v>#NUM!</v>
      </c>
      <c r="AL55" s="22" t="e">
        <f t="shared" si="4"/>
        <v>#NUM!</v>
      </c>
      <c r="AM55" s="62" t="e">
        <f t="shared" si="5"/>
        <v>#NUM!</v>
      </c>
      <c r="AN55" s="62">
        <f ca="1">AVERAGE(OFFSET($AM$3,0,0,'Données projet'!$E$10+1,1))-AVERAGE(OFFSET($H$3,0,0,'Données projet'!$E$10+1,1))</f>
        <v>60.374143206158408</v>
      </c>
      <c r="AO55" s="62">
        <f t="shared" si="36"/>
        <v>338.95520219048694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44.682106426306873</v>
      </c>
      <c r="AV55" s="23">
        <f>EXP(-LN(2)/25)*AV54+(1-EXP(-LN(2)/25))/(LN(2)/25)*Calculateur!AQ55*Calculateur!AS55*VLOOKUP('Données projet'!$B$10,Paramètres!$A$1:$I$89,3,0)*0.475*44/12</f>
        <v>8.499407146663005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53.181513572969877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27.119039999999966</v>
      </c>
      <c r="D56" s="12">
        <f t="shared" si="32"/>
        <v>8.5112480298657882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10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275.04081987966543</v>
      </c>
      <c r="H56" s="70">
        <f t="shared" si="1"/>
        <v>355.38941831868283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0</v>
      </c>
      <c r="N56" s="14">
        <f>IF('Données projet'!$A$36&gt;35,N55+M56-V55,IF(A56&lt;'Données projet'!$A$36,$K$205^A56,IF(A56='Données projet'!$A$36,'Données projet'!$B$36,N55+M56-V55)))</f>
        <v>0</v>
      </c>
      <c r="O56" s="14">
        <f>N56*VLOOKUP('Données projet'!$B$9,Paramètres!$A$1:$I$89,3,0)*VLOOKUP('Données projet'!$B$9,Paramètres!$A$1:$I$89,5,0)</f>
        <v>0</v>
      </c>
      <c r="P56" s="14" t="e">
        <f t="shared" si="33"/>
        <v>#NUM!</v>
      </c>
      <c r="Q56" s="22" t="e">
        <f t="shared" si="53"/>
        <v>#NUM!</v>
      </c>
      <c r="R56" s="62" t="e">
        <f t="shared" si="0"/>
        <v>#NUM!</v>
      </c>
      <c r="S56" s="62">
        <f ca="1">AVERAGE(OFFSET($R$3,0,0,'Données projet'!$E$9+1,1))-AVERAGE(OFFSET($H$3,0,0,'Données projet'!$E$9+1,1))</f>
        <v>61.920120153277935</v>
      </c>
      <c r="T56" s="62">
        <f t="shared" si="34"/>
        <v>346.77984765566453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44.779382407629363</v>
      </c>
      <c r="AA56" s="23">
        <f>EXP(-LN(2)/25)*AA55+(1-EXP(-LN(2)/25))/(LN(2)/25)*Calculateur!V56*Calculateur!X56*VLOOKUP('Données projet'!$B$9,Paramètres!$A$1:$I$89,3,0)*0.475*44/12</f>
        <v>8.450701309301401</v>
      </c>
      <c r="AB56" s="23">
        <f>EXP(-LN(2)/2)*AB55+(1-EXP(-LN(2)/2))/(LN(2)/2)*V56*Y56*VLOOKUP('Données projet'!$B$9,Paramètres!$A$1:$I$89,3,0)*0.475*44/12</f>
        <v>0</v>
      </c>
      <c r="AC56" s="24">
        <f t="shared" si="3"/>
        <v>53.230083716930764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0</v>
      </c>
      <c r="AI56" s="14">
        <f>IF('Données projet'!$A$62&gt;35,AI55+AH56-AQ55,IF(A56&lt;'Données projet'!$A$62,$AF$205^A56,IF(A56='Données projet'!$A$62,'Données projet'!$B$62,AI55+AH56-AQ55)))</f>
        <v>0</v>
      </c>
      <c r="AJ56" s="14">
        <f>AI56*VLOOKUP('Données projet'!$B$10,Paramètres!$A$1:$I$89,3,0)*VLOOKUP('Données projet'!$B$10,Paramètres!$A$1:$I$89,5,0)</f>
        <v>0</v>
      </c>
      <c r="AK56" s="14" t="e">
        <f t="shared" si="35"/>
        <v>#NUM!</v>
      </c>
      <c r="AL56" s="22" t="e">
        <f t="shared" si="4"/>
        <v>#NUM!</v>
      </c>
      <c r="AM56" s="62" t="e">
        <f t="shared" si="5"/>
        <v>#NUM!</v>
      </c>
      <c r="AN56" s="62">
        <f ca="1">AVERAGE(OFFSET($AM$3,0,0,'Données projet'!$E$10+1,1))-AVERAGE(OFFSET($H$3,0,0,'Données projet'!$E$10+1,1))</f>
        <v>60.374143206158408</v>
      </c>
      <c r="AO56" s="62">
        <f t="shared" si="36"/>
        <v>338.95520219048694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43.805917572680869</v>
      </c>
      <c r="AV56" s="23">
        <f>EXP(-LN(2)/25)*AV55+(1-EXP(-LN(2)/25))/(LN(2)/25)*Calculateur!AQ56*Calculateur!AS56*VLOOKUP('Données projet'!$B$10,Paramètres!$A$1:$I$89,3,0)*0.475*44/12</f>
        <v>8.2669904112731096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52.072907983953982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27.630719999999965</v>
      </c>
      <c r="D57" s="12">
        <f t="shared" si="32"/>
        <v>8.65299025193214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10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280.08478089210752</v>
      </c>
      <c r="H57" s="70">
        <f t="shared" si="1"/>
        <v>356.52746202211506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0</v>
      </c>
      <c r="N57" s="14">
        <f>IF('Données projet'!$A$36&gt;35,N56+M57-V56,IF(A57&lt;'Données projet'!$A$36,$K$205^A57,IF(A57='Données projet'!$A$36,'Données projet'!$B$36,N56+M57-V56)))</f>
        <v>0</v>
      </c>
      <c r="O57" s="14">
        <f>N57*VLOOKUP('Données projet'!$B$9,Paramètres!$A$1:$I$89,3,0)*VLOOKUP('Données projet'!$B$9,Paramètres!$A$1:$I$89,5,0)</f>
        <v>0</v>
      </c>
      <c r="P57" s="14" t="e">
        <f t="shared" si="33"/>
        <v>#NUM!</v>
      </c>
      <c r="Q57" s="22" t="e">
        <f t="shared" si="53"/>
        <v>#NUM!</v>
      </c>
      <c r="R57" s="62" t="e">
        <f t="shared" si="0"/>
        <v>#NUM!</v>
      </c>
      <c r="S57" s="62">
        <f ca="1">AVERAGE(OFFSET($R$3,0,0,'Données projet'!$E$9+1,1))-AVERAGE(OFFSET($H$3,0,0,'Données projet'!$E$9+1,1))</f>
        <v>61.920120153277935</v>
      </c>
      <c r="T57" s="62">
        <f t="shared" si="34"/>
        <v>346.77984765566453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43.90128603134211</v>
      </c>
      <c r="AA57" s="23">
        <f>EXP(-LN(2)/25)*AA56+(1-EXP(-LN(2)/25))/(LN(2)/25)*Calculateur!V57*Calculateur!X57*VLOOKUP('Données projet'!$B$9,Paramètres!$A$1:$I$89,3,0)*0.475*44/12</f>
        <v>8.2196164375954872</v>
      </c>
      <c r="AB57" s="23">
        <f>EXP(-LN(2)/2)*AB56+(1-EXP(-LN(2)/2))/(LN(2)/2)*V57*Y57*VLOOKUP('Données projet'!$B$9,Paramètres!$A$1:$I$89,3,0)*0.475*44/12</f>
        <v>0</v>
      </c>
      <c r="AC57" s="24">
        <f t="shared" si="3"/>
        <v>52.120902468937601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0</v>
      </c>
      <c r="AI57" s="14">
        <f>IF('Données projet'!$A$62&gt;35,AI56+AH57-AQ56,IF(A57&lt;'Données projet'!$A$62,$AF$205^A57,IF(A57='Données projet'!$A$62,'Données projet'!$B$62,AI56+AH57-AQ56)))</f>
        <v>0</v>
      </c>
      <c r="AJ57" s="14">
        <f>AI57*VLOOKUP('Données projet'!$B$10,Paramètres!$A$1:$I$89,3,0)*VLOOKUP('Données projet'!$B$10,Paramètres!$A$1:$I$89,5,0)</f>
        <v>0</v>
      </c>
      <c r="AK57" s="14" t="e">
        <f t="shared" si="35"/>
        <v>#NUM!</v>
      </c>
      <c r="AL57" s="22" t="e">
        <f t="shared" si="4"/>
        <v>#NUM!</v>
      </c>
      <c r="AM57" s="62" t="e">
        <f t="shared" si="5"/>
        <v>#NUM!</v>
      </c>
      <c r="AN57" s="62">
        <f ca="1">AVERAGE(OFFSET($AM$3,0,0,'Données projet'!$E$10+1,1))-AVERAGE(OFFSET($H$3,0,0,'Données projet'!$E$10+1,1))</f>
        <v>60.374143206158408</v>
      </c>
      <c r="AO57" s="62">
        <f t="shared" si="36"/>
        <v>338.95520219048694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42.946910248052035</v>
      </c>
      <c r="AV57" s="23">
        <f>EXP(-LN(2)/25)*AV56+(1-EXP(-LN(2)/25))/(LN(2)/25)*Calculateur!AQ57*Calculateur!AS57*VLOOKUP('Données projet'!$B$10,Paramètres!$A$1:$I$89,3,0)*0.475*44/12</f>
        <v>8.0409291237347151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50.987839371786748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28.142399999999963</v>
      </c>
      <c r="D58" s="12">
        <f t="shared" si="32"/>
        <v>8.7944272513824711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10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285.1263858001451</v>
      </c>
      <c r="H58" s="70">
        <f t="shared" si="1"/>
        <v>357.66497412949104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0</v>
      </c>
      <c r="N58" s="14">
        <f>IF('Données projet'!$A$36&gt;35,N57+M58-V57,IF(A58&lt;'Données projet'!$A$36,$K$205^A58,IF(A58='Données projet'!$A$36,'Données projet'!$B$36,N57+M58-V57)))</f>
        <v>0</v>
      </c>
      <c r="O58" s="14">
        <f>N58*VLOOKUP('Données projet'!$B$9,Paramètres!$A$1:$I$89,3,0)*VLOOKUP('Données projet'!$B$9,Paramètres!$A$1:$I$89,5,0)</f>
        <v>0</v>
      </c>
      <c r="P58" s="14" t="e">
        <f t="shared" si="33"/>
        <v>#NUM!</v>
      </c>
      <c r="Q58" s="22" t="e">
        <f t="shared" si="53"/>
        <v>#NUM!</v>
      </c>
      <c r="R58" s="62" t="e">
        <f t="shared" si="0"/>
        <v>#NUM!</v>
      </c>
      <c r="S58" s="62">
        <f ca="1">AVERAGE(OFFSET($R$3,0,0,'Données projet'!$E$9+1,1))-AVERAGE(OFFSET($H$3,0,0,'Données projet'!$E$9+1,1))</f>
        <v>61.920120153277935</v>
      </c>
      <c r="T58" s="62">
        <f t="shared" si="34"/>
        <v>346.77984765566453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43.040408589407946</v>
      </c>
      <c r="AA58" s="23">
        <f>EXP(-LN(2)/25)*AA57+(1-EXP(-LN(2)/25))/(LN(2)/25)*Calculateur!V58*Calculateur!X58*VLOOKUP('Données projet'!$B$9,Paramètres!$A$1:$I$89,3,0)*0.475*44/12</f>
        <v>7.9948505938585965</v>
      </c>
      <c r="AB58" s="23">
        <f>EXP(-LN(2)/2)*AB57+(1-EXP(-LN(2)/2))/(LN(2)/2)*V58*Y58*VLOOKUP('Données projet'!$B$9,Paramètres!$A$1:$I$89,3,0)*0.475*44/12</f>
        <v>0</v>
      </c>
      <c r="AC58" s="24">
        <f t="shared" si="3"/>
        <v>51.03525918326654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0</v>
      </c>
      <c r="AI58" s="14">
        <f>IF('Données projet'!$A$62&gt;35,AI57+AH58-AQ57,IF(A58&lt;'Données projet'!$A$62,$AF$205^A58,IF(A58='Données projet'!$A$62,'Données projet'!$B$62,AI57+AH58-AQ57)))</f>
        <v>0</v>
      </c>
      <c r="AJ58" s="14">
        <f>AI58*VLOOKUP('Données projet'!$B$10,Paramètres!$A$1:$I$89,3,0)*VLOOKUP('Données projet'!$B$10,Paramètres!$A$1:$I$89,5,0)</f>
        <v>0</v>
      </c>
      <c r="AK58" s="14" t="e">
        <f t="shared" si="35"/>
        <v>#NUM!</v>
      </c>
      <c r="AL58" s="22" t="e">
        <f t="shared" si="4"/>
        <v>#NUM!</v>
      </c>
      <c r="AM58" s="62" t="e">
        <f t="shared" si="5"/>
        <v>#NUM!</v>
      </c>
      <c r="AN58" s="62">
        <f ca="1">AVERAGE(OFFSET($AM$3,0,0,'Données projet'!$E$10+1,1))-AVERAGE(OFFSET($H$3,0,0,'Données projet'!$E$10+1,1))</f>
        <v>60.374143206158408</v>
      </c>
      <c r="AO58" s="62">
        <f t="shared" si="36"/>
        <v>338.95520219048694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42.104747533116445</v>
      </c>
      <c r="AV58" s="23">
        <f>EXP(-LN(2)/25)*AV57+(1-EXP(-LN(2)/25))/(LN(2)/25)*Calculateur!AQ58*Calculateur!AS58*VLOOKUP('Données projet'!$B$10,Paramètres!$A$1:$I$89,3,0)*0.475*44/12</f>
        <v>7.8210494939921045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49.925797027108551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28.654079999999961</v>
      </c>
      <c r="D59" s="12">
        <f t="shared" si="32"/>
        <v>8.9355652178173202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10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290.16568238315097</v>
      </c>
      <c r="H59" s="70">
        <f t="shared" si="1"/>
        <v>358.80196542103175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0</v>
      </c>
      <c r="N59" s="14">
        <f>IF('Données projet'!$A$36&gt;35,N58+M59-V58,IF(A59&lt;'Données projet'!$A$36,$K$205^A59,IF(A59='Données projet'!$A$36,'Données projet'!$B$36,N58+M59-V58)))</f>
        <v>0</v>
      </c>
      <c r="O59" s="14">
        <f>N59*VLOOKUP('Données projet'!$B$9,Paramètres!$A$1:$I$89,3,0)*VLOOKUP('Données projet'!$B$9,Paramètres!$A$1:$I$89,5,0)</f>
        <v>0</v>
      </c>
      <c r="P59" s="14" t="e">
        <f t="shared" si="33"/>
        <v>#NUM!</v>
      </c>
      <c r="Q59" s="22" t="e">
        <f t="shared" si="53"/>
        <v>#NUM!</v>
      </c>
      <c r="R59" s="62" t="e">
        <f t="shared" si="0"/>
        <v>#NUM!</v>
      </c>
      <c r="S59" s="62">
        <f ca="1">AVERAGE(OFFSET($R$3,0,0,'Données projet'!$E$9+1,1))-AVERAGE(OFFSET($H$3,0,0,'Données projet'!$E$9+1,1))</f>
        <v>61.920120153277935</v>
      </c>
      <c r="T59" s="62">
        <f t="shared" si="34"/>
        <v>346.77984765566453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42.196412429026722</v>
      </c>
      <c r="AA59" s="23">
        <f>EXP(-LN(2)/25)*AA58+(1-EXP(-LN(2)/25))/(LN(2)/25)*Calculateur!V59*Calculateur!X59*VLOOKUP('Données projet'!$B$9,Paramètres!$A$1:$I$89,3,0)*0.475*44/12</f>
        <v>7.7762309839386132</v>
      </c>
      <c r="AB59" s="23">
        <f>EXP(-LN(2)/2)*AB58+(1-EXP(-LN(2)/2))/(LN(2)/2)*V59*Y59*VLOOKUP('Données projet'!$B$9,Paramètres!$A$1:$I$89,3,0)*0.475*44/12</f>
        <v>0</v>
      </c>
      <c r="AC59" s="24">
        <f t="shared" si="3"/>
        <v>49.972643412965333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0</v>
      </c>
      <c r="AI59" s="14">
        <f>IF('Données projet'!$A$62&gt;35,AI58+AH59-AQ58,IF(A59&lt;'Données projet'!$A$62,$AF$205^A59,IF(A59='Données projet'!$A$62,'Données projet'!$B$62,AI58+AH59-AQ58)))</f>
        <v>0</v>
      </c>
      <c r="AJ59" s="14">
        <f>AI59*VLOOKUP('Données projet'!$B$10,Paramètres!$A$1:$I$89,3,0)*VLOOKUP('Données projet'!$B$10,Paramètres!$A$1:$I$89,5,0)</f>
        <v>0</v>
      </c>
      <c r="AK59" s="14" t="e">
        <f t="shared" si="35"/>
        <v>#NUM!</v>
      </c>
      <c r="AL59" s="22" t="e">
        <f t="shared" si="4"/>
        <v>#NUM!</v>
      </c>
      <c r="AM59" s="62" t="e">
        <f t="shared" si="5"/>
        <v>#NUM!</v>
      </c>
      <c r="AN59" s="62">
        <f ca="1">AVERAGE(OFFSET($AM$3,0,0,'Données projet'!$E$10+1,1))-AVERAGE(OFFSET($H$3,0,0,'Données projet'!$E$10+1,1))</f>
        <v>60.374143206158408</v>
      </c>
      <c r="AO59" s="62">
        <f t="shared" si="36"/>
        <v>338.95520219048694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41.279099115352203</v>
      </c>
      <c r="AV59" s="23">
        <f>EXP(-LN(2)/25)*AV58+(1-EXP(-LN(2)/25))/(LN(2)/25)*Calculateur!AQ59*Calculateur!AS59*VLOOKUP('Données projet'!$B$10,Paramètres!$A$1:$I$89,3,0)*0.475*44/12</f>
        <v>7.6071824842877724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48.886281599639972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29.16575999999996</v>
      </c>
      <c r="D60" s="12">
        <f t="shared" si="32"/>
        <v>9.0764101071203047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10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295.20271661636696</v>
      </c>
      <c r="H60" s="70">
        <f t="shared" si="1"/>
        <v>359.93844626990108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0</v>
      </c>
      <c r="N60" s="14">
        <f>IF('Données projet'!$A$36&gt;35,N59+M60-V59,IF(A60&lt;'Données projet'!$A$36,$K$205^A60,IF(A60='Données projet'!$A$36,'Données projet'!$B$36,N59+M60-V59)))</f>
        <v>0</v>
      </c>
      <c r="O60" s="14">
        <f>N60*VLOOKUP('Données projet'!$B$9,Paramètres!$A$1:$I$89,3,0)*VLOOKUP('Données projet'!$B$9,Paramètres!$A$1:$I$89,5,0)</f>
        <v>0</v>
      </c>
      <c r="P60" s="14" t="e">
        <f t="shared" si="33"/>
        <v>#NUM!</v>
      </c>
      <c r="Q60" s="22" t="e">
        <f t="shared" si="53"/>
        <v>#NUM!</v>
      </c>
      <c r="R60" s="62" t="e">
        <f t="shared" si="0"/>
        <v>#NUM!</v>
      </c>
      <c r="S60" s="62">
        <f ca="1">AVERAGE(OFFSET($R$3,0,0,'Données projet'!$E$9+1,1))-AVERAGE(OFFSET($H$3,0,0,'Données projet'!$E$9+1,1))</f>
        <v>61.920120153277935</v>
      </c>
      <c r="T60" s="62">
        <f t="shared" si="34"/>
        <v>346.77984765566453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41.368966518563745</v>
      </c>
      <c r="AA60" s="23">
        <f>EXP(-LN(2)/25)*AA59+(1-EXP(-LN(2)/25))/(LN(2)/25)*Calculateur!V60*Calculateur!X60*VLOOKUP('Données projet'!$B$9,Paramètres!$A$1:$I$89,3,0)*0.475*44/12</f>
        <v>7.5635895387485972</v>
      </c>
      <c r="AB60" s="23">
        <f>EXP(-LN(2)/2)*AB59+(1-EXP(-LN(2)/2))/(LN(2)/2)*V60*Y60*VLOOKUP('Données projet'!$B$9,Paramètres!$A$1:$I$89,3,0)*0.475*44/12</f>
        <v>0</v>
      </c>
      <c r="AC60" s="24">
        <f t="shared" si="3"/>
        <v>48.93255605731234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0</v>
      </c>
      <c r="AI60" s="14">
        <f>IF('Données projet'!$A$62&gt;35,AI59+AH60-AQ59,IF(A60&lt;'Données projet'!$A$62,$AF$205^A60,IF(A60='Données projet'!$A$62,'Données projet'!$B$62,AI59+AH60-AQ59)))</f>
        <v>0</v>
      </c>
      <c r="AJ60" s="14">
        <f>AI60*VLOOKUP('Données projet'!$B$10,Paramètres!$A$1:$I$89,3,0)*VLOOKUP('Données projet'!$B$10,Paramètres!$A$1:$I$89,5,0)</f>
        <v>0</v>
      </c>
      <c r="AK60" s="14" t="e">
        <f t="shared" si="35"/>
        <v>#NUM!</v>
      </c>
      <c r="AL60" s="22" t="e">
        <f t="shared" si="4"/>
        <v>#NUM!</v>
      </c>
      <c r="AM60" s="62" t="e">
        <f t="shared" si="5"/>
        <v>#NUM!</v>
      </c>
      <c r="AN60" s="62">
        <f ca="1">AVERAGE(OFFSET($AM$3,0,0,'Données projet'!$E$10+1,1))-AVERAGE(OFFSET($H$3,0,0,'Données projet'!$E$10+1,1))</f>
        <v>60.374143206158408</v>
      </c>
      <c r="AO60" s="62">
        <f t="shared" si="36"/>
        <v>338.95520219048694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40.469641159464508</v>
      </c>
      <c r="AV60" s="23">
        <f>EXP(-LN(2)/25)*AV59+(1-EXP(-LN(2)/25))/(LN(2)/25)*Calculateur!AQ60*Calculateur!AS60*VLOOKUP('Données projet'!$B$10,Paramètres!$A$1:$I$89,3,0)*0.475*44/12</f>
        <v>7.3991636792105826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47.868804838675089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29.677439999999958</v>
      </c>
      <c r="D61" s="12">
        <f t="shared" si="32"/>
        <v>9.2169676542258578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10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300.23753276946246</v>
      </c>
      <c r="H61" s="70">
        <f t="shared" si="1"/>
        <v>361.07442666444325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0</v>
      </c>
      <c r="N61" s="14">
        <f>IF('Données projet'!$A$36&gt;35,N60+M61-V60,IF(A61&lt;'Données projet'!$A$36,$K$205^A61,IF(A61='Données projet'!$A$36,'Données projet'!$B$36,N60+M61-V60)))</f>
        <v>0</v>
      </c>
      <c r="O61" s="14">
        <f>N61*VLOOKUP('Données projet'!$B$9,Paramètres!$A$1:$I$89,3,0)*VLOOKUP('Données projet'!$B$9,Paramètres!$A$1:$I$89,5,0)</f>
        <v>0</v>
      </c>
      <c r="P61" s="14" t="e">
        <f t="shared" si="33"/>
        <v>#NUM!</v>
      </c>
      <c r="Q61" s="22" t="e">
        <f t="shared" si="53"/>
        <v>#NUM!</v>
      </c>
      <c r="R61" s="62" t="e">
        <f t="shared" si="0"/>
        <v>#NUM!</v>
      </c>
      <c r="S61" s="62">
        <f ca="1">AVERAGE(OFFSET($R$3,0,0,'Données projet'!$E$9+1,1))-AVERAGE(OFFSET($H$3,0,0,'Données projet'!$E$9+1,1))</f>
        <v>61.920120153277935</v>
      </c>
      <c r="T61" s="62">
        <f t="shared" si="34"/>
        <v>346.77984765566453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40.557746317712777</v>
      </c>
      <c r="AA61" s="23">
        <f>EXP(-LN(2)/25)*AA60+(1-EXP(-LN(2)/25))/(LN(2)/25)*Calculateur!V61*Calculateur!X61*VLOOKUP('Données projet'!$B$9,Paramètres!$A$1:$I$89,3,0)*0.475*44/12</f>
        <v>7.3567627850596296</v>
      </c>
      <c r="AB61" s="23">
        <f>EXP(-LN(2)/2)*AB60+(1-EXP(-LN(2)/2))/(LN(2)/2)*V61*Y61*VLOOKUP('Données projet'!$B$9,Paramètres!$A$1:$I$89,3,0)*0.475*44/12</f>
        <v>0</v>
      </c>
      <c r="AC61" s="24">
        <f t="shared" si="3"/>
        <v>47.914509102772406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0</v>
      </c>
      <c r="AI61" s="14">
        <f>IF('Données projet'!$A$62&gt;35,AI60+AH61-AQ60,IF(A61&lt;'Données projet'!$A$62,$AF$205^A61,IF(A61='Données projet'!$A$62,'Données projet'!$B$62,AI60+AH61-AQ60)))</f>
        <v>0</v>
      </c>
      <c r="AJ61" s="14">
        <f>AI61*VLOOKUP('Données projet'!$B$10,Paramètres!$A$1:$I$89,3,0)*VLOOKUP('Données projet'!$B$10,Paramètres!$A$1:$I$89,5,0)</f>
        <v>0</v>
      </c>
      <c r="AK61" s="14" t="e">
        <f t="shared" si="35"/>
        <v>#NUM!</v>
      </c>
      <c r="AL61" s="22" t="e">
        <f t="shared" si="4"/>
        <v>#NUM!</v>
      </c>
      <c r="AM61" s="62" t="e">
        <f t="shared" si="5"/>
        <v>#NUM!</v>
      </c>
      <c r="AN61" s="62">
        <f ca="1">AVERAGE(OFFSET($AM$3,0,0,'Données projet'!$E$10+1,1))-AVERAGE(OFFSET($H$3,0,0,'Données projet'!$E$10+1,1))</f>
        <v>60.374143206158408</v>
      </c>
      <c r="AO61" s="62">
        <f t="shared" si="36"/>
        <v>338.95520219048694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39.67605618037117</v>
      </c>
      <c r="AV61" s="23">
        <f>EXP(-LN(2)/25)*AV60+(1-EXP(-LN(2)/25))/(LN(2)/25)*Calculateur!AQ61*Calculateur!AS61*VLOOKUP('Données projet'!$B$10,Paramètres!$A$1:$I$89,3,0)*0.475*44/12</f>
        <v>7.1968331592974621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46.872889339668632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30.189119999999956</v>
      </c>
      <c r="D62" s="12">
        <f t="shared" si="32"/>
        <v>9.3572433849814889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10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305.27017349810239</v>
      </c>
      <c r="H62" s="70">
        <f t="shared" si="1"/>
        <v>362.20991622884264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0</v>
      </c>
      <c r="N62" s="14">
        <f>IF('Données projet'!$A$36&gt;35,N61+M62-V61,IF(A62&lt;'Données projet'!$A$36,$K$205^A62,IF(A62='Données projet'!$A$36,'Données projet'!$B$36,N61+M62-V61)))</f>
        <v>0</v>
      </c>
      <c r="O62" s="14">
        <f>N62*VLOOKUP('Données projet'!$B$9,Paramètres!$A$1:$I$89,3,0)*VLOOKUP('Données projet'!$B$9,Paramètres!$A$1:$I$89,5,0)</f>
        <v>0</v>
      </c>
      <c r="P62" s="14" t="e">
        <f t="shared" si="33"/>
        <v>#NUM!</v>
      </c>
      <c r="Q62" s="22" t="e">
        <f t="shared" si="53"/>
        <v>#NUM!</v>
      </c>
      <c r="R62" s="62" t="e">
        <f t="shared" si="0"/>
        <v>#NUM!</v>
      </c>
      <c r="S62" s="62">
        <f ca="1">AVERAGE(OFFSET($R$3,0,0,'Données projet'!$E$9+1,1))-AVERAGE(OFFSET($H$3,0,0,'Données projet'!$E$9+1,1))</f>
        <v>61.920120153277935</v>
      </c>
      <c r="T62" s="62">
        <f t="shared" si="34"/>
        <v>346.77984765566453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39.762433650205033</v>
      </c>
      <c r="AA62" s="23">
        <f>EXP(-LN(2)/25)*AA61+(1-EXP(-LN(2)/25))/(LN(2)/25)*Calculateur!V62*Calculateur!X62*VLOOKUP('Données projet'!$B$9,Paramètres!$A$1:$I$89,3,0)*0.475*44/12</f>
        <v>7.1555917198268331</v>
      </c>
      <c r="AB62" s="23">
        <f>EXP(-LN(2)/2)*AB61+(1-EXP(-LN(2)/2))/(LN(2)/2)*V62*Y62*VLOOKUP('Données projet'!$B$9,Paramètres!$A$1:$I$89,3,0)*0.475*44/12</f>
        <v>0</v>
      </c>
      <c r="AC62" s="24">
        <f t="shared" si="3"/>
        <v>46.918025370031863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0</v>
      </c>
      <c r="AI62" s="14">
        <f>IF('Données projet'!$A$62&gt;35,AI61+AH62-AQ61,IF(A62&lt;'Données projet'!$A$62,$AF$205^A62,IF(A62='Données projet'!$A$62,'Données projet'!$B$62,AI61+AH62-AQ61)))</f>
        <v>0</v>
      </c>
      <c r="AJ62" s="14">
        <f>AI62*VLOOKUP('Données projet'!$B$10,Paramètres!$A$1:$I$89,3,0)*VLOOKUP('Données projet'!$B$10,Paramètres!$A$1:$I$89,5,0)</f>
        <v>0</v>
      </c>
      <c r="AK62" s="14" t="e">
        <f t="shared" si="35"/>
        <v>#NUM!</v>
      </c>
      <c r="AL62" s="22" t="e">
        <f t="shared" si="4"/>
        <v>#NUM!</v>
      </c>
      <c r="AM62" s="62" t="e">
        <f t="shared" si="5"/>
        <v>#NUM!</v>
      </c>
      <c r="AN62" s="62">
        <f ca="1">AVERAGE(OFFSET($AM$3,0,0,'Données projet'!$E$10+1,1))-AVERAGE(OFFSET($H$3,0,0,'Données projet'!$E$10+1,1))</f>
        <v>60.374143206158408</v>
      </c>
      <c r="AO62" s="62">
        <f t="shared" si="36"/>
        <v>338.95520219048694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38.898032918678808</v>
      </c>
      <c r="AV62" s="23">
        <f>EXP(-LN(2)/25)*AV61+(1-EXP(-LN(2)/25))/(LN(2)/25)*Calculateur!AQ62*Calculateur!AS62*VLOOKUP('Données projet'!$B$10,Paramètres!$A$1:$I$89,3,0)*0.475*44/12</f>
        <v>7.0000353780914661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45.898068296770276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30.700799999999955</v>
      </c>
      <c r="D63" s="12">
        <f t="shared" si="32"/>
        <v>9.4972426271830557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10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310.30067992913206</v>
      </c>
      <c r="H63" s="70">
        <f t="shared" si="1"/>
        <v>363.34492424234372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0</v>
      </c>
      <c r="N63" s="14">
        <f>IF('Données projet'!$A$36&gt;35,N62+M63-V62,IF(A63&lt;'Données projet'!$A$36,$K$205^A63,IF(A63='Données projet'!$A$36,'Données projet'!$B$36,N62+M63-V62)))</f>
        <v>0</v>
      </c>
      <c r="O63" s="14">
        <f>N63*VLOOKUP('Données projet'!$B$9,Paramètres!$A$1:$I$89,3,0)*VLOOKUP('Données projet'!$B$9,Paramètres!$A$1:$I$89,5,0)</f>
        <v>0</v>
      </c>
      <c r="P63" s="14" t="e">
        <f t="shared" si="33"/>
        <v>#NUM!</v>
      </c>
      <c r="Q63" s="22" t="e">
        <f t="shared" si="53"/>
        <v>#NUM!</v>
      </c>
      <c r="R63" s="62" t="e">
        <f t="shared" si="0"/>
        <v>#NUM!</v>
      </c>
      <c r="S63" s="62">
        <f ca="1">AVERAGE(OFFSET($R$3,0,0,'Données projet'!$E$9+1,1))-AVERAGE(OFFSET($H$3,0,0,'Données projet'!$E$9+1,1))</f>
        <v>61.920120153277935</v>
      </c>
      <c r="T63" s="62">
        <f t="shared" si="34"/>
        <v>346.77984765566453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38.982716579014287</v>
      </c>
      <c r="AA63" s="23">
        <f>EXP(-LN(2)/25)*AA62+(1-EXP(-LN(2)/25))/(LN(2)/25)*Calculateur!V63*Calculateur!X63*VLOOKUP('Données projet'!$B$9,Paramètres!$A$1:$I$89,3,0)*0.475*44/12</f>
        <v>6.9599216879519545</v>
      </c>
      <c r="AB63" s="23">
        <f>EXP(-LN(2)/2)*AB62+(1-EXP(-LN(2)/2))/(LN(2)/2)*V63*Y63*VLOOKUP('Données projet'!$B$9,Paramètres!$A$1:$I$89,3,0)*0.475*44/12</f>
        <v>0</v>
      </c>
      <c r="AC63" s="24">
        <f t="shared" si="3"/>
        <v>45.942638266966242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 t="e">
        <f>VLOOKUP(A63,'Données projet'!$A$61:$I$81,2,0)</f>
        <v>#N/A</v>
      </c>
      <c r="AG63" s="13" t="e">
        <f>VLOOKUP(A63,'Données projet'!$A$61:$I$81,9,0)</f>
        <v>#N/A</v>
      </c>
      <c r="AH63" s="13">
        <f t="array" ref="AH63">INDEX(AG:AG,MIN(IF(ISNUMBER(AG63:AG259),ROW(AG63:AG259),"")))</f>
        <v>0</v>
      </c>
      <c r="AI63" s="14">
        <f>IF('Données projet'!$A$62&gt;35,AI62+AH63-AQ62,IF(A63&lt;'Données projet'!$A$62,$AF$205^A63,IF(A63='Données projet'!$A$62,'Données projet'!$B$62,AI62+AH63-AQ62)))</f>
        <v>0</v>
      </c>
      <c r="AJ63" s="14">
        <f>AI63*VLOOKUP('Données projet'!$B$10,Paramètres!$A$1:$I$89,3,0)*VLOOKUP('Données projet'!$B$10,Paramètres!$A$1:$I$89,5,0)</f>
        <v>0</v>
      </c>
      <c r="AK63" s="14" t="e">
        <f t="shared" si="35"/>
        <v>#NUM!</v>
      </c>
      <c r="AL63" s="22" t="e">
        <f t="shared" si="4"/>
        <v>#NUM!</v>
      </c>
      <c r="AM63" s="62" t="e">
        <f t="shared" si="5"/>
        <v>#NUM!</v>
      </c>
      <c r="AN63" s="62">
        <f ca="1">AVERAGE(OFFSET($AM$3,0,0,'Données projet'!$E$10+1,1))-AVERAGE(OFFSET($H$3,0,0,'Données projet'!$E$10+1,1))</f>
        <v>60.374143206158408</v>
      </c>
      <c r="AO63" s="62">
        <f t="shared" si="36"/>
        <v>338.95520219048694</v>
      </c>
      <c r="AP63" s="16">
        <f>IF(ISNA(VLOOKUP(A63,'Données projet'!$A$61:$I$81,3,0)),0,VLOOKUP(A63,'Données projet'!$A$61:$I$81,3,0))</f>
        <v>0</v>
      </c>
      <c r="AQ63" s="16">
        <f>IF(ISNA(VLOOKUP(A63,'Données projet'!$A$61:$I$81,4,0)),0,VLOOKUP(A63,'Données projet'!$A$61:$I$81,4,0))</f>
        <v>0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38.135266218600904</v>
      </c>
      <c r="AV63" s="23">
        <f>EXP(-LN(2)/25)*AV62+(1-EXP(-LN(2)/25))/(LN(2)/25)*Calculateur!AQ63*Calculateur!AS63*VLOOKUP('Données projet'!$B$10,Paramètres!$A$1:$I$89,3,0)*0.475*44/12</f>
        <v>6.808619042561693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44.943885261162599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31.212479999999953</v>
      </c>
      <c r="D64" s="12">
        <f t="shared" si="32"/>
        <v>9.6369705208534739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10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315.32909173992118</v>
      </c>
      <c r="H64" s="70">
        <f t="shared" si="1"/>
        <v>364.47945965715303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0</v>
      </c>
      <c r="N64" s="14">
        <f>IF('Données projet'!$A$36&gt;35,N63+M64-V63,IF(A64&lt;'Données projet'!$A$36,$K$205^A64,IF(A64='Données projet'!$A$36,'Données projet'!$B$36,N63+M64-V63)))</f>
        <v>0</v>
      </c>
      <c r="O64" s="14">
        <f>N64*VLOOKUP('Données projet'!$B$9,Paramètres!$A$1:$I$89,3,0)*VLOOKUP('Données projet'!$B$9,Paramètres!$A$1:$I$89,5,0)</f>
        <v>0</v>
      </c>
      <c r="P64" s="14" t="e">
        <f t="shared" si="33"/>
        <v>#NUM!</v>
      </c>
      <c r="Q64" s="22" t="e">
        <f t="shared" si="53"/>
        <v>#NUM!</v>
      </c>
      <c r="R64" s="62" t="e">
        <f t="shared" si="0"/>
        <v>#NUM!</v>
      </c>
      <c r="S64" s="62">
        <f ca="1">AVERAGE(OFFSET($R$3,0,0,'Données projet'!$E$9+1,1))-AVERAGE(OFFSET($H$3,0,0,'Données projet'!$E$9+1,1))</f>
        <v>61.920120153277935</v>
      </c>
      <c r="T64" s="62">
        <f t="shared" si="34"/>
        <v>346.77984765566453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38.218289284009138</v>
      </c>
      <c r="AA64" s="23">
        <f>EXP(-LN(2)/25)*AA63+(1-EXP(-LN(2)/25))/(LN(2)/25)*Calculateur!V64*Calculateur!X64*VLOOKUP('Données projet'!$B$9,Paramètres!$A$1:$I$89,3,0)*0.475*44/12</f>
        <v>6.769602263388534</v>
      </c>
      <c r="AB64" s="23">
        <f>EXP(-LN(2)/2)*AB63+(1-EXP(-LN(2)/2))/(LN(2)/2)*V64*Y64*VLOOKUP('Données projet'!$B$9,Paramètres!$A$1:$I$89,3,0)*0.475*44/12</f>
        <v>0</v>
      </c>
      <c r="AC64" s="24">
        <f t="shared" si="3"/>
        <v>44.987891547397673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0</v>
      </c>
      <c r="AJ64" s="14">
        <f>AI64*VLOOKUP('Données projet'!$B$10,Paramètres!$A$1:$I$89,3,0)*VLOOKUP('Données projet'!$B$10,Paramètres!$A$1:$I$89,5,0)</f>
        <v>0</v>
      </c>
      <c r="AK64" s="14" t="e">
        <f t="shared" si="35"/>
        <v>#NUM!</v>
      </c>
      <c r="AL64" s="22" t="e">
        <f t="shared" si="4"/>
        <v>#NUM!</v>
      </c>
      <c r="AM64" s="62" t="e">
        <f t="shared" si="5"/>
        <v>#NUM!</v>
      </c>
      <c r="AN64" s="62">
        <f ca="1">AVERAGE(OFFSET($AM$3,0,0,'Données projet'!$E$10+1,1))-AVERAGE(OFFSET($H$3,0,0,'Données projet'!$E$10+1,1))</f>
        <v>60.374143206158408</v>
      </c>
      <c r="AO64" s="62">
        <f t="shared" si="36"/>
        <v>338.95520219048694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37.387456908269776</v>
      </c>
      <c r="AV64" s="23">
        <f>EXP(-LN(2)/25)*AV63+(1-EXP(-LN(2)/25))/(LN(2)/25)*Calculateur!AQ64*Calculateur!AS64*VLOOKUP('Données projet'!$B$10,Paramètres!$A$1:$I$89,3,0)*0.475*44/12</f>
        <v>6.6224369967931294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44.009893905062903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31.724159999999952</v>
      </c>
      <c r="D65" s="12">
        <f t="shared" si="32"/>
        <v>9.7764320278283297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10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320.3554472323587</v>
      </c>
      <c r="H65" s="70">
        <f t="shared" si="1"/>
        <v>365.61353111513426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0</v>
      </c>
      <c r="N65" s="14">
        <f>IF('Données projet'!$A$36&gt;35,N64+M65-V64,IF(A65&lt;'Données projet'!$A$36,$K$205^A65,IF(A65='Données projet'!$A$36,'Données projet'!$B$36,N64+M65-V64)))</f>
        <v>0</v>
      </c>
      <c r="O65" s="14">
        <f>N65*VLOOKUP('Données projet'!$B$9,Paramètres!$A$1:$I$89,3,0)*VLOOKUP('Données projet'!$B$9,Paramètres!$A$1:$I$89,5,0)</f>
        <v>0</v>
      </c>
      <c r="P65" s="14" t="e">
        <f t="shared" si="33"/>
        <v>#NUM!</v>
      </c>
      <c r="Q65" s="22" t="e">
        <f t="shared" si="53"/>
        <v>#NUM!</v>
      </c>
      <c r="R65" s="62" t="e">
        <f t="shared" si="0"/>
        <v>#NUM!</v>
      </c>
      <c r="S65" s="62">
        <f ca="1">AVERAGE(OFFSET($R$3,0,0,'Données projet'!$E$9+1,1))-AVERAGE(OFFSET($H$3,0,0,'Données projet'!$E$9+1,1))</f>
        <v>61.920120153277935</v>
      </c>
      <c r="T65" s="62">
        <f t="shared" si="34"/>
        <v>346.77984765566453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37.468851942004427</v>
      </c>
      <c r="AA65" s="23">
        <f>EXP(-LN(2)/25)*AA64+(1-EXP(-LN(2)/25))/(LN(2)/25)*Calculateur!V65*Calculateur!X65*VLOOKUP('Données projet'!$B$9,Paramètres!$A$1:$I$89,3,0)*0.475*44/12</f>
        <v>6.5844871334982633</v>
      </c>
      <c r="AB65" s="23">
        <f>EXP(-LN(2)/2)*AB64+(1-EXP(-LN(2)/2))/(LN(2)/2)*V65*Y65*VLOOKUP('Données projet'!$B$9,Paramètres!$A$1:$I$89,3,0)*0.475*44/12</f>
        <v>0</v>
      </c>
      <c r="AC65" s="24">
        <f t="shared" si="3"/>
        <v>44.053339075502691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0</v>
      </c>
      <c r="AJ65" s="14">
        <f>AI65*VLOOKUP('Données projet'!$B$10,Paramètres!$A$1:$I$89,3,0)*VLOOKUP('Données projet'!$B$10,Paramètres!$A$1:$I$89,5,0)</f>
        <v>0</v>
      </c>
      <c r="AK65" s="14" t="e">
        <f t="shared" si="35"/>
        <v>#NUM!</v>
      </c>
      <c r="AL65" s="22" t="e">
        <f t="shared" si="4"/>
        <v>#NUM!</v>
      </c>
      <c r="AM65" s="62" t="e">
        <f t="shared" si="5"/>
        <v>#NUM!</v>
      </c>
      <c r="AN65" s="62">
        <f ca="1">AVERAGE(OFFSET($AM$3,0,0,'Données projet'!$E$10+1,1))-AVERAGE(OFFSET($H$3,0,0,'Données projet'!$E$10+1,1))</f>
        <v>60.374143206158408</v>
      </c>
      <c r="AO65" s="62">
        <f t="shared" si="36"/>
        <v>338.95520219048694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36.654311682395601</v>
      </c>
      <c r="AV65" s="23">
        <f>EXP(-LN(2)/25)*AV64+(1-EXP(-LN(2)/25))/(LN(2)/25)*Calculateur!AQ65*Calculateur!AS65*VLOOKUP('Données projet'!$B$10,Paramètres!$A$1:$I$89,3,0)*0.475*44/12</f>
        <v>6.4413461088569957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43.095657791252599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32.235839999999953</v>
      </c>
      <c r="D66" s="12">
        <f t="shared" si="32"/>
        <v>9.9156319407055236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10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325.37978340193706</v>
      </c>
      <c r="H66" s="70">
        <f t="shared" si="1"/>
        <v>366.74714696339538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0</v>
      </c>
      <c r="N66" s="14">
        <f>IF('Données projet'!$A$36&gt;35,N65+M66-V65,IF(A66&lt;'Données projet'!$A$36,$K$205^A66,IF(A66='Données projet'!$A$36,'Données projet'!$B$36,N65+M66-V65)))</f>
        <v>0</v>
      </c>
      <c r="O66" s="14">
        <f>N66*VLOOKUP('Données projet'!$B$9,Paramètres!$A$1:$I$89,3,0)*VLOOKUP('Données projet'!$B$9,Paramètres!$A$1:$I$89,5,0)</f>
        <v>0</v>
      </c>
      <c r="P66" s="14" t="e">
        <f t="shared" si="33"/>
        <v>#NUM!</v>
      </c>
      <c r="Q66" s="22" t="e">
        <f t="shared" si="53"/>
        <v>#NUM!</v>
      </c>
      <c r="R66" s="62" t="e">
        <f t="shared" si="0"/>
        <v>#NUM!</v>
      </c>
      <c r="S66" s="62">
        <f ca="1">AVERAGE(OFFSET($R$3,0,0,'Données projet'!$E$9+1,1))-AVERAGE(OFFSET($H$3,0,0,'Données projet'!$E$9+1,1))</f>
        <v>61.920120153277935</v>
      </c>
      <c r="T66" s="62">
        <f t="shared" si="34"/>
        <v>346.77984765566453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36.734110609164787</v>
      </c>
      <c r="AA66" s="23">
        <f>EXP(-LN(2)/25)*AA65+(1-EXP(-LN(2)/25))/(LN(2)/25)*Calculateur!V66*Calculateur!X66*VLOOKUP('Données projet'!$B$9,Paramètres!$A$1:$I$89,3,0)*0.475*44/12</f>
        <v>6.4044339865696243</v>
      </c>
      <c r="AB66" s="23">
        <f>EXP(-LN(2)/2)*AB65+(1-EXP(-LN(2)/2))/(LN(2)/2)*V66*Y66*VLOOKUP('Données projet'!$B$9,Paramètres!$A$1:$I$89,3,0)*0.475*44/12</f>
        <v>0</v>
      </c>
      <c r="AC66" s="24">
        <f t="shared" si="3"/>
        <v>43.138544595734409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0</v>
      </c>
      <c r="AJ66" s="14">
        <f>AI66*VLOOKUP('Données projet'!$B$10,Paramètres!$A$1:$I$89,3,0)*VLOOKUP('Données projet'!$B$10,Paramètres!$A$1:$I$89,5,0)</f>
        <v>0</v>
      </c>
      <c r="AK66" s="14" t="e">
        <f t="shared" si="35"/>
        <v>#NUM!</v>
      </c>
      <c r="AL66" s="22" t="e">
        <f t="shared" si="4"/>
        <v>#NUM!</v>
      </c>
      <c r="AM66" s="62" t="e">
        <f t="shared" si="5"/>
        <v>#NUM!</v>
      </c>
      <c r="AN66" s="62">
        <f ca="1">AVERAGE(OFFSET($AM$3,0,0,'Données projet'!$E$10+1,1))-AVERAGE(OFFSET($H$3,0,0,'Données projet'!$E$10+1,1))</f>
        <v>60.374143206158408</v>
      </c>
      <c r="AO66" s="62">
        <f t="shared" si="36"/>
        <v>338.95520219048694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35.935542987226384</v>
      </c>
      <c r="AV66" s="23">
        <f>EXP(-LN(2)/25)*AV65+(1-EXP(-LN(2)/25))/(LN(2)/25)*Calculateur!AQ66*Calculateur!AS66*VLOOKUP('Données projet'!$B$10,Paramètres!$A$1:$I$89,3,0)*0.475*44/12</f>
        <v>6.2652071607746311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42.200750148001013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32.747519999999952</v>
      </c>
      <c r="D67" s="12">
        <f t="shared" si="32"/>
        <v>10.054574891210564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10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330.40213600232681</v>
      </c>
      <c r="H67" s="70">
        <f t="shared" si="1"/>
        <v>367.88031526885828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0</v>
      </c>
      <c r="N67" s="14">
        <f>IF('Données projet'!$A$36&gt;35,N66+M67-V66,IF(A67&lt;'Données projet'!$A$36,$K$205^A67,IF(A67='Données projet'!$A$36,'Données projet'!$B$36,N66+M67-V66)))</f>
        <v>0</v>
      </c>
      <c r="O67" s="14">
        <f>N67*VLOOKUP('Données projet'!$B$9,Paramètres!$A$1:$I$89,3,0)*VLOOKUP('Données projet'!$B$9,Paramètres!$A$1:$I$89,5,0)</f>
        <v>0</v>
      </c>
      <c r="P67" s="14" t="e">
        <f t="shared" si="33"/>
        <v>#NUM!</v>
      </c>
      <c r="Q67" s="22" t="e">
        <f t="shared" ref="Q67:Q98" si="54">(O67+P67)*0.475*44/12</f>
        <v>#NUM!</v>
      </c>
      <c r="R67" s="62" t="e">
        <f t="shared" ref="R67:R130" si="55">Q67+(I67+J67)*44/12</f>
        <v>#NUM!</v>
      </c>
      <c r="S67" s="62">
        <f ca="1">AVERAGE(OFFSET($R$3,0,0,'Données projet'!$E$9+1,1))-AVERAGE(OFFSET($H$3,0,0,'Données projet'!$E$9+1,1))</f>
        <v>61.920120153277935</v>
      </c>
      <c r="T67" s="62">
        <f t="shared" si="34"/>
        <v>346.77984765566453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36.013777105714169</v>
      </c>
      <c r="AA67" s="23">
        <f>EXP(-LN(2)/25)*AA66+(1-EXP(-LN(2)/25))/(LN(2)/25)*Calculateur!V67*Calculateur!X67*VLOOKUP('Données projet'!$B$9,Paramètres!$A$1:$I$89,3,0)*0.475*44/12</f>
        <v>6.2293044024123319</v>
      </c>
      <c r="AB67" s="23">
        <f>EXP(-LN(2)/2)*AB66+(1-EXP(-LN(2)/2))/(LN(2)/2)*V67*Y67*VLOOKUP('Données projet'!$B$9,Paramètres!$A$1:$I$89,3,0)*0.475*44/12</f>
        <v>0</v>
      </c>
      <c r="AC67" s="24">
        <f t="shared" si="3"/>
        <v>42.243081508126501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0</v>
      </c>
      <c r="AJ67" s="14">
        <f>AI67*VLOOKUP('Données projet'!$B$10,Paramètres!$A$1:$I$89,3,0)*VLOOKUP('Données projet'!$B$10,Paramètres!$A$1:$I$89,5,0)</f>
        <v>0</v>
      </c>
      <c r="AK67" s="14" t="e">
        <f t="shared" si="35"/>
        <v>#NUM!</v>
      </c>
      <c r="AL67" s="22" t="e">
        <f t="shared" si="4"/>
        <v>#NUM!</v>
      </c>
      <c r="AM67" s="62" t="e">
        <f t="shared" si="5"/>
        <v>#NUM!</v>
      </c>
      <c r="AN67" s="62">
        <f ca="1">AVERAGE(OFFSET($AM$3,0,0,'Données projet'!$E$10+1,1))-AVERAGE(OFFSET($H$3,0,0,'Données projet'!$E$10+1,1))</f>
        <v>60.374143206158408</v>
      </c>
      <c r="AO67" s="62">
        <f t="shared" si="36"/>
        <v>338.95520219048694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35.230868907763821</v>
      </c>
      <c r="AV67" s="23">
        <f>EXP(-LN(2)/25)*AV66+(1-EXP(-LN(2)/25))/(LN(2)/25)*Calculateur!AQ67*Calculateur!AS67*VLOOKUP('Données projet'!$B$10,Paramètres!$A$1:$I$89,3,0)*0.475*44/12</f>
        <v>6.0938847414903234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41.324753649254141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33.25919999999995</v>
      </c>
      <c r="D68" s="12">
        <f t="shared" si="32"/>
        <v>10.193265358024172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10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335.42253960580024</v>
      </c>
      <c r="H68" s="70">
        <f t="shared" ref="H68:H131" si="56">(B68+E68+F68)*44/12+(C68+D68)*0.475*44/12</f>
        <v>369.01304383189199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0</v>
      </c>
      <c r="N68" s="14">
        <f>IF('Données projet'!$A$36&gt;35,N67+M68-V67,IF(A68&lt;'Données projet'!$A$36,$K$205^A68,IF(A68='Données projet'!$A$36,'Données projet'!$B$36,N67+M68-V67)))</f>
        <v>0</v>
      </c>
      <c r="O68" s="14">
        <f>N68*VLOOKUP('Données projet'!$B$9,Paramètres!$A$1:$I$89,3,0)*VLOOKUP('Données projet'!$B$9,Paramètres!$A$1:$I$89,5,0)</f>
        <v>0</v>
      </c>
      <c r="P68" s="14" t="e">
        <f t="shared" si="33"/>
        <v>#NUM!</v>
      </c>
      <c r="Q68" s="22" t="e">
        <f t="shared" si="54"/>
        <v>#NUM!</v>
      </c>
      <c r="R68" s="62" t="e">
        <f t="shared" si="55"/>
        <v>#NUM!</v>
      </c>
      <c r="S68" s="62">
        <f ca="1">AVERAGE(OFFSET($R$3,0,0,'Données projet'!$E$9+1,1))-AVERAGE(OFFSET($H$3,0,0,'Données projet'!$E$9+1,1))</f>
        <v>61.920120153277935</v>
      </c>
      <c r="T68" s="62">
        <f t="shared" si="34"/>
        <v>346.77984765566453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35.307568902906162</v>
      </c>
      <c r="AA68" s="23">
        <f>EXP(-LN(2)/25)*AA67+(1-EXP(-LN(2)/25))/(LN(2)/25)*Calculateur!V68*Calculateur!X68*VLOOKUP('Données projet'!$B$9,Paramètres!$A$1:$I$89,3,0)*0.475*44/12</f>
        <v>6.0589637459434851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41.366532648849649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0</v>
      </c>
      <c r="AJ68" s="14">
        <f>AI68*VLOOKUP('Données projet'!$B$10,Paramètres!$A$1:$I$89,3,0)*VLOOKUP('Données projet'!$B$10,Paramètres!$A$1:$I$89,5,0)</f>
        <v>0</v>
      </c>
      <c r="AK68" s="14" t="e">
        <f t="shared" si="35"/>
        <v>#NUM!</v>
      </c>
      <c r="AL68" s="22" t="e">
        <f t="shared" ref="AL68:AL131" si="58">(AJ68+AK68)*0.475*44/12</f>
        <v>#NUM!</v>
      </c>
      <c r="AM68" s="62" t="e">
        <f t="shared" ref="AM68:AM131" si="59">AL68+(AD68+AE68)*44/12</f>
        <v>#NUM!</v>
      </c>
      <c r="AN68" s="62">
        <f ca="1">AVERAGE(OFFSET($AM$3,0,0,'Données projet'!$E$10+1,1))-AVERAGE(OFFSET($H$3,0,0,'Données projet'!$E$10+1,1))</f>
        <v>60.374143206158408</v>
      </c>
      <c r="AO68" s="62">
        <f t="shared" si="36"/>
        <v>338.95520219048694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34.54001305719077</v>
      </c>
      <c r="AV68" s="23">
        <f>EXP(-LN(2)/25)*AV67+(1-EXP(-LN(2)/25))/(LN(2)/25)*Calculateur!AQ68*Calculateur!AS68*VLOOKUP('Données projet'!$B$10,Paramètres!$A$1:$I$89,3,0)*0.475*44/12</f>
        <v>5.9272471427708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40.467260199961572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33.770879999999948</v>
      </c>
      <c r="D69" s="12">
        <f t="shared" ref="D69:D132" si="86">IFERROR(EXP(-1.0587+0.8836*LN(C69)+0.284),0)</f>
        <v>10.331707674114574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10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340.44102765983138</v>
      </c>
      <c r="H69" s="70">
        <f t="shared" si="56"/>
        <v>370.14534019908274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0</v>
      </c>
      <c r="N69" s="14">
        <f>IF('Données projet'!$A$36&gt;35,N68+M69-V68,IF(A69&lt;'Données projet'!$A$36,$K$205^A69,IF(A69='Données projet'!$A$36,'Données projet'!$B$36,N68+M69-V68)))</f>
        <v>0</v>
      </c>
      <c r="O69" s="14">
        <f>N69*VLOOKUP('Données projet'!$B$9,Paramètres!$A$1:$I$89,3,0)*VLOOKUP('Données projet'!$B$9,Paramètres!$A$1:$I$89,5,0)</f>
        <v>0</v>
      </c>
      <c r="P69" s="14" t="e">
        <f t="shared" ref="P69:P132" si="87">EXP(-1.0587+0.8836*LN(O69)+0.284)</f>
        <v>#NUM!</v>
      </c>
      <c r="Q69" s="22" t="e">
        <f t="shared" si="54"/>
        <v>#NUM!</v>
      </c>
      <c r="R69" s="62" t="e">
        <f t="shared" si="55"/>
        <v>#NUM!</v>
      </c>
      <c r="S69" s="62">
        <f ca="1">AVERAGE(OFFSET($R$3,0,0,'Données projet'!$E$9+1,1))-AVERAGE(OFFSET($H$3,0,0,'Données projet'!$E$9+1,1))</f>
        <v>61.920120153277935</v>
      </c>
      <c r="T69" s="62">
        <f t="shared" ref="T69:T132" si="88">$T$3</f>
        <v>346.77984765566453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34.615209012210748</v>
      </c>
      <c r="AA69" s="23">
        <f>EXP(-LN(2)/25)*AA68+(1-EXP(-LN(2)/25))/(LN(2)/25)*Calculateur!V69*Calculateur!X69*VLOOKUP('Données projet'!$B$9,Paramètres!$A$1:$I$89,3,0)*0.475*44/12</f>
        <v>5.893281063683605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40.50849007589435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0</v>
      </c>
      <c r="AJ69" s="14">
        <f>AI69*VLOOKUP('Données projet'!$B$10,Paramètres!$A$1:$I$89,3,0)*VLOOKUP('Données projet'!$B$10,Paramètres!$A$1:$I$89,5,0)</f>
        <v>0</v>
      </c>
      <c r="AK69" s="14" t="e">
        <f t="shared" ref="AK69:AK132" si="89">EXP(-1.0587+0.8836*LN(AJ69)+0.284)</f>
        <v>#NUM!</v>
      </c>
      <c r="AL69" s="22" t="e">
        <f t="shared" si="58"/>
        <v>#NUM!</v>
      </c>
      <c r="AM69" s="62" t="e">
        <f t="shared" si="59"/>
        <v>#NUM!</v>
      </c>
      <c r="AN69" s="62">
        <f ca="1">AVERAGE(OFFSET($AM$3,0,0,'Données projet'!$E$10+1,1))-AVERAGE(OFFSET($H$3,0,0,'Données projet'!$E$10+1,1))</f>
        <v>60.374143206158408</v>
      </c>
      <c r="AO69" s="62">
        <f t="shared" ref="AO69:AO132" si="90">$AO$3</f>
        <v>338.95520219048694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33.862704468467001</v>
      </c>
      <c r="AV69" s="23">
        <f>EXP(-LN(2)/25)*AV68+(1-EXP(-LN(2)/25))/(LN(2)/25)*Calculateur!AQ69*Calculateur!AS69*VLOOKUP('Données projet'!$B$10,Paramètres!$A$1:$I$89,3,0)*0.475*44/12</f>
        <v>5.7651662579513525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39.627870726418351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34.282559999999947</v>
      </c>
      <c r="D70" s="12">
        <f t="shared" si="86"/>
        <v>10.469906033612734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10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345.45763254016805</v>
      </c>
      <c r="H70" s="70">
        <f t="shared" si="56"/>
        <v>371.27721167520872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0</v>
      </c>
      <c r="N70" s="14">
        <f>IF('Données projet'!$A$36&gt;35,N69+M70-V69,IF(A70&lt;'Données projet'!$A$36,$K$205^A70,IF(A70='Données projet'!$A$36,'Données projet'!$B$36,N69+M70-V69)))</f>
        <v>0</v>
      </c>
      <c r="O70" s="14">
        <f>N70*VLOOKUP('Données projet'!$B$9,Paramètres!$A$1:$I$89,3,0)*VLOOKUP('Données projet'!$B$9,Paramètres!$A$1:$I$89,5,0)</f>
        <v>0</v>
      </c>
      <c r="P70" s="14" t="e">
        <f t="shared" si="87"/>
        <v>#NUM!</v>
      </c>
      <c r="Q70" s="22" t="e">
        <f t="shared" si="54"/>
        <v>#NUM!</v>
      </c>
      <c r="R70" s="62" t="e">
        <f t="shared" si="55"/>
        <v>#NUM!</v>
      </c>
      <c r="S70" s="62">
        <f ca="1">AVERAGE(OFFSET($R$3,0,0,'Données projet'!$E$9+1,1))-AVERAGE(OFFSET($H$3,0,0,'Données projet'!$E$9+1,1))</f>
        <v>61.920120153277935</v>
      </c>
      <c r="T70" s="62">
        <f t="shared" si="88"/>
        <v>346.77984765566453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33.936425876674036</v>
      </c>
      <c r="AA70" s="23">
        <f>EXP(-LN(2)/25)*AA69+(1-EXP(-LN(2)/25))/(LN(2)/25)*Calculateur!V70*Calculateur!X70*VLOOKUP('Données projet'!$B$9,Paramètres!$A$1:$I$89,3,0)*0.475*44/12</f>
        <v>5.7321289830829949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39.66855485975703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0</v>
      </c>
      <c r="AJ70" s="14">
        <f>AI70*VLOOKUP('Données projet'!$B$10,Paramètres!$A$1:$I$89,3,0)*VLOOKUP('Données projet'!$B$10,Paramètres!$A$1:$I$89,5,0)</f>
        <v>0</v>
      </c>
      <c r="AK70" s="14" t="e">
        <f t="shared" si="89"/>
        <v>#NUM!</v>
      </c>
      <c r="AL70" s="22" t="e">
        <f t="shared" si="58"/>
        <v>#NUM!</v>
      </c>
      <c r="AM70" s="62" t="e">
        <f t="shared" si="59"/>
        <v>#NUM!</v>
      </c>
      <c r="AN70" s="62">
        <f ca="1">AVERAGE(OFFSET($AM$3,0,0,'Données projet'!$E$10+1,1))-AVERAGE(OFFSET($H$3,0,0,'Données projet'!$E$10+1,1))</f>
        <v>60.374143206158408</v>
      </c>
      <c r="AO70" s="62">
        <f t="shared" si="90"/>
        <v>338.95520219048694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33.198677488050656</v>
      </c>
      <c r="AV70" s="23">
        <f>EXP(-LN(2)/25)*AV69+(1-EXP(-LN(2)/25))/(LN(2)/25)*Calculateur!AQ70*Calculateur!AS70*VLOOKUP('Données projet'!$B$10,Paramètres!$A$1:$I$89,3,0)*0.475*44/12</f>
        <v>5.6075174834507555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38.806194971501412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34.794239999999945</v>
      </c>
      <c r="D71" s="12">
        <f t="shared" si="86"/>
        <v>10.607864498265494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10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350.47238560064551</v>
      </c>
      <c r="H71" s="70">
        <f t="shared" si="56"/>
        <v>372.40866533447894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0</v>
      </c>
      <c r="N71" s="14">
        <f>IF('Données projet'!$A$36&gt;35,N70+M71-V70,IF(A71&lt;'Données projet'!$A$36,$K$205^A71,IF(A71='Données projet'!$A$36,'Données projet'!$B$36,N70+M71-V70)))</f>
        <v>0</v>
      </c>
      <c r="O71" s="14">
        <f>N71*VLOOKUP('Données projet'!$B$9,Paramètres!$A$1:$I$89,3,0)*VLOOKUP('Données projet'!$B$9,Paramètres!$A$1:$I$89,5,0)</f>
        <v>0</v>
      </c>
      <c r="P71" s="14" t="e">
        <f t="shared" si="87"/>
        <v>#NUM!</v>
      </c>
      <c r="Q71" s="22" t="e">
        <f t="shared" si="54"/>
        <v>#NUM!</v>
      </c>
      <c r="R71" s="62" t="e">
        <f t="shared" si="55"/>
        <v>#NUM!</v>
      </c>
      <c r="S71" s="62">
        <f ca="1">AVERAGE(OFFSET($R$3,0,0,'Données projet'!$E$9+1,1))-AVERAGE(OFFSET($H$3,0,0,'Données projet'!$E$9+1,1))</f>
        <v>61.920120153277935</v>
      </c>
      <c r="T71" s="62">
        <f t="shared" si="88"/>
        <v>346.77984765566453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33.270953264408369</v>
      </c>
      <c r="AA71" s="23">
        <f>EXP(-LN(2)/25)*AA70+(1-EXP(-LN(2)/25))/(LN(2)/25)*Calculateur!V71*Calculateur!X71*VLOOKUP('Données projet'!$B$9,Paramètres!$A$1:$I$89,3,0)*0.475*44/12</f>
        <v>5.5753836146010283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38.846336879009399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0</v>
      </c>
      <c r="AJ71" s="14">
        <f>AI71*VLOOKUP('Données projet'!$B$10,Paramètres!$A$1:$I$89,3,0)*VLOOKUP('Données projet'!$B$10,Paramètres!$A$1:$I$89,5,0)</f>
        <v>0</v>
      </c>
      <c r="AK71" s="14" t="e">
        <f t="shared" si="89"/>
        <v>#NUM!</v>
      </c>
      <c r="AL71" s="22" t="e">
        <f t="shared" si="58"/>
        <v>#NUM!</v>
      </c>
      <c r="AM71" s="62" t="e">
        <f t="shared" si="59"/>
        <v>#NUM!</v>
      </c>
      <c r="AN71" s="62">
        <f ca="1">AVERAGE(OFFSET($AM$3,0,0,'Données projet'!$E$10+1,1))-AVERAGE(OFFSET($H$3,0,0,'Données projet'!$E$10+1,1))</f>
        <v>60.374143206158408</v>
      </c>
      <c r="AO71" s="62">
        <f t="shared" si="90"/>
        <v>338.95520219048694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32.54767167170381</v>
      </c>
      <c r="AV71" s="23">
        <f>EXP(-LN(2)/25)*AV70+(1-EXP(-LN(2)/25))/(LN(2)/25)*Calculateur!AQ71*Calculateur!AS71*VLOOKUP('Données projet'!$B$10,Paramètres!$A$1:$I$89,3,0)*0.475*44/12</f>
        <v>5.4541796229792663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38.001851294683078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35.305919999999944</v>
      </c>
      <c r="D72" s="12">
        <f t="shared" si="86"/>
        <v>10.745587003498374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10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355.48531721998705</v>
      </c>
      <c r="H72" s="70">
        <f t="shared" si="56"/>
        <v>373.53970803109286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0</v>
      </c>
      <c r="N72" s="14">
        <f>IF('Données projet'!$A$36&gt;35,N71+M72-V71,IF(A72&lt;'Données projet'!$A$36,$K$205^A72,IF(A72='Données projet'!$A$36,'Données projet'!$B$36,N71+M72-V71)))</f>
        <v>0</v>
      </c>
      <c r="O72" s="14">
        <f>N72*VLOOKUP('Données projet'!$B$9,Paramètres!$A$1:$I$89,3,0)*VLOOKUP('Données projet'!$B$9,Paramètres!$A$1:$I$89,5,0)</f>
        <v>0</v>
      </c>
      <c r="P72" s="14" t="e">
        <f t="shared" si="87"/>
        <v>#NUM!</v>
      </c>
      <c r="Q72" s="22" t="e">
        <f t="shared" si="54"/>
        <v>#NUM!</v>
      </c>
      <c r="R72" s="62" t="e">
        <f t="shared" si="55"/>
        <v>#NUM!</v>
      </c>
      <c r="S72" s="62">
        <f ca="1">AVERAGE(OFFSET($R$3,0,0,'Données projet'!$E$9+1,1))-AVERAGE(OFFSET($H$3,0,0,'Données projet'!$E$9+1,1))</f>
        <v>61.920120153277935</v>
      </c>
      <c r="T72" s="62">
        <f t="shared" si="88"/>
        <v>346.77984765566453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32.61853016417102</v>
      </c>
      <c r="AA72" s="23">
        <f>EXP(-LN(2)/25)*AA71+(1-EXP(-LN(2)/25))/(LN(2)/25)*Calculateur!V72*Calculateur!X72*VLOOKUP('Données projet'!$B$9,Paramètres!$A$1:$I$89,3,0)*0.475*44/12</f>
        <v>5.4229244564630816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38.041454620634099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0</v>
      </c>
      <c r="AJ72" s="14">
        <f>AI72*VLOOKUP('Données projet'!$B$10,Paramètres!$A$1:$I$89,3,0)*VLOOKUP('Données projet'!$B$10,Paramètres!$A$1:$I$89,5,0)</f>
        <v>0</v>
      </c>
      <c r="AK72" s="14" t="e">
        <f t="shared" si="89"/>
        <v>#NUM!</v>
      </c>
      <c r="AL72" s="22" t="e">
        <f t="shared" si="58"/>
        <v>#NUM!</v>
      </c>
      <c r="AM72" s="62" t="e">
        <f t="shared" si="59"/>
        <v>#NUM!</v>
      </c>
      <c r="AN72" s="62">
        <f ca="1">AVERAGE(OFFSET($AM$3,0,0,'Données projet'!$E$10+1,1))-AVERAGE(OFFSET($H$3,0,0,'Données projet'!$E$10+1,1))</f>
        <v>60.374143206158408</v>
      </c>
      <c r="AO72" s="62">
        <f t="shared" si="90"/>
        <v>338.95520219048694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31.909431682341186</v>
      </c>
      <c r="AV72" s="23">
        <f>EXP(-LN(2)/25)*AV71+(1-EXP(-LN(2)/25))/(LN(2)/25)*Calculateur!AQ72*Calculateur!AS72*VLOOKUP('Données projet'!$B$10,Paramètres!$A$1:$I$89,3,0)*0.475*44/12</f>
        <v>5.3050347943660574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37.214466476707244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35.817599999999942</v>
      </c>
      <c r="D73" s="12">
        <f t="shared" si="86"/>
        <v>10.88307736411684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10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360.49645684581378</v>
      </c>
      <c r="H73" s="70">
        <f t="shared" si="56"/>
        <v>374.67034640917007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0</v>
      </c>
      <c r="N73" s="14">
        <f>IF('Données projet'!$A$36&gt;35,N72+M73-V72,IF(A73&lt;'Données projet'!$A$36,$K$205^A73,IF(A73='Données projet'!$A$36,'Données projet'!$B$36,N72+M73-V72)))</f>
        <v>0</v>
      </c>
      <c r="O73" s="14">
        <f>N73*VLOOKUP('Données projet'!$B$9,Paramètres!$A$1:$I$89,3,0)*VLOOKUP('Données projet'!$B$9,Paramètres!$A$1:$I$89,5,0)</f>
        <v>0</v>
      </c>
      <c r="P73" s="14" t="e">
        <f t="shared" si="87"/>
        <v>#NUM!</v>
      </c>
      <c r="Q73" s="22" t="e">
        <f t="shared" si="54"/>
        <v>#NUM!</v>
      </c>
      <c r="R73" s="62" t="e">
        <f t="shared" si="55"/>
        <v>#NUM!</v>
      </c>
      <c r="S73" s="62">
        <f ca="1">AVERAGE(OFFSET($R$3,0,0,'Données projet'!$E$9+1,1))-AVERAGE(OFFSET($H$3,0,0,'Données projet'!$E$9+1,1))</f>
        <v>61.920120153277935</v>
      </c>
      <c r="T73" s="62">
        <f t="shared" si="88"/>
        <v>346.77984765566453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31.978900682990524</v>
      </c>
      <c r="AA73" s="23">
        <f>EXP(-LN(2)/25)*AA72+(1-EXP(-LN(2)/25))/(LN(2)/25)*Calculateur!V73*Calculateur!X73*VLOOKUP('Données projet'!$B$9,Paramètres!$A$1:$I$89,3,0)*0.475*44/12</f>
        <v>5.2746343020218962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37.253534985012422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0</v>
      </c>
      <c r="AJ73" s="14">
        <f>AI73*VLOOKUP('Données projet'!$B$10,Paramètres!$A$1:$I$89,3,0)*VLOOKUP('Données projet'!$B$10,Paramètres!$A$1:$I$89,5,0)</f>
        <v>0</v>
      </c>
      <c r="AK73" s="14" t="e">
        <f t="shared" si="89"/>
        <v>#NUM!</v>
      </c>
      <c r="AL73" s="22" t="e">
        <f t="shared" si="58"/>
        <v>#NUM!</v>
      </c>
      <c r="AM73" s="62" t="e">
        <f t="shared" si="59"/>
        <v>#NUM!</v>
      </c>
      <c r="AN73" s="62">
        <f ca="1">AVERAGE(OFFSET($AM$3,0,0,'Données projet'!$E$10+1,1))-AVERAGE(OFFSET($H$3,0,0,'Données projet'!$E$10+1,1))</f>
        <v>60.374143206158408</v>
      </c>
      <c r="AO73" s="62">
        <f t="shared" si="90"/>
        <v>338.95520219048694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31.283707189882005</v>
      </c>
      <c r="AV73" s="23">
        <f>EXP(-LN(2)/25)*AV72+(1-EXP(-LN(2)/25))/(LN(2)/25)*Calculateur!AQ73*Calculateur!AS73*VLOOKUP('Données projet'!$B$10,Paramètres!$A$1:$I$89,3,0)*0.475*44/12</f>
        <v>5.1599683389344628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36.44367552881647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36.32927999999994</v>
      </c>
      <c r="D74" s="12">
        <f t="shared" si="86"/>
        <v>11.020339279672598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10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365.50583303606868</v>
      </c>
      <c r="H74" s="70">
        <f t="shared" si="56"/>
        <v>375.80058691209632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0</v>
      </c>
      <c r="N74" s="14">
        <f>IF('Données projet'!$A$36&gt;35,N73+M74-V73,IF(A74&lt;'Données projet'!$A$36,$K$205^A74,IF(A74='Données projet'!$A$36,'Données projet'!$B$36,N73+M74-V73)))</f>
        <v>0</v>
      </c>
      <c r="O74" s="14">
        <f>N74*VLOOKUP('Données projet'!$B$9,Paramètres!$A$1:$I$89,3,0)*VLOOKUP('Données projet'!$B$9,Paramètres!$A$1:$I$89,5,0)</f>
        <v>0</v>
      </c>
      <c r="P74" s="14" t="e">
        <f t="shared" si="87"/>
        <v>#NUM!</v>
      </c>
      <c r="Q74" s="22" t="e">
        <f t="shared" si="54"/>
        <v>#NUM!</v>
      </c>
      <c r="R74" s="62" t="e">
        <f t="shared" si="55"/>
        <v>#NUM!</v>
      </c>
      <c r="S74" s="62">
        <f ca="1">AVERAGE(OFFSET($R$3,0,0,'Données projet'!$E$9+1,1))-AVERAGE(OFFSET($H$3,0,0,'Données projet'!$E$9+1,1))</f>
        <v>61.920120153277935</v>
      </c>
      <c r="T74" s="62">
        <f t="shared" si="88"/>
        <v>346.77984765566453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31.351813945800519</v>
      </c>
      <c r="AA74" s="23">
        <f>EXP(-LN(2)/25)*AA73+(1-EXP(-LN(2)/25))/(LN(2)/25)*Calculateur!V74*Calculateur!X74*VLOOKUP('Données projet'!$B$9,Paramètres!$A$1:$I$89,3,0)*0.475*44/12</f>
        <v>5.1303991496521446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36.482213095452664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0</v>
      </c>
      <c r="AJ74" s="14">
        <f>AI74*VLOOKUP('Données projet'!$B$10,Paramètres!$A$1:$I$89,3,0)*VLOOKUP('Données projet'!$B$10,Paramètres!$A$1:$I$89,5,0)</f>
        <v>0</v>
      </c>
      <c r="AK74" s="14" t="e">
        <f t="shared" si="89"/>
        <v>#NUM!</v>
      </c>
      <c r="AL74" s="22" t="e">
        <f t="shared" si="58"/>
        <v>#NUM!</v>
      </c>
      <c r="AM74" s="62" t="e">
        <f t="shared" si="59"/>
        <v>#NUM!</v>
      </c>
      <c r="AN74" s="62">
        <f ca="1">AVERAGE(OFFSET($AM$3,0,0,'Données projet'!$E$10+1,1))-AVERAGE(OFFSET($H$3,0,0,'Données projet'!$E$10+1,1))</f>
        <v>60.374143206158408</v>
      </c>
      <c r="AO74" s="62">
        <f t="shared" si="90"/>
        <v>338.95520219048694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30.670252773065695</v>
      </c>
      <c r="AV74" s="23">
        <f>EXP(-LN(2)/25)*AV73+(1-EXP(-LN(2)/25))/(LN(2)/25)*Calculateur!AQ74*Calculateur!AS74*VLOOKUP('Données projet'!$B$10,Paramètres!$A$1:$I$89,3,0)*0.475*44/12</f>
        <v>5.0188687333553581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35.689121506421053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36.840959999999939</v>
      </c>
      <c r="D75" s="12">
        <f t="shared" si="86"/>
        <v>11.157376339518924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10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370.51347349804036</v>
      </c>
      <c r="H75" s="70">
        <f t="shared" si="56"/>
        <v>376.93043579132865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0</v>
      </c>
      <c r="N75" s="14">
        <f>IF('Données projet'!$A$36&gt;35,N74+M75-V74,IF(A75&lt;'Données projet'!$A$36,$K$205^A75,IF(A75='Données projet'!$A$36,'Données projet'!$B$36,N74+M75-V74)))</f>
        <v>0</v>
      </c>
      <c r="O75" s="14">
        <f>N75*VLOOKUP('Données projet'!$B$9,Paramètres!$A$1:$I$89,3,0)*VLOOKUP('Données projet'!$B$9,Paramètres!$A$1:$I$89,5,0)</f>
        <v>0</v>
      </c>
      <c r="P75" s="14" t="e">
        <f t="shared" si="87"/>
        <v>#NUM!</v>
      </c>
      <c r="Q75" s="22" t="e">
        <f t="shared" si="54"/>
        <v>#NUM!</v>
      </c>
      <c r="R75" s="62" t="e">
        <f t="shared" si="55"/>
        <v>#NUM!</v>
      </c>
      <c r="S75" s="62">
        <f ca="1">AVERAGE(OFFSET($R$3,0,0,'Données projet'!$E$9+1,1))-AVERAGE(OFFSET($H$3,0,0,'Données projet'!$E$9+1,1))</f>
        <v>61.920120153277935</v>
      </c>
      <c r="T75" s="62">
        <f t="shared" si="88"/>
        <v>346.77984765566453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30.737023997041668</v>
      </c>
      <c r="AA75" s="23">
        <f>EXP(-LN(2)/25)*AA74+(1-EXP(-LN(2)/25))/(LN(2)/25)*Calculateur!V75*Calculateur!X75*VLOOKUP('Données projet'!$B$9,Paramètres!$A$1:$I$89,3,0)*0.475*44/12</f>
        <v>4.9901081151089413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35.727132112150606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0</v>
      </c>
      <c r="AJ75" s="14">
        <f>AI75*VLOOKUP('Données projet'!$B$10,Paramètres!$A$1:$I$89,3,0)*VLOOKUP('Données projet'!$B$10,Paramètres!$A$1:$I$89,5,0)</f>
        <v>0</v>
      </c>
      <c r="AK75" s="14" t="e">
        <f t="shared" si="89"/>
        <v>#NUM!</v>
      </c>
      <c r="AL75" s="22" t="e">
        <f t="shared" si="58"/>
        <v>#NUM!</v>
      </c>
      <c r="AM75" s="62" t="e">
        <f t="shared" si="59"/>
        <v>#NUM!</v>
      </c>
      <c r="AN75" s="62">
        <f ca="1">AVERAGE(OFFSET($AM$3,0,0,'Données projet'!$E$10+1,1))-AVERAGE(OFFSET($H$3,0,0,'Données projet'!$E$10+1,1))</f>
        <v>60.374143206158408</v>
      </c>
      <c r="AO75" s="62">
        <f t="shared" si="90"/>
        <v>338.95520219048694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30.068827823192905</v>
      </c>
      <c r="AV75" s="23">
        <f>EXP(-LN(2)/25)*AV74+(1-EXP(-LN(2)/25))/(LN(2)/25)*Calculateur!AQ75*Calculateur!AS75*VLOOKUP('Données projet'!$B$10,Paramètres!$A$1:$I$89,3,0)*0.475*44/12</f>
        <v>4.88162750391092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34.950455327103825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37.352639999999937</v>
      </c>
      <c r="D76" s="12">
        <f t="shared" si="86"/>
        <v>11.294192027577196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10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375.51940512515677</v>
      </c>
      <c r="H76" s="70">
        <f t="shared" si="56"/>
        <v>378.0598991146968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0</v>
      </c>
      <c r="N76" s="14">
        <f>IF('Données projet'!$A$36&gt;35,N75+M76-V75,IF(A76&lt;'Données projet'!$A$36,$K$205^A76,IF(A76='Données projet'!$A$36,'Données projet'!$B$36,N75+M76-V75)))</f>
        <v>0</v>
      </c>
      <c r="O76" s="14">
        <f>N76*VLOOKUP('Données projet'!$B$9,Paramètres!$A$1:$I$89,3,0)*VLOOKUP('Données projet'!$B$9,Paramètres!$A$1:$I$89,5,0)</f>
        <v>0</v>
      </c>
      <c r="P76" s="14" t="e">
        <f t="shared" si="87"/>
        <v>#NUM!</v>
      </c>
      <c r="Q76" s="22" t="e">
        <f t="shared" si="54"/>
        <v>#NUM!</v>
      </c>
      <c r="R76" s="62" t="e">
        <f t="shared" si="55"/>
        <v>#NUM!</v>
      </c>
      <c r="S76" s="62">
        <f ca="1">AVERAGE(OFFSET($R$3,0,0,'Données projet'!$E$9+1,1))-AVERAGE(OFFSET($H$3,0,0,'Données projet'!$E$9+1,1))</f>
        <v>61.920120153277935</v>
      </c>
      <c r="T76" s="62">
        <f t="shared" si="88"/>
        <v>346.77984765566453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30.134289704193133</v>
      </c>
      <c r="AA76" s="23">
        <f>EXP(-LN(2)/25)*AA75+(1-EXP(-LN(2)/25))/(LN(2)/25)*Calculateur!V76*Calculateur!X76*VLOOKUP('Données projet'!$B$9,Paramètres!$A$1:$I$89,3,0)*0.475*44/12</f>
        <v>4.8536533462829068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34.987943050476041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0</v>
      </c>
      <c r="AJ76" s="14">
        <f>AI76*VLOOKUP('Données projet'!$B$10,Paramètres!$A$1:$I$89,3,0)*VLOOKUP('Données projet'!$B$10,Paramètres!$A$1:$I$89,5,0)</f>
        <v>0</v>
      </c>
      <c r="AK76" s="14" t="e">
        <f t="shared" si="89"/>
        <v>#NUM!</v>
      </c>
      <c r="AL76" s="22" t="e">
        <f t="shared" si="58"/>
        <v>#NUM!</v>
      </c>
      <c r="AM76" s="62" t="e">
        <f t="shared" si="59"/>
        <v>#NUM!</v>
      </c>
      <c r="AN76" s="62">
        <f ca="1">AVERAGE(OFFSET($AM$3,0,0,'Données projet'!$E$10+1,1))-AVERAGE(OFFSET($H$3,0,0,'Données projet'!$E$10+1,1))</f>
        <v>60.374143206158408</v>
      </c>
      <c r="AO76" s="62">
        <f t="shared" si="90"/>
        <v>338.95520219048694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29.479196449754124</v>
      </c>
      <c r="AV76" s="23">
        <f>EXP(-LN(2)/25)*AV75+(1-EXP(-LN(2)/25))/(LN(2)/25)*Calculateur!AQ76*Calculateur!AS76*VLOOKUP('Données projet'!$B$10,Paramètres!$A$1:$I$89,3,0)*0.475*44/12</f>
        <v>4.7481391431028426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34.227335592856967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37.864319999999935</v>
      </c>
      <c r="D77" s="12">
        <f t="shared" si="86"/>
        <v>11.430789726834767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10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380.52365403170649</v>
      </c>
      <c r="H77" s="70">
        <f t="shared" si="56"/>
        <v>379.1889827742371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0</v>
      </c>
      <c r="N77" s="14">
        <f>IF('Données projet'!$A$36&gt;35,N76+M77-V76,IF(A77&lt;'Données projet'!$A$36,$K$205^A77,IF(A77='Données projet'!$A$36,'Données projet'!$B$36,N76+M77-V76)))</f>
        <v>0</v>
      </c>
      <c r="O77" s="14">
        <f>N77*VLOOKUP('Données projet'!$B$9,Paramètres!$A$1:$I$89,3,0)*VLOOKUP('Données projet'!$B$9,Paramètres!$A$1:$I$89,5,0)</f>
        <v>0</v>
      </c>
      <c r="P77" s="14" t="e">
        <f t="shared" si="87"/>
        <v>#NUM!</v>
      </c>
      <c r="Q77" s="22" t="e">
        <f t="shared" si="54"/>
        <v>#NUM!</v>
      </c>
      <c r="R77" s="62" t="e">
        <f t="shared" si="55"/>
        <v>#NUM!</v>
      </c>
      <c r="S77" s="62">
        <f ca="1">AVERAGE(OFFSET($R$3,0,0,'Données projet'!$E$9+1,1))-AVERAGE(OFFSET($H$3,0,0,'Données projet'!$E$9+1,1))</f>
        <v>61.920120153277935</v>
      </c>
      <c r="T77" s="62">
        <f t="shared" si="88"/>
        <v>346.77984765566453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29.543374663195742</v>
      </c>
      <c r="AA77" s="23">
        <f>EXP(-LN(2)/25)*AA76+(1-EXP(-LN(2)/25))/(LN(2)/25)*Calculateur!V77*Calculateur!X77*VLOOKUP('Données projet'!$B$9,Paramètres!$A$1:$I$89,3,0)*0.475*44/12</f>
        <v>4.7209299402862648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34.264304603482003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0</v>
      </c>
      <c r="AJ77" s="14">
        <f>AI77*VLOOKUP('Données projet'!$B$10,Paramètres!$A$1:$I$89,3,0)*VLOOKUP('Données projet'!$B$10,Paramètres!$A$1:$I$89,5,0)</f>
        <v>0</v>
      </c>
      <c r="AK77" s="14" t="e">
        <f t="shared" si="89"/>
        <v>#NUM!</v>
      </c>
      <c r="AL77" s="22" t="e">
        <f t="shared" si="58"/>
        <v>#NUM!</v>
      </c>
      <c r="AM77" s="62" t="e">
        <f t="shared" si="59"/>
        <v>#NUM!</v>
      </c>
      <c r="AN77" s="62">
        <f ca="1">AVERAGE(OFFSET($AM$3,0,0,'Données projet'!$E$10+1,1))-AVERAGE(OFFSET($H$3,0,0,'Données projet'!$E$10+1,1))</f>
        <v>60.374143206158408</v>
      </c>
      <c r="AO77" s="62">
        <f t="shared" si="90"/>
        <v>338.95520219048694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28.901127387908851</v>
      </c>
      <c r="AV77" s="23">
        <f>EXP(-LN(2)/25)*AV76+(1-EXP(-LN(2)/25))/(LN(2)/25)*Calculateur!AQ77*Calculateur!AS77*VLOOKUP('Données projet'!$B$10,Paramètres!$A$1:$I$89,3,0)*0.475*44/12</f>
        <v>4.6183010285409098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33.519428416449763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38.375999999999934</v>
      </c>
      <c r="D78" s="12">
        <f t="shared" si="86"/>
        <v>11.567172723592845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10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385.52624558562849</v>
      </c>
      <c r="H78" s="70">
        <f t="shared" si="56"/>
        <v>380.31769249359076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0</v>
      </c>
      <c r="N78" s="14">
        <f>IF('Données projet'!$A$36&gt;35,N77+M78-V77,IF(A78&lt;'Données projet'!$A$36,$K$205^A78,IF(A78='Données projet'!$A$36,'Données projet'!$B$36,N77+M78-V77)))</f>
        <v>0</v>
      </c>
      <c r="O78" s="14">
        <f>N78*VLOOKUP('Données projet'!$B$9,Paramètres!$A$1:$I$89,3,0)*VLOOKUP('Données projet'!$B$9,Paramètres!$A$1:$I$89,5,0)</f>
        <v>0</v>
      </c>
      <c r="P78" s="14" t="e">
        <f t="shared" si="87"/>
        <v>#NUM!</v>
      </c>
      <c r="Q78" s="22" t="e">
        <f t="shared" si="54"/>
        <v>#NUM!</v>
      </c>
      <c r="R78" s="62" t="e">
        <f t="shared" si="55"/>
        <v>#NUM!</v>
      </c>
      <c r="S78" s="62">
        <f ca="1">AVERAGE(OFFSET($R$3,0,0,'Données projet'!$E$9+1,1))-AVERAGE(OFFSET($H$3,0,0,'Données projet'!$E$9+1,1))</f>
        <v>61.920120153277935</v>
      </c>
      <c r="T78" s="62">
        <f t="shared" si="88"/>
        <v>346.77984765566453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28.964047105729723</v>
      </c>
      <c r="AA78" s="23">
        <f>EXP(-LN(2)/25)*AA77+(1-EXP(-LN(2)/25))/(LN(2)/25)*Calculateur!V78*Calculateur!X78*VLOOKUP('Données projet'!$B$9,Paramètres!$A$1:$I$89,3,0)*0.475*44/12</f>
        <v>4.5918358628062208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33.55588296853594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0</v>
      </c>
      <c r="AJ78" s="14">
        <f>AI78*VLOOKUP('Données projet'!$B$10,Paramètres!$A$1:$I$89,3,0)*VLOOKUP('Données projet'!$B$10,Paramètres!$A$1:$I$89,5,0)</f>
        <v>0</v>
      </c>
      <c r="AK78" s="14" t="e">
        <f t="shared" si="89"/>
        <v>#NUM!</v>
      </c>
      <c r="AL78" s="22" t="e">
        <f t="shared" si="58"/>
        <v>#NUM!</v>
      </c>
      <c r="AM78" s="62" t="e">
        <f t="shared" si="59"/>
        <v>#NUM!</v>
      </c>
      <c r="AN78" s="62">
        <f ca="1">AVERAGE(OFFSET($AM$3,0,0,'Données projet'!$E$10+1,1))-AVERAGE(OFFSET($H$3,0,0,'Données projet'!$E$10+1,1))</f>
        <v>60.374143206158408</v>
      </c>
      <c r="AO78" s="62">
        <f t="shared" si="90"/>
        <v>338.95520219048694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28.334393907779049</v>
      </c>
      <c r="AV78" s="23">
        <f>EXP(-LN(2)/25)*AV77+(1-EXP(-LN(2)/25))/(LN(2)/25)*Calculateur!AQ78*Calculateur!AS78*VLOOKUP('Données projet'!$B$10,Paramètres!$A$1:$I$89,3,0)*0.475*44/12</f>
        <v>4.4920133440495631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32.826407251828613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38.887679999999932</v>
      </c>
      <c r="D79" s="12">
        <f t="shared" si="86"/>
        <v>11.703344211481344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10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390.52720443950466</v>
      </c>
      <c r="H79" s="70">
        <f t="shared" si="56"/>
        <v>381.44603383499651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0</v>
      </c>
      <c r="N79" s="14">
        <f>IF('Données projet'!$A$36&gt;35,N78+M79-V78,IF(A79&lt;'Données projet'!$A$36,$K$205^A79,IF(A79='Données projet'!$A$36,'Données projet'!$B$36,N78+M79-V78)))</f>
        <v>0</v>
      </c>
      <c r="O79" s="14">
        <f>N79*VLOOKUP('Données projet'!$B$9,Paramètres!$A$1:$I$89,3,0)*VLOOKUP('Données projet'!$B$9,Paramètres!$A$1:$I$89,5,0)</f>
        <v>0</v>
      </c>
      <c r="P79" s="14" t="e">
        <f t="shared" si="87"/>
        <v>#NUM!</v>
      </c>
      <c r="Q79" s="22" t="e">
        <f t="shared" si="54"/>
        <v>#NUM!</v>
      </c>
      <c r="R79" s="62" t="e">
        <f t="shared" si="55"/>
        <v>#NUM!</v>
      </c>
      <c r="S79" s="62">
        <f ca="1">AVERAGE(OFFSET($R$3,0,0,'Données projet'!$E$9+1,1))-AVERAGE(OFFSET($H$3,0,0,'Données projet'!$E$9+1,1))</f>
        <v>61.920120153277935</v>
      </c>
      <c r="T79" s="62">
        <f t="shared" si="88"/>
        <v>346.77984765566453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28.396079808310692</v>
      </c>
      <c r="AA79" s="23">
        <f>EXP(-LN(2)/25)*AA78+(1-EXP(-LN(2)/25))/(LN(2)/25)*Calculateur!V79*Calculateur!X79*VLOOKUP('Données projet'!$B$9,Paramètres!$A$1:$I$89,3,0)*0.475*44/12</f>
        <v>4.4662718696636317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32.862351677974324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0</v>
      </c>
      <c r="AJ79" s="14">
        <f>AI79*VLOOKUP('Données projet'!$B$10,Paramètres!$A$1:$I$89,3,0)*VLOOKUP('Données projet'!$B$10,Paramètres!$A$1:$I$89,5,0)</f>
        <v>0</v>
      </c>
      <c r="AK79" s="14" t="e">
        <f t="shared" si="89"/>
        <v>#NUM!</v>
      </c>
      <c r="AL79" s="22" t="e">
        <f t="shared" si="58"/>
        <v>#NUM!</v>
      </c>
      <c r="AM79" s="62" t="e">
        <f t="shared" si="59"/>
        <v>#NUM!</v>
      </c>
      <c r="AN79" s="62">
        <f ca="1">AVERAGE(OFFSET($AM$3,0,0,'Données projet'!$E$10+1,1))-AVERAGE(OFFSET($H$3,0,0,'Données projet'!$E$10+1,1))</f>
        <v>60.374143206158408</v>
      </c>
      <c r="AO79" s="62">
        <f t="shared" si="90"/>
        <v>338.95520219048694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27.778773725521301</v>
      </c>
      <c r="AV79" s="23">
        <f>EXP(-LN(2)/25)*AV78+(1-EXP(-LN(2)/25))/(LN(2)/25)*Calculateur!AQ79*Calculateur!AS79*VLOOKUP('Données projet'!$B$10,Paramètres!$A$1:$I$89,3,0)*0.475*44/12</f>
        <v>4.3691790029318129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32.147952728453113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39.39935999999993</v>
      </c>
      <c r="D80" s="12">
        <f t="shared" si="86"/>
        <v>11.839307295256422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10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395.5265545598736</v>
      </c>
      <c r="H80" s="70">
        <f t="shared" si="56"/>
        <v>382.57401220590475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0</v>
      </c>
      <c r="N80" s="14">
        <f>IF('Données projet'!$A$36&gt;35,N79+M80-V79,IF(A80&lt;'Données projet'!$A$36,$K$205^A80,IF(A80='Données projet'!$A$36,'Données projet'!$B$36,N79+M80-V79)))</f>
        <v>0</v>
      </c>
      <c r="O80" s="14">
        <f>N80*VLOOKUP('Données projet'!$B$9,Paramètres!$A$1:$I$89,3,0)*VLOOKUP('Données projet'!$B$9,Paramètres!$A$1:$I$89,5,0)</f>
        <v>0</v>
      </c>
      <c r="P80" s="14" t="e">
        <f t="shared" si="87"/>
        <v>#NUM!</v>
      </c>
      <c r="Q80" s="22" t="e">
        <f t="shared" si="54"/>
        <v>#NUM!</v>
      </c>
      <c r="R80" s="62" t="e">
        <f t="shared" si="55"/>
        <v>#NUM!</v>
      </c>
      <c r="S80" s="62">
        <f ca="1">AVERAGE(OFFSET($R$3,0,0,'Données projet'!$E$9+1,1))-AVERAGE(OFFSET($H$3,0,0,'Données projet'!$E$9+1,1))</f>
        <v>61.920120153277935</v>
      </c>
      <c r="T80" s="62">
        <f t="shared" si="88"/>
        <v>346.77984765566453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27.839250003168203</v>
      </c>
      <c r="AA80" s="23">
        <f>EXP(-LN(2)/25)*AA79+(1-EXP(-LN(2)/25))/(LN(2)/25)*Calculateur!V80*Calculateur!X80*VLOOKUP('Données projet'!$B$9,Paramètres!$A$1:$I$89,3,0)*0.475*44/12</f>
        <v>4.3441414305166495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32.183391433684854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0</v>
      </c>
      <c r="AJ80" s="14">
        <f>AI80*VLOOKUP('Données projet'!$B$10,Paramètres!$A$1:$I$89,3,0)*VLOOKUP('Données projet'!$B$10,Paramètres!$A$1:$I$89,5,0)</f>
        <v>0</v>
      </c>
      <c r="AK80" s="14" t="e">
        <f t="shared" si="89"/>
        <v>#NUM!</v>
      </c>
      <c r="AL80" s="22" t="e">
        <f t="shared" si="58"/>
        <v>#NUM!</v>
      </c>
      <c r="AM80" s="62" t="e">
        <f t="shared" si="59"/>
        <v>#NUM!</v>
      </c>
      <c r="AN80" s="62">
        <f ca="1">AVERAGE(OFFSET($AM$3,0,0,'Données projet'!$E$10+1,1))-AVERAGE(OFFSET($H$3,0,0,'Données projet'!$E$10+1,1))</f>
        <v>60.374143206158408</v>
      </c>
      <c r="AO80" s="62">
        <f t="shared" si="90"/>
        <v>338.95520219048694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27.234048916142783</v>
      </c>
      <c r="AV80" s="23">
        <f>EXP(-LN(2)/25)*AV79+(1-EXP(-LN(2)/25))/(LN(2)/25)*Calculateur!AQ80*Calculateur!AS80*VLOOKUP('Données projet'!$B$10,Paramètres!$A$1:$I$89,3,0)*0.475*44/12</f>
        <v>4.2497035733315043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31.483752489474288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39.911039999999929</v>
      </c>
      <c r="D81" s="12">
        <f t="shared" si="86"/>
        <v>11.975064994395105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10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400.52431925497922</v>
      </c>
      <c r="H81" s="70">
        <f t="shared" si="56"/>
        <v>383.70163286523797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0</v>
      </c>
      <c r="N81" s="14">
        <f>IF('Données projet'!$A$36&gt;35,N80+M81-V80,IF(A81&lt;'Données projet'!$A$36,$K$205^A81,IF(A81='Données projet'!$A$36,'Données projet'!$B$36,N80+M81-V80)))</f>
        <v>0</v>
      </c>
      <c r="O81" s="14">
        <f>N81*VLOOKUP('Données projet'!$B$9,Paramètres!$A$1:$I$89,3,0)*VLOOKUP('Données projet'!$B$9,Paramètres!$A$1:$I$89,5,0)</f>
        <v>0</v>
      </c>
      <c r="P81" s="14" t="e">
        <f t="shared" si="87"/>
        <v>#NUM!</v>
      </c>
      <c r="Q81" s="22" t="e">
        <f t="shared" si="54"/>
        <v>#NUM!</v>
      </c>
      <c r="R81" s="62" t="e">
        <f t="shared" si="55"/>
        <v>#NUM!</v>
      </c>
      <c r="S81" s="62">
        <f ca="1">AVERAGE(OFFSET($R$3,0,0,'Données projet'!$E$9+1,1))-AVERAGE(OFFSET($H$3,0,0,'Données projet'!$E$9+1,1))</f>
        <v>61.920120153277935</v>
      </c>
      <c r="T81" s="62">
        <f t="shared" si="88"/>
        <v>346.77984765566453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27.293339290871916</v>
      </c>
      <c r="AA81" s="23">
        <f>EXP(-LN(2)/25)*AA80+(1-EXP(-LN(2)/25))/(LN(2)/25)*Calculateur!V81*Calculateur!X81*VLOOKUP('Données projet'!$B$9,Paramètres!$A$1:$I$89,3,0)*0.475*44/12</f>
        <v>4.2253506546507023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31.518689945522617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0</v>
      </c>
      <c r="AJ81" s="14">
        <f>AI81*VLOOKUP('Données projet'!$B$10,Paramètres!$A$1:$I$89,3,0)*VLOOKUP('Données projet'!$B$10,Paramètres!$A$1:$I$89,5,0)</f>
        <v>0</v>
      </c>
      <c r="AK81" s="14" t="e">
        <f t="shared" si="89"/>
        <v>#NUM!</v>
      </c>
      <c r="AL81" s="22" t="e">
        <f t="shared" si="58"/>
        <v>#NUM!</v>
      </c>
      <c r="AM81" s="62" t="e">
        <f t="shared" si="59"/>
        <v>#NUM!</v>
      </c>
      <c r="AN81" s="62">
        <f ca="1">AVERAGE(OFFSET($AM$3,0,0,'Données projet'!$E$10+1,1))-AVERAGE(OFFSET($H$3,0,0,'Données projet'!$E$10+1,1))</f>
        <v>60.374143206158408</v>
      </c>
      <c r="AO81" s="62">
        <f t="shared" si="90"/>
        <v>338.95520219048694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26.70000582802685</v>
      </c>
      <c r="AV81" s="23">
        <f>EXP(-LN(2)/25)*AV80+(1-EXP(-LN(2)/25))/(LN(2)/25)*Calculateur!AQ81*Calculateur!AS81*VLOOKUP('Données projet'!$B$10,Paramètres!$A$1:$I$89,3,0)*0.475*44/12</f>
        <v>4.1334952056365566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30.833501033663406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40.422719999999927</v>
      </c>
      <c r="D82" s="12">
        <f t="shared" si="86"/>
        <v>12.110620246500391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10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405.52052120105509</v>
      </c>
      <c r="H82" s="70">
        <f t="shared" si="56"/>
        <v>384.82890092932138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0</v>
      </c>
      <c r="N82" s="14">
        <f>IF('Données projet'!$A$36&gt;35,N81+M82-V81,IF(A82&lt;'Données projet'!$A$36,$K$205^A82,IF(A82='Données projet'!$A$36,'Données projet'!$B$36,N81+M82-V81)))</f>
        <v>0</v>
      </c>
      <c r="O82" s="14">
        <f>N82*VLOOKUP('Données projet'!$B$9,Paramètres!$A$1:$I$89,3,0)*VLOOKUP('Données projet'!$B$9,Paramètres!$A$1:$I$89,5,0)</f>
        <v>0</v>
      </c>
      <c r="P82" s="14" t="e">
        <f t="shared" si="87"/>
        <v>#NUM!</v>
      </c>
      <c r="Q82" s="22" t="e">
        <f t="shared" si="54"/>
        <v>#NUM!</v>
      </c>
      <c r="R82" s="62" t="e">
        <f t="shared" si="55"/>
        <v>#NUM!</v>
      </c>
      <c r="S82" s="62">
        <f ca="1">AVERAGE(OFFSET($R$3,0,0,'Données projet'!$E$9+1,1))-AVERAGE(OFFSET($H$3,0,0,'Données projet'!$E$9+1,1))</f>
        <v>61.920120153277935</v>
      </c>
      <c r="T82" s="62">
        <f t="shared" si="88"/>
        <v>346.77984765566453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26.758133554671101</v>
      </c>
      <c r="AA82" s="23">
        <f>EXP(-LN(2)/25)*AA81+(1-EXP(-LN(2)/25))/(LN(2)/25)*Calculateur!V82*Calculateur!X82*VLOOKUP('Données projet'!$B$9,Paramètres!$A$1:$I$89,3,0)*0.475*44/12</f>
        <v>4.1098082187977454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30.867941773468846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0</v>
      </c>
      <c r="AJ82" s="14">
        <f>AI82*VLOOKUP('Données projet'!$B$10,Paramètres!$A$1:$I$89,3,0)*VLOOKUP('Données projet'!$B$10,Paramètres!$A$1:$I$89,5,0)</f>
        <v>0</v>
      </c>
      <c r="AK82" s="14" t="e">
        <f t="shared" si="89"/>
        <v>#NUM!</v>
      </c>
      <c r="AL82" s="22" t="e">
        <f t="shared" si="58"/>
        <v>#NUM!</v>
      </c>
      <c r="AM82" s="62" t="e">
        <f t="shared" si="59"/>
        <v>#NUM!</v>
      </c>
      <c r="AN82" s="62">
        <f ca="1">AVERAGE(OFFSET($AM$3,0,0,'Données projet'!$E$10+1,1))-AVERAGE(OFFSET($H$3,0,0,'Données projet'!$E$10+1,1))</f>
        <v>60.374143206158408</v>
      </c>
      <c r="AO82" s="62">
        <f t="shared" si="90"/>
        <v>338.95520219048694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26.176434999134749</v>
      </c>
      <c r="AV82" s="23">
        <f>EXP(-LN(2)/25)*AV81+(1-EXP(-LN(2)/25))/(LN(2)/25)*Calculateur!AQ82*Calculateur!AS82*VLOOKUP('Données projet'!$B$10,Paramètres!$A$1:$I$89,3,0)*0.475*44/12</f>
        <v>4.0204645618673593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30.196899561002109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40.934399999999926</v>
      </c>
      <c r="D83" s="12">
        <f t="shared" si="86"/>
        <v>12.245975910528946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10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410.51518246724049</v>
      </c>
      <c r="H83" s="70">
        <f t="shared" si="56"/>
        <v>385.95582137750444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0</v>
      </c>
      <c r="N83" s="14">
        <f>IF('Données projet'!$A$36&gt;35,N82+M83-V82,IF(A83&lt;'Données projet'!$A$36,$K$205^A83,IF(A83='Données projet'!$A$36,'Données projet'!$B$36,N82+M83-V82)))</f>
        <v>0</v>
      </c>
      <c r="O83" s="14">
        <f>N83*VLOOKUP('Données projet'!$B$9,Paramètres!$A$1:$I$89,3,0)*VLOOKUP('Données projet'!$B$9,Paramètres!$A$1:$I$89,5,0)</f>
        <v>0</v>
      </c>
      <c r="P83" s="14" t="e">
        <f t="shared" si="87"/>
        <v>#NUM!</v>
      </c>
      <c r="Q83" s="22" t="e">
        <f t="shared" si="54"/>
        <v>#NUM!</v>
      </c>
      <c r="R83" s="62" t="e">
        <f t="shared" si="55"/>
        <v>#NUM!</v>
      </c>
      <c r="S83" s="62">
        <f ca="1">AVERAGE(OFFSET($R$3,0,0,'Données projet'!$E$9+1,1))-AVERAGE(OFFSET($H$3,0,0,'Données projet'!$E$9+1,1))</f>
        <v>61.920120153277935</v>
      </c>
      <c r="T83" s="62">
        <f t="shared" si="88"/>
        <v>346.77984765566453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26.23342287651392</v>
      </c>
      <c r="AA83" s="23">
        <f>EXP(-LN(2)/25)*AA82+(1-EXP(-LN(2)/25))/(LN(2)/25)*Calculateur!V83*Calculateur!X83*VLOOKUP('Données projet'!$B$9,Paramètres!$A$1:$I$89,3,0)*0.475*44/12</f>
        <v>3.9974252969293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30.230848173443221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0</v>
      </c>
      <c r="AJ83" s="14">
        <f>AI83*VLOOKUP('Données projet'!$B$10,Paramètres!$A$1:$I$89,3,0)*VLOOKUP('Données projet'!$B$10,Paramètres!$A$1:$I$89,5,0)</f>
        <v>0</v>
      </c>
      <c r="AK83" s="14" t="e">
        <f t="shared" si="89"/>
        <v>#NUM!</v>
      </c>
      <c r="AL83" s="22" t="e">
        <f t="shared" si="58"/>
        <v>#NUM!</v>
      </c>
      <c r="AM83" s="62" t="e">
        <f t="shared" si="59"/>
        <v>#NUM!</v>
      </c>
      <c r="AN83" s="62">
        <f ca="1">AVERAGE(OFFSET($AM$3,0,0,'Données projet'!$E$10+1,1))-AVERAGE(OFFSET($H$3,0,0,'Données projet'!$E$10+1,1))</f>
        <v>60.374143206158408</v>
      </c>
      <c r="AO83" s="62">
        <f t="shared" si="90"/>
        <v>338.95520219048694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25.663131074850551</v>
      </c>
      <c r="AV83" s="23">
        <f>EXP(-LN(2)/25)*AV82+(1-EXP(-LN(2)/25))/(LN(2)/25)*Calculateur!AQ83*Calculateur!AS83*VLOOKUP('Données projet'!$B$10,Paramètres!$A$1:$I$89,3,0)*0.475*44/12</f>
        <v>3.910524746996054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29.573655821846604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41.446079999999924</v>
      </c>
      <c r="D84" s="12">
        <f t="shared" si="86"/>
        <v>12.381134769852867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10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415.50832453921453</v>
      </c>
      <c r="H84" s="70">
        <f t="shared" si="56"/>
        <v>387.0823990574936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0</v>
      </c>
      <c r="N84" s="14">
        <f>IF('Données projet'!$A$36&gt;35,N83+M84-V83,IF(A84&lt;'Données projet'!$A$36,$K$205^A84,IF(A84='Données projet'!$A$36,'Données projet'!$B$36,N83+M84-V83)))</f>
        <v>0</v>
      </c>
      <c r="O84" s="14">
        <f>N84*VLOOKUP('Données projet'!$B$9,Paramètres!$A$1:$I$89,3,0)*VLOOKUP('Données projet'!$B$9,Paramètres!$A$1:$I$89,5,0)</f>
        <v>0</v>
      </c>
      <c r="P84" s="14" t="e">
        <f t="shared" si="87"/>
        <v>#NUM!</v>
      </c>
      <c r="Q84" s="22" t="e">
        <f t="shared" si="54"/>
        <v>#NUM!</v>
      </c>
      <c r="R84" s="62" t="e">
        <f t="shared" si="55"/>
        <v>#NUM!</v>
      </c>
      <c r="S84" s="62">
        <f ca="1">AVERAGE(OFFSET($R$3,0,0,'Données projet'!$E$9+1,1))-AVERAGE(OFFSET($H$3,0,0,'Données projet'!$E$9+1,1))</f>
        <v>61.920120153277935</v>
      </c>
      <c r="T84" s="62">
        <f t="shared" si="88"/>
        <v>346.77984765566453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25.719001454713489</v>
      </c>
      <c r="AA84" s="23">
        <f>EXP(-LN(2)/25)*AA83+(1-EXP(-LN(2)/25))/(LN(2)/25)*Calculateur!V84*Calculateur!X84*VLOOKUP('Données projet'!$B$9,Paramètres!$A$1:$I$89,3,0)*0.475*44/12</f>
        <v>3.8881154919693084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29.607116946682797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0</v>
      </c>
      <c r="AJ84" s="14">
        <f>AI84*VLOOKUP('Données projet'!$B$10,Paramètres!$A$1:$I$89,3,0)*VLOOKUP('Données projet'!$B$10,Paramètres!$A$1:$I$89,5,0)</f>
        <v>0</v>
      </c>
      <c r="AK84" s="14" t="e">
        <f t="shared" si="89"/>
        <v>#NUM!</v>
      </c>
      <c r="AL84" s="22" t="e">
        <f t="shared" si="58"/>
        <v>#NUM!</v>
      </c>
      <c r="AM84" s="62" t="e">
        <f t="shared" si="59"/>
        <v>#NUM!</v>
      </c>
      <c r="AN84" s="62">
        <f ca="1">AVERAGE(OFFSET($AM$3,0,0,'Données projet'!$E$10+1,1))-AVERAGE(OFFSET($H$3,0,0,'Données projet'!$E$10+1,1))</f>
        <v>60.374143206158408</v>
      </c>
      <c r="AO84" s="62">
        <f t="shared" si="90"/>
        <v>338.95520219048694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25.159892727437086</v>
      </c>
      <c r="AV84" s="23">
        <f>EXP(-LN(2)/25)*AV83+(1-EXP(-LN(2)/25))/(LN(2)/25)*Calculateur!AQ84*Calculateur!AS84*VLOOKUP('Données projet'!$B$10,Paramètres!$A$1:$I$89,3,0)*0.475*44/12</f>
        <v>3.803591242143888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28.963483969580974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41.957759999999922</v>
      </c>
      <c r="D85" s="12">
        <f t="shared" si="86"/>
        <v>12.51609953516596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10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420.49996834163147</v>
      </c>
      <c r="H85" s="70">
        <f t="shared" si="56"/>
        <v>388.20863869041392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0</v>
      </c>
      <c r="N85" s="14">
        <f>IF('Données projet'!$A$36&gt;35,N84+M85-V84,IF(A85&lt;'Données projet'!$A$36,$K$205^A85,IF(A85='Données projet'!$A$36,'Données projet'!$B$36,N84+M85-V84)))</f>
        <v>0</v>
      </c>
      <c r="O85" s="14">
        <f>N85*VLOOKUP('Données projet'!$B$9,Paramètres!$A$1:$I$89,3,0)*VLOOKUP('Données projet'!$B$9,Paramètres!$A$1:$I$89,5,0)</f>
        <v>0</v>
      </c>
      <c r="P85" s="14" t="e">
        <f t="shared" si="87"/>
        <v>#NUM!</v>
      </c>
      <c r="Q85" s="22" t="e">
        <f t="shared" si="54"/>
        <v>#NUM!</v>
      </c>
      <c r="R85" s="62" t="e">
        <f t="shared" si="55"/>
        <v>#NUM!</v>
      </c>
      <c r="S85" s="62">
        <f ca="1">AVERAGE(OFFSET($R$3,0,0,'Données projet'!$E$9+1,1))-AVERAGE(OFFSET($H$3,0,0,'Données projet'!$E$9+1,1))</f>
        <v>61.920120153277935</v>
      </c>
      <c r="T85" s="62">
        <f t="shared" si="88"/>
        <v>346.77984765566453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25.214667523228478</v>
      </c>
      <c r="AA85" s="23">
        <f>EXP(-LN(2)/25)*AA84+(1-EXP(-LN(2)/25))/(LN(2)/25)*Calculateur!V85*Calculateur!X85*VLOOKUP('Données projet'!$B$9,Paramètres!$A$1:$I$89,3,0)*0.475*44/12</f>
        <v>3.7817947693743004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28.996462292602779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0</v>
      </c>
      <c r="AJ85" s="14">
        <f>AI85*VLOOKUP('Données projet'!$B$10,Paramètres!$A$1:$I$89,3,0)*VLOOKUP('Données projet'!$B$10,Paramètres!$A$1:$I$89,5,0)</f>
        <v>0</v>
      </c>
      <c r="AK85" s="14" t="e">
        <f t="shared" si="89"/>
        <v>#NUM!</v>
      </c>
      <c r="AL85" s="22" t="e">
        <f t="shared" si="58"/>
        <v>#NUM!</v>
      </c>
      <c r="AM85" s="62" t="e">
        <f t="shared" si="59"/>
        <v>#NUM!</v>
      </c>
      <c r="AN85" s="62">
        <f ca="1">AVERAGE(OFFSET($AM$3,0,0,'Données projet'!$E$10+1,1))-AVERAGE(OFFSET($H$3,0,0,'Données projet'!$E$10+1,1))</f>
        <v>60.374143206158408</v>
      </c>
      <c r="AO85" s="62">
        <f t="shared" si="90"/>
        <v>338.95520219048694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24.666522577071316</v>
      </c>
      <c r="AV85" s="23">
        <f>EXP(-LN(2)/25)*AV84+(1-EXP(-LN(2)/25))/(LN(2)/25)*Calculateur!AQ85*Calculateur!AS85*VLOOKUP('Données projet'!$B$10,Paramètres!$A$1:$I$89,3,0)*0.475*44/12</f>
        <v>3.6995818396052931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28.36610441667661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42.469439999999921</v>
      </c>
      <c r="D86" s="12">
        <f t="shared" si="86"/>
        <v>12.650872847244136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10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425.49013425942786</v>
      </c>
      <c r="H86" s="70">
        <f t="shared" si="56"/>
        <v>389.3345448756167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61.920120153277935</v>
      </c>
      <c r="T86" s="62">
        <f t="shared" si="88"/>
        <v>346.77984765566453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24.720223272526564</v>
      </c>
      <c r="AA86" s="23">
        <f>EXP(-LN(2)/25)*AA85+(1-EXP(-LN(2)/25))/(LN(2)/25)*Calculateur!V86*Calculateur!X86*VLOOKUP('Données projet'!$B$9,Paramètres!$A$1:$I$89,3,0)*0.475*44/12</f>
        <v>3.6783813925298166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28.398604665056382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0</v>
      </c>
      <c r="AJ86" s="14">
        <f>AI86*VLOOKUP('Données projet'!$B$10,Paramètres!$A$1:$I$89,3,0)*VLOOKUP('Données projet'!$B$10,Paramètres!$A$1:$I$89,5,0)</f>
        <v>0</v>
      </c>
      <c r="AK86" s="14" t="e">
        <f t="shared" si="89"/>
        <v>#NUM!</v>
      </c>
      <c r="AL86" s="22" t="e">
        <f t="shared" si="58"/>
        <v>#NUM!</v>
      </c>
      <c r="AM86" s="62" t="e">
        <f t="shared" si="59"/>
        <v>#NUM!</v>
      </c>
      <c r="AN86" s="62">
        <f ca="1">AVERAGE(OFFSET($AM$3,0,0,'Données projet'!$E$10+1,1))-AVERAGE(OFFSET($H$3,0,0,'Données projet'!$E$10+1,1))</f>
        <v>60.374143206158408</v>
      </c>
      <c r="AO86" s="62">
        <f t="shared" si="90"/>
        <v>338.95520219048694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24.182827114428139</v>
      </c>
      <c r="AV86" s="23">
        <f>EXP(-LN(2)/25)*AV85+(1-EXP(-LN(2)/25))/(LN(2)/25)*Calculateur!AQ86*Calculateur!AS86*VLOOKUP('Données projet'!$B$10,Paramètres!$A$1:$I$89,3,0)*0.475*44/12</f>
        <v>3.5984165796487328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27.781243694076871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42.981119999999919</v>
      </c>
      <c r="D87" s="12">
        <f t="shared" si="86"/>
        <v>12.785457279569069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10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430.47884215807647</v>
      </c>
      <c r="H87" s="70">
        <f t="shared" si="56"/>
        <v>390.46012209524929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61.920120153277935</v>
      </c>
      <c r="T87" s="62">
        <f t="shared" si="88"/>
        <v>346.77984765566453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24.235474771999701</v>
      </c>
      <c r="AA87" s="23">
        <f>EXP(-LN(2)/25)*AA86+(1-EXP(-LN(2)/25))/(LN(2)/25)*Calculateur!V87*Calculateur!X87*VLOOKUP('Données projet'!$B$9,Paramètres!$A$1:$I$89,3,0)*0.475*44/12</f>
        <v>3.5777958599134183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27.81327063191312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0</v>
      </c>
      <c r="AJ87" s="14">
        <f>AI87*VLOOKUP('Données projet'!$B$10,Paramètres!$A$1:$I$89,3,0)*VLOOKUP('Données projet'!$B$10,Paramètres!$A$1:$I$89,5,0)</f>
        <v>0</v>
      </c>
      <c r="AK87" s="14" t="e">
        <f t="shared" si="89"/>
        <v>#NUM!</v>
      </c>
      <c r="AL87" s="22" t="e">
        <f t="shared" si="58"/>
        <v>#NUM!</v>
      </c>
      <c r="AM87" s="62" t="e">
        <f t="shared" si="59"/>
        <v>#NUM!</v>
      </c>
      <c r="AN87" s="62">
        <f ca="1">AVERAGE(OFFSET($AM$3,0,0,'Données projet'!$E$10+1,1))-AVERAGE(OFFSET($H$3,0,0,'Données projet'!$E$10+1,1))</f>
        <v>60.374143206158408</v>
      </c>
      <c r="AO87" s="62">
        <f t="shared" si="90"/>
        <v>338.95520219048694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23.708616624782294</v>
      </c>
      <c r="AV87" s="23">
        <f>EXP(-LN(2)/25)*AV86+(1-EXP(-LN(2)/25))/(LN(2)/25)*Calculateur!AQ87*Calculateur!AS87*VLOOKUP('Données projet'!$B$10,Paramètres!$A$1:$I$89,3,0)*0.475*44/12</f>
        <v>3.5000176890457344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27.208634313828028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43.492799999999917</v>
      </c>
      <c r="D88" s="12">
        <f t="shared" si="86"/>
        <v>12.919855340823286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10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435.46611140284585</v>
      </c>
      <c r="H88" s="70">
        <f t="shared" si="56"/>
        <v>391.58537471860041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61.920120153277935</v>
      </c>
      <c r="T88" s="62">
        <f t="shared" si="88"/>
        <v>346.77984765566453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23.76023189390078</v>
      </c>
      <c r="AA88" s="23">
        <f>EXP(-LN(2)/25)*AA87+(1-EXP(-LN(2)/25))/(LN(2)/25)*Calculateur!V88*Calculateur!X88*VLOOKUP('Données projet'!$B$9,Paramètres!$A$1:$I$89,3,0)*0.475*44/12</f>
        <v>3.4799608439759786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27.240192737876757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0</v>
      </c>
      <c r="AJ88" s="14">
        <f>AI88*VLOOKUP('Données projet'!$B$10,Paramètres!$A$1:$I$89,3,0)*VLOOKUP('Données projet'!$B$10,Paramètres!$A$1:$I$89,5,0)</f>
        <v>0</v>
      </c>
      <c r="AK88" s="14" t="e">
        <f t="shared" si="89"/>
        <v>#NUM!</v>
      </c>
      <c r="AL88" s="22" t="e">
        <f t="shared" si="58"/>
        <v>#NUM!</v>
      </c>
      <c r="AM88" s="62" t="e">
        <f t="shared" si="59"/>
        <v>#NUM!</v>
      </c>
      <c r="AN88" s="62">
        <f ca="1">AVERAGE(OFFSET($AM$3,0,0,'Données projet'!$E$10+1,1))-AVERAGE(OFFSET($H$3,0,0,'Données projet'!$E$10+1,1))</f>
        <v>60.374143206158408</v>
      </c>
      <c r="AO88" s="62">
        <f t="shared" si="90"/>
        <v>338.95520219048694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23.243705113598566</v>
      </c>
      <c r="AV88" s="23">
        <f>EXP(-LN(2)/25)*AV87+(1-EXP(-LN(2)/25))/(LN(2)/25)*Calculateur!AQ88*Calculateur!AS88*VLOOKUP('Données projet'!$B$10,Paramètres!$A$1:$I$89,3,0)*0.475*44/12</f>
        <v>3.4043095212808479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26.648014634879413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44.004479999999916</v>
      </c>
      <c r="D89" s="12">
        <f t="shared" si="86"/>
        <v>13.054069477264541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10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440.45196087712912</v>
      </c>
      <c r="H89" s="70">
        <f t="shared" si="56"/>
        <v>392.71030700623555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61.920120153277935</v>
      </c>
      <c r="T89" s="62">
        <f t="shared" si="88"/>
        <v>346.77984765566453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23.294308238771844</v>
      </c>
      <c r="AA89" s="23">
        <f>EXP(-LN(2)/25)*AA88+(1-EXP(-LN(2)/25))/(LN(2)/25)*Calculateur!V89*Calculateur!X89*VLOOKUP('Données projet'!$B$9,Paramètres!$A$1:$I$89,3,0)*0.475*44/12</f>
        <v>3.3848011316942683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26.679109370466112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0</v>
      </c>
      <c r="AJ89" s="14">
        <f>AI89*VLOOKUP('Données projet'!$B$10,Paramètres!$A$1:$I$89,3,0)*VLOOKUP('Données projet'!$B$10,Paramètres!$A$1:$I$89,5,0)</f>
        <v>0</v>
      </c>
      <c r="AK89" s="14" t="e">
        <f t="shared" si="89"/>
        <v>#NUM!</v>
      </c>
      <c r="AL89" s="22" t="e">
        <f t="shared" si="58"/>
        <v>#NUM!</v>
      </c>
      <c r="AM89" s="62" t="e">
        <f t="shared" si="59"/>
        <v>#NUM!</v>
      </c>
      <c r="AN89" s="62">
        <f ca="1">AVERAGE(OFFSET($AM$3,0,0,'Données projet'!$E$10+1,1))-AVERAGE(OFFSET($H$3,0,0,'Données projet'!$E$10+1,1))</f>
        <v>60.374143206158408</v>
      </c>
      <c r="AO89" s="62">
        <f t="shared" si="90"/>
        <v>338.95520219048694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22.78791023358113</v>
      </c>
      <c r="AV89" s="23">
        <f>EXP(-LN(2)/25)*AV88+(1-EXP(-LN(2)/25))/(LN(2)/25)*Calculateur!AQ89*Calculateur!AS89*VLOOKUP('Données projet'!$B$10,Paramètres!$A$1:$I$89,3,0)*0.475*44/12</f>
        <v>3.311218498396566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26.099128731977697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44.516159999999914</v>
      </c>
      <c r="D90" s="12">
        <f t="shared" si="86"/>
        <v>13.18810207498659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10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445.43640899989583</v>
      </c>
      <c r="H90" s="70">
        <f t="shared" si="56"/>
        <v>393.83492311393479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61.920120153277935</v>
      </c>
      <c r="T90" s="62">
        <f t="shared" si="88"/>
        <v>346.77984765566453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22.837521062334616</v>
      </c>
      <c r="AA90" s="23">
        <f>EXP(-LN(2)/25)*AA89+(1-EXP(-LN(2)/25))/(LN(2)/25)*Calculateur!V90*Calculateur!X90*VLOOKUP('Données projet'!$B$9,Paramètres!$A$1:$I$89,3,0)*0.475*44/12</f>
        <v>3.292243566749133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26.129764629083748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0</v>
      </c>
      <c r="AJ90" s="14">
        <f>AI90*VLOOKUP('Données projet'!$B$10,Paramètres!$A$1:$I$89,3,0)*VLOOKUP('Données projet'!$B$10,Paramètres!$A$1:$I$89,5,0)</f>
        <v>0</v>
      </c>
      <c r="AK90" s="14" t="e">
        <f t="shared" si="89"/>
        <v>#NUM!</v>
      </c>
      <c r="AL90" s="22" t="e">
        <f t="shared" si="58"/>
        <v>#NUM!</v>
      </c>
      <c r="AM90" s="62" t="e">
        <f t="shared" si="59"/>
        <v>#NUM!</v>
      </c>
      <c r="AN90" s="62">
        <f ca="1">AVERAGE(OFFSET($AM$3,0,0,'Données projet'!$E$10+1,1))-AVERAGE(OFFSET($H$3,0,0,'Données projet'!$E$10+1,1))</f>
        <v>60.374143206158408</v>
      </c>
      <c r="AO90" s="62">
        <f t="shared" si="90"/>
        <v>338.95520219048694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22.341053213153408</v>
      </c>
      <c r="AV90" s="23">
        <f>EXP(-LN(2)/25)*AV89+(1-EXP(-LN(2)/25))/(LN(2)/25)*Calculateur!AQ90*Calculateur!AS90*VLOOKUP('Données projet'!$B$10,Paramètres!$A$1:$I$89,3,0)*0.475*44/12</f>
        <v>3.2206730544284992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25.561726267581907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45.027839999999912</v>
      </c>
      <c r="D91" s="12">
        <f t="shared" si="86"/>
        <v>13.32195546207303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10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450.41947374231745</v>
      </c>
      <c r="H91" s="70">
        <f t="shared" si="56"/>
        <v>394.95922709644367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61.920120153277935</v>
      </c>
      <c r="T91" s="62">
        <f t="shared" si="88"/>
        <v>346.77984765566453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22.389691203814657</v>
      </c>
      <c r="AA91" s="23">
        <f>EXP(-LN(2)/25)*AA90+(1-EXP(-LN(2)/25))/(LN(2)/25)*Calculateur!V91*Calculateur!X91*VLOOKUP('Données projet'!$B$9,Paramètres!$A$1:$I$89,3,0)*0.475*44/12</f>
        <v>3.2022169932848135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25.591908197099471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0</v>
      </c>
      <c r="AJ91" s="14">
        <f>AI91*VLOOKUP('Données projet'!$B$10,Paramètres!$A$1:$I$89,3,0)*VLOOKUP('Données projet'!$B$10,Paramètres!$A$1:$I$89,5,0)</f>
        <v>0</v>
      </c>
      <c r="AK91" s="14" t="e">
        <f t="shared" si="89"/>
        <v>#NUM!</v>
      </c>
      <c r="AL91" s="22" t="e">
        <f t="shared" si="58"/>
        <v>#NUM!</v>
      </c>
      <c r="AM91" s="62" t="e">
        <f t="shared" si="59"/>
        <v>#NUM!</v>
      </c>
      <c r="AN91" s="62">
        <f ca="1">AVERAGE(OFFSET($AM$3,0,0,'Données projet'!$E$10+1,1))-AVERAGE(OFFSET($H$3,0,0,'Données projet'!$E$10+1,1))</f>
        <v>60.374143206158408</v>
      </c>
      <c r="AO91" s="62">
        <f t="shared" si="90"/>
        <v>338.95520219048694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21.902958786340406</v>
      </c>
      <c r="AV91" s="23">
        <f>EXP(-LN(2)/25)*AV90+(1-EXP(-LN(2)/25))/(LN(2)/25)*Calculateur!AQ91*Calculateur!AS91*VLOOKUP('Données projet'!$B$10,Paramètres!$A$1:$I$89,3,0)*0.475*44/12</f>
        <v>3.1326035803873169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25.035562366727724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45.539519999999911</v>
      </c>
      <c r="D92" s="12">
        <f t="shared" si="86"/>
        <v>13.455631910650482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10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455.40117264361703</v>
      </c>
      <c r="H92" s="70">
        <f t="shared" si="56"/>
        <v>396.0832229110494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61.920120153277935</v>
      </c>
      <c r="T92" s="62">
        <f t="shared" si="88"/>
        <v>346.77984765566453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21.95064301567103</v>
      </c>
      <c r="AA92" s="23">
        <f>EXP(-LN(2)/25)*AA91+(1-EXP(-LN(2)/25))/(LN(2)/25)*Calculateur!V92*Calculateur!X92*VLOOKUP('Données projet'!$B$9,Paramètres!$A$1:$I$89,3,0)*0.475*44/12</f>
        <v>3.1146522012061673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25.065295216877196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0</v>
      </c>
      <c r="AJ92" s="14">
        <f>AI92*VLOOKUP('Données projet'!$B$10,Paramètres!$A$1:$I$89,3,0)*VLOOKUP('Données projet'!$B$10,Paramètres!$A$1:$I$89,5,0)</f>
        <v>0</v>
      </c>
      <c r="AK92" s="14" t="e">
        <f t="shared" si="89"/>
        <v>#NUM!</v>
      </c>
      <c r="AL92" s="22" t="e">
        <f t="shared" si="58"/>
        <v>#NUM!</v>
      </c>
      <c r="AM92" s="62" t="e">
        <f t="shared" si="59"/>
        <v>#NUM!</v>
      </c>
      <c r="AN92" s="62">
        <f ca="1">AVERAGE(OFFSET($AM$3,0,0,'Données projet'!$E$10+1,1))-AVERAGE(OFFSET($H$3,0,0,'Données projet'!$E$10+1,1))</f>
        <v>60.374143206158408</v>
      </c>
      <c r="AO92" s="62">
        <f t="shared" si="90"/>
        <v>338.95520219048694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21.473455124025989</v>
      </c>
      <c r="AV92" s="23">
        <f>EXP(-LN(2)/25)*AV91+(1-EXP(-LN(2)/25))/(LN(2)/25)*Calculateur!AQ92*Calculateur!AS92*VLOOKUP('Données projet'!$B$10,Paramètres!$A$1:$I$89,3,0)*0.475*44/12</f>
        <v>3.0469423707451631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24.520397494771153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46.051199999999909</v>
      </c>
      <c r="D93" s="12">
        <f t="shared" si="86"/>
        <v>13.58913363884685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10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460.38152282618552</v>
      </c>
      <c r="H93" s="70">
        <f t="shared" si="56"/>
        <v>397.20691442099138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61.920120153277935</v>
      </c>
      <c r="T93" s="62">
        <f t="shared" si="88"/>
        <v>346.77984765566453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21.520204294703948</v>
      </c>
      <c r="AA93" s="23">
        <f>EXP(-LN(2)/25)*AA92+(1-EXP(-LN(2)/25))/(LN(2)/25)*Calculateur!V93*Calculateur!X93*VLOOKUP('Données projet'!$B$9,Paramètres!$A$1:$I$89,3,0)*0.475*44/12</f>
        <v>3.0294818729717439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24.549686167675691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0</v>
      </c>
      <c r="AJ93" s="14">
        <f>AI93*VLOOKUP('Données projet'!$B$10,Paramètres!$A$1:$I$89,3,0)*VLOOKUP('Données projet'!$B$10,Paramètres!$A$1:$I$89,5,0)</f>
        <v>0</v>
      </c>
      <c r="AK93" s="14" t="e">
        <f t="shared" si="89"/>
        <v>#NUM!</v>
      </c>
      <c r="AL93" s="22" t="e">
        <f t="shared" si="58"/>
        <v>#NUM!</v>
      </c>
      <c r="AM93" s="62" t="e">
        <f t="shared" si="59"/>
        <v>#NUM!</v>
      </c>
      <c r="AN93" s="62">
        <f ca="1">AVERAGE(OFFSET($AM$3,0,0,'Données projet'!$E$10+1,1))-AVERAGE(OFFSET($H$3,0,0,'Données projet'!$E$10+1,1))</f>
        <v>60.374143206158408</v>
      </c>
      <c r="AO93" s="62">
        <f t="shared" si="90"/>
        <v>338.95520219048694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21.052373766558194</v>
      </c>
      <c r="AV93" s="23">
        <f>EXP(-LN(2)/25)*AV92+(1-EXP(-LN(2)/25))/(LN(2)/25)*Calculateur!AQ93*Calculateur!AS93*VLOOKUP('Données projet'!$B$10,Paramètres!$A$1:$I$89,3,0)*0.475*44/12</f>
        <v>2.9636235713854013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24.015997337943595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46.562879999999907</v>
      </c>
      <c r="D94" s="12">
        <f t="shared" si="86"/>
        <v>13.722462812660055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10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465.36054101000673</v>
      </c>
      <c r="H94" s="70">
        <f t="shared" si="56"/>
        <v>398.33030539871606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61.920120153277935</v>
      </c>
      <c r="T94" s="62">
        <f t="shared" si="88"/>
        <v>346.77984765566453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21.098206214513336</v>
      </c>
      <c r="AA94" s="23">
        <f>EXP(-LN(2)/25)*AA93+(1-EXP(-LN(2)/25))/(LN(2)/25)*Calculateur!V94*Calculateur!X94*VLOOKUP('Données projet'!$B$9,Paramètres!$A$1:$I$89,3,0)*0.475*44/12</f>
        <v>2.9466405318418039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24.044846746355141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0</v>
      </c>
      <c r="AJ94" s="14">
        <f>AI94*VLOOKUP('Données projet'!$B$10,Paramètres!$A$1:$I$89,3,0)*VLOOKUP('Données projet'!$B$10,Paramètres!$A$1:$I$89,5,0)</f>
        <v>0</v>
      </c>
      <c r="AK94" s="14" t="e">
        <f t="shared" si="89"/>
        <v>#NUM!</v>
      </c>
      <c r="AL94" s="22" t="e">
        <f t="shared" si="58"/>
        <v>#NUM!</v>
      </c>
      <c r="AM94" s="62" t="e">
        <f t="shared" si="59"/>
        <v>#NUM!</v>
      </c>
      <c r="AN94" s="62">
        <f ca="1">AVERAGE(OFFSET($AM$3,0,0,'Données projet'!$E$10+1,1))-AVERAGE(OFFSET($H$3,0,0,'Données projet'!$E$10+1,1))</f>
        <v>60.374143206158408</v>
      </c>
      <c r="AO94" s="62">
        <f t="shared" si="90"/>
        <v>338.95520219048694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20.639549557676073</v>
      </c>
      <c r="AV94" s="23">
        <f>EXP(-LN(2)/25)*AV93+(1-EXP(-LN(2)/25))/(LN(2)/25)*Calculateur!AQ94*Calculateur!AS94*VLOOKUP('Données projet'!$B$10,Paramètres!$A$1:$I$89,3,0)*0.475*44/12</f>
        <v>2.8825831289756776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23.522132686651751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47.074559999999906</v>
      </c>
      <c r="D95" s="12">
        <f t="shared" si="86"/>
        <v>13.855621547742276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10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470.33824352643086</v>
      </c>
      <c r="H95" s="70">
        <f t="shared" si="56"/>
        <v>399.45339952898428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61.920120153277935</v>
      </c>
      <c r="T95" s="62">
        <f t="shared" si="88"/>
        <v>346.77984765566453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20.684483259281848</v>
      </c>
      <c r="AA95" s="23">
        <f>EXP(-LN(2)/25)*AA94+(1-EXP(-LN(2)/25))/(LN(2)/25)*Calculateur!V95*Calculateur!X95*VLOOKUP('Données projet'!$B$9,Paramètres!$A$1:$I$89,3,0)*0.475*44/12</f>
        <v>2.8660644915414988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23.550547750823348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0</v>
      </c>
      <c r="AJ95" s="14">
        <f>AI95*VLOOKUP('Données projet'!$B$10,Paramètres!$A$1:$I$89,3,0)*VLOOKUP('Données projet'!$B$10,Paramètres!$A$1:$I$89,5,0)</f>
        <v>0</v>
      </c>
      <c r="AK95" s="14" t="e">
        <f t="shared" si="89"/>
        <v>#NUM!</v>
      </c>
      <c r="AL95" s="22" t="e">
        <f t="shared" si="58"/>
        <v>#NUM!</v>
      </c>
      <c r="AM95" s="62" t="e">
        <f t="shared" si="59"/>
        <v>#NUM!</v>
      </c>
      <c r="AN95" s="62">
        <f ca="1">AVERAGE(OFFSET($AM$3,0,0,'Données projet'!$E$10+1,1))-AVERAGE(OFFSET($H$3,0,0,'Données projet'!$E$10+1,1))</f>
        <v>60.374143206158408</v>
      </c>
      <c r="AO95" s="62">
        <f t="shared" si="90"/>
        <v>338.95520219048694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20.234820579732226</v>
      </c>
      <c r="AV95" s="23">
        <f>EXP(-LN(2)/25)*AV94+(1-EXP(-LN(2)/25))/(LN(2)/25)*Calculateur!AQ95*Calculateur!AS95*VLOOKUP('Données projet'!$B$10,Paramètres!$A$1:$I$89,3,0)*0.475*44/12</f>
        <v>2.8037587417253791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23.038579321457604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47.586239999999904</v>
      </c>
      <c r="D96" s="12">
        <f t="shared" si="86"/>
        <v>13.988611911104435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10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475.31464633133174</v>
      </c>
      <c r="H96" s="70">
        <f t="shared" si="56"/>
        <v>400.57620041184003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61.920120153277935</v>
      </c>
      <c r="T96" s="62">
        <f t="shared" si="88"/>
        <v>346.77984765566453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20.278873158856364</v>
      </c>
      <c r="AA96" s="23">
        <f>EXP(-LN(2)/25)*AA95+(1-EXP(-LN(2)/25))/(LN(2)/25)*Calculateur!V96*Calculateur!X96*VLOOKUP('Données projet'!$B$9,Paramètres!$A$1:$I$89,3,0)*0.475*44/12</f>
        <v>2.7876918073005155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23.066564966156879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0</v>
      </c>
      <c r="AJ96" s="14">
        <f>AI96*VLOOKUP('Données projet'!$B$10,Paramètres!$A$1:$I$89,3,0)*VLOOKUP('Données projet'!$B$10,Paramètres!$A$1:$I$89,5,0)</f>
        <v>0</v>
      </c>
      <c r="AK96" s="14" t="e">
        <f t="shared" si="89"/>
        <v>#NUM!</v>
      </c>
      <c r="AL96" s="22" t="e">
        <f t="shared" si="58"/>
        <v>#NUM!</v>
      </c>
      <c r="AM96" s="62" t="e">
        <f t="shared" si="59"/>
        <v>#NUM!</v>
      </c>
      <c r="AN96" s="62">
        <f ca="1">AVERAGE(OFFSET($AM$3,0,0,'Données projet'!$E$10+1,1))-AVERAGE(OFFSET($H$3,0,0,'Données projet'!$E$10+1,1))</f>
        <v>60.374143206158408</v>
      </c>
      <c r="AO96" s="62">
        <f t="shared" si="90"/>
        <v>338.95520219048694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19.838028090185556</v>
      </c>
      <c r="AV96" s="23">
        <f>EXP(-LN(2)/25)*AV95+(1-EXP(-LN(2)/25))/(LN(2)/25)*Calculateur!AQ96*Calculateur!AS96*VLOOKUP('Données projet'!$B$10,Paramètres!$A$1:$I$89,3,0)*0.475*44/12</f>
        <v>2.7270898114896345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22.56511790167519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48.097919999999903</v>
      </c>
      <c r="D97" s="12">
        <f t="shared" si="86"/>
        <v>14.121435922745237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10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480.28976501768176</v>
      </c>
      <c r="H97" s="70">
        <f t="shared" si="56"/>
        <v>401.69871156544775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61.920120153277935</v>
      </c>
      <c r="T97" s="62">
        <f t="shared" si="88"/>
        <v>346.77984765566453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19.881216825102491</v>
      </c>
      <c r="AA97" s="23">
        <f>EXP(-LN(2)/25)*AA96+(1-EXP(-LN(2)/25))/(LN(2)/25)*Calculateur!V97*Calculateur!X97*VLOOKUP('Données projet'!$B$9,Paramètres!$A$1:$I$89,3,0)*0.475*44/12</f>
        <v>2.7114622282315421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22.592679053334034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0</v>
      </c>
      <c r="AJ97" s="14">
        <f>AI97*VLOOKUP('Données projet'!$B$10,Paramètres!$A$1:$I$89,3,0)*VLOOKUP('Données projet'!$B$10,Paramètres!$A$1:$I$89,5,0)</f>
        <v>0</v>
      </c>
      <c r="AK97" s="14" t="e">
        <f t="shared" si="89"/>
        <v>#NUM!</v>
      </c>
      <c r="AL97" s="22" t="e">
        <f t="shared" si="58"/>
        <v>#NUM!</v>
      </c>
      <c r="AM97" s="62" t="e">
        <f t="shared" si="59"/>
        <v>#NUM!</v>
      </c>
      <c r="AN97" s="62">
        <f ca="1">AVERAGE(OFFSET($AM$3,0,0,'Données projet'!$E$10+1,1))-AVERAGE(OFFSET($H$3,0,0,'Données projet'!$E$10+1,1))</f>
        <v>60.374143206158408</v>
      </c>
      <c r="AO97" s="62">
        <f t="shared" si="90"/>
        <v>338.95520219048694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19.449016459339376</v>
      </c>
      <c r="AV97" s="23">
        <f>EXP(-LN(2)/25)*AV96+(1-EXP(-LN(2)/25))/(LN(2)/25)*Calculateur!AQ97*Calculateur!AS97*VLOOKUP('Données projet'!$B$10,Paramètres!$A$1:$I$89,3,0)*0.475*44/12</f>
        <v>2.65251739718303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22.101533856522405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48.609599999999901</v>
      </c>
      <c r="D98" s="12">
        <f t="shared" si="86"/>
        <v>14.254095557208926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10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485.26361482757693</v>
      </c>
      <c r="H98" s="70">
        <f t="shared" si="56"/>
        <v>402.82093642880534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61.920120153277935</v>
      </c>
      <c r="T98" s="62">
        <f t="shared" si="88"/>
        <v>346.77984765566453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19.491358289507119</v>
      </c>
      <c r="AA98" s="23">
        <f>EXP(-LN(2)/25)*AA97+(1-EXP(-LN(2)/25))/(LN(2)/25)*Calculateur!V98*Calculateur!X98*VLOOKUP('Données projet'!$B$9,Paramètres!$A$1:$I$89,3,0)*0.475*44/12</f>
        <v>2.637317151010949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22.128675440518066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0</v>
      </c>
      <c r="AJ98" s="14">
        <f>AI98*VLOOKUP('Données projet'!$B$10,Paramètres!$A$1:$I$89,3,0)*VLOOKUP('Données projet'!$B$10,Paramètres!$A$1:$I$89,5,0)</f>
        <v>0</v>
      </c>
      <c r="AK98" s="14" t="e">
        <f t="shared" si="89"/>
        <v>#NUM!</v>
      </c>
      <c r="AL98" s="22" t="e">
        <f t="shared" si="58"/>
        <v>#NUM!</v>
      </c>
      <c r="AM98" s="62" t="e">
        <f t="shared" si="59"/>
        <v>#NUM!</v>
      </c>
      <c r="AN98" s="62">
        <f ca="1">AVERAGE(OFFSET($AM$3,0,0,'Données projet'!$E$10+1,1))-AVERAGE(OFFSET($H$3,0,0,'Données projet'!$E$10+1,1))</f>
        <v>60.374143206158408</v>
      </c>
      <c r="AO98" s="62">
        <f t="shared" si="90"/>
        <v>338.95520219048694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19.067633109300424</v>
      </c>
      <c r="AV98" s="23">
        <f>EXP(-LN(2)/25)*AV97+(1-EXP(-LN(2)/25))/(LN(2)/25)*Calculateur!AQ98*Calculateur!AS98*VLOOKUP('Données projet'!$B$10,Paramètres!$A$1:$I$89,3,0)*0.475*44/12</f>
        <v>2.5799841694672327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21.647617278767655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49.121279999999899</v>
      </c>
      <c r="D99" s="12">
        <f t="shared" si="86"/>
        <v>14.386592745075589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10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490.23621066374062</v>
      </c>
      <c r="H99" s="70">
        <f t="shared" si="56"/>
        <v>403.94287836433978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61.920120153277935</v>
      </c>
      <c r="T99" s="62">
        <f t="shared" si="88"/>
        <v>346.77984765566453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19.109144642004544</v>
      </c>
      <c r="AA99" s="23">
        <f>EXP(-LN(2)/25)*AA98+(1-EXP(-LN(2)/25))/(LN(2)/25)*Calculateur!V99*Calculateur!X99*VLOOKUP('Données projet'!$B$9,Paramètres!$A$1:$I$89,3,0)*0.475*44/12</f>
        <v>2.5651995748260732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21.674344216830619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0</v>
      </c>
      <c r="AJ99" s="14">
        <f>AI99*VLOOKUP('Données projet'!$B$10,Paramètres!$A$1:$I$89,3,0)*VLOOKUP('Données projet'!$B$10,Paramètres!$A$1:$I$89,5,0)</f>
        <v>0</v>
      </c>
      <c r="AK99" s="14" t="e">
        <f t="shared" si="89"/>
        <v>#NUM!</v>
      </c>
      <c r="AL99" s="22" t="e">
        <f t="shared" si="58"/>
        <v>#NUM!</v>
      </c>
      <c r="AM99" s="62" t="e">
        <f t="shared" si="59"/>
        <v>#NUM!</v>
      </c>
      <c r="AN99" s="62">
        <f ca="1">AVERAGE(OFFSET($AM$3,0,0,'Données projet'!$E$10+1,1))-AVERAGE(OFFSET($H$3,0,0,'Données projet'!$E$10+1,1))</f>
        <v>60.374143206158408</v>
      </c>
      <c r="AO99" s="62">
        <f t="shared" si="90"/>
        <v>338.95520219048694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18.69372845413486</v>
      </c>
      <c r="AV99" s="23">
        <f>EXP(-LN(2)/25)*AV98+(1-EXP(-LN(2)/25))/(LN(2)/25)*Calculateur!AQ99*Calculateur!AS99*VLOOKUP('Données projet'!$B$10,Paramètres!$A$1:$I$89,3,0)*0.475*44/12</f>
        <v>2.5094343666776804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21.20316282081254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49.632959999999898</v>
      </c>
      <c r="D100" s="12">
        <f t="shared" si="86"/>
        <v>14.518929374387568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10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495.20756710053479</v>
      </c>
      <c r="H100" s="70">
        <f t="shared" si="56"/>
        <v>405.06454066039146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61.920120153277935</v>
      </c>
      <c r="T100" s="62">
        <f t="shared" si="88"/>
        <v>346.77984765566453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18.734425971002189</v>
      </c>
      <c r="AA100" s="23">
        <f>EXP(-LN(2)/25)*AA99+(1-EXP(-LN(2)/25))/(LN(2)/25)*Calculateur!V100*Calculateur!X100*VLOOKUP('Données projet'!$B$9,Paramètres!$A$1:$I$89,3,0)*0.475*44/12</f>
        <v>2.4950540575544715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21.229480028556662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0</v>
      </c>
      <c r="AJ100" s="14">
        <f>AI100*VLOOKUP('Données projet'!$B$10,Paramètres!$A$1:$I$89,3,0)*VLOOKUP('Données projet'!$B$10,Paramètres!$A$1:$I$89,5,0)</f>
        <v>0</v>
      </c>
      <c r="AK100" s="14" t="e">
        <f t="shared" si="89"/>
        <v>#NUM!</v>
      </c>
      <c r="AL100" s="22" t="e">
        <f t="shared" si="58"/>
        <v>#NUM!</v>
      </c>
      <c r="AM100" s="62" t="e">
        <f t="shared" si="59"/>
        <v>#NUM!</v>
      </c>
      <c r="AN100" s="62">
        <f ca="1">AVERAGE(OFFSET($AM$3,0,0,'Données projet'!$E$10+1,1))-AVERAGE(OFFSET($H$3,0,0,'Données projet'!$E$10+1,1))</f>
        <v>60.374143206158408</v>
      </c>
      <c r="AO100" s="62">
        <f t="shared" si="90"/>
        <v>338.95520219048694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18.327155841197772</v>
      </c>
      <c r="AV100" s="23">
        <f>EXP(-LN(2)/25)*AV99+(1-EXP(-LN(2)/25))/(LN(2)/25)*Calculateur!AQ100*Calculateur!AS100*VLOOKUP('Données projet'!$B$10,Paramètres!$A$1:$I$89,3,0)*0.475*44/12</f>
        <v>2.4408137519554614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20.767969593153232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50.144639999999896</v>
      </c>
      <c r="D101" s="12">
        <f t="shared" si="86"/>
        <v>14.651107292015382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10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500.17769839450392</v>
      </c>
      <c r="H101" s="70">
        <f t="shared" si="56"/>
        <v>406.18592653359326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61.920120153277935</v>
      </c>
      <c r="T101" s="62">
        <f t="shared" si="88"/>
        <v>346.77984765566453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18.367055304582369</v>
      </c>
      <c r="AA101" s="23">
        <f>EXP(-LN(2)/25)*AA100+(1-EXP(-LN(2)/25))/(LN(2)/25)*Calculateur!V101*Calculateur!X101*VLOOKUP('Données projet'!$B$9,Paramètres!$A$1:$I$89,3,0)*0.475*44/12</f>
        <v>2.4268266731414543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20.793881977723824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0</v>
      </c>
      <c r="AJ101" s="14">
        <f>AI101*VLOOKUP('Données projet'!$B$10,Paramètres!$A$1:$I$89,3,0)*VLOOKUP('Données projet'!$B$10,Paramètres!$A$1:$I$89,5,0)</f>
        <v>0</v>
      </c>
      <c r="AK101" s="14" t="e">
        <f t="shared" si="89"/>
        <v>#NUM!</v>
      </c>
      <c r="AL101" s="22" t="e">
        <f t="shared" si="58"/>
        <v>#NUM!</v>
      </c>
      <c r="AM101" s="62" t="e">
        <f t="shared" si="59"/>
        <v>#NUM!</v>
      </c>
      <c r="AN101" s="62">
        <f ca="1">AVERAGE(OFFSET($AM$3,0,0,'Données projet'!$E$10+1,1))-AVERAGE(OFFSET($H$3,0,0,'Données projet'!$E$10+1,1))</f>
        <v>60.374143206158408</v>
      </c>
      <c r="AO101" s="62">
        <f t="shared" si="90"/>
        <v>338.95520219048694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17.967771493613167</v>
      </c>
      <c r="AV101" s="23">
        <f>EXP(-LN(2)/25)*AV100+(1-EXP(-LN(2)/25))/(LN(2)/25)*Calculateur!AQ101*Calculateur!AS101*VLOOKUP('Données projet'!$B$10,Paramètres!$A$1:$I$89,3,0)*0.475*44/12</f>
        <v>2.3740695715514226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20.341841065164591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50.656319999999894</v>
      </c>
      <c r="D102" s="12">
        <f t="shared" si="86"/>
        <v>14.783128304966317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10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505.14661849447606</v>
      </c>
      <c r="H102" s="70">
        <f t="shared" si="56"/>
        <v>407.30703913114945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61.920120153277935</v>
      </c>
      <c r="T102" s="62">
        <f t="shared" si="88"/>
        <v>346.77984765566453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18.00688855285706</v>
      </c>
      <c r="AA102" s="23">
        <f>EXP(-LN(2)/25)*AA101+(1-EXP(-LN(2)/25))/(LN(2)/25)*Calculateur!V102*Calculateur!X102*VLOOKUP('Données projet'!$B$9,Paramètres!$A$1:$I$89,3,0)*0.475*44/12</f>
        <v>2.3604649701431333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20.367353523000194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0</v>
      </c>
      <c r="AJ102" s="14">
        <f>AI102*VLOOKUP('Données projet'!$B$10,Paramètres!$A$1:$I$89,3,0)*VLOOKUP('Données projet'!$B$10,Paramètres!$A$1:$I$89,5,0)</f>
        <v>0</v>
      </c>
      <c r="AK102" s="14" t="e">
        <f t="shared" si="89"/>
        <v>#NUM!</v>
      </c>
      <c r="AL102" s="22" t="e">
        <f t="shared" si="58"/>
        <v>#NUM!</v>
      </c>
      <c r="AM102" s="62" t="e">
        <f t="shared" si="59"/>
        <v>#NUM!</v>
      </c>
      <c r="AN102" s="62">
        <f ca="1">AVERAGE(OFFSET($AM$3,0,0,'Données projet'!$E$10+1,1))-AVERAGE(OFFSET($H$3,0,0,'Données projet'!$E$10+1,1))</f>
        <v>60.374143206158408</v>
      </c>
      <c r="AO102" s="62">
        <f t="shared" si="90"/>
        <v>338.95520219048694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17.615434453881885</v>
      </c>
      <c r="AV102" s="23">
        <f>EXP(-LN(2)/25)*AV101+(1-EXP(-LN(2)/25))/(LN(2)/25)*Calculateur!AQ102*Calculateur!AS102*VLOOKUP('Données projet'!$B$10,Paramètres!$A$1:$I$89,3,0)*0.475*44/12</f>
        <v>2.3091505142704563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19.924584968152342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51.167999999999893</v>
      </c>
      <c r="D103" s="12">
        <f t="shared" si="86"/>
        <v>14.91499418163861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10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510.11434105124454</v>
      </c>
      <c r="H103" s="70">
        <f t="shared" si="56"/>
        <v>408.42788153302035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61.920120153277935</v>
      </c>
      <c r="T103" s="62">
        <f t="shared" si="88"/>
        <v>346.77984765566453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17.653784451453056</v>
      </c>
      <c r="AA103" s="23">
        <f>EXP(-LN(2)/25)*AA102+(1-EXP(-LN(2)/25))/(LN(2)/25)*Calculateur!V103*Calculateur!X103*VLOOKUP('Données projet'!$B$9,Paramètres!$A$1:$I$89,3,0)*0.475*44/12</f>
        <v>2.2959179314031113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19.949702382856167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0</v>
      </c>
      <c r="AJ103" s="14">
        <f>AI103*VLOOKUP('Données projet'!$B$10,Paramètres!$A$1:$I$89,3,0)*VLOOKUP('Données projet'!$B$10,Paramètres!$A$1:$I$89,5,0)</f>
        <v>0</v>
      </c>
      <c r="AK103" s="14" t="e">
        <f t="shared" si="89"/>
        <v>#NUM!</v>
      </c>
      <c r="AL103" s="22" t="e">
        <f t="shared" si="58"/>
        <v>#NUM!</v>
      </c>
      <c r="AM103" s="62" t="e">
        <f t="shared" si="59"/>
        <v>#NUM!</v>
      </c>
      <c r="AN103" s="62">
        <f ca="1">AVERAGE(OFFSET($AM$3,0,0,'Données projet'!$E$10+1,1))-AVERAGE(OFFSET($H$3,0,0,'Données projet'!$E$10+1,1))</f>
        <v>60.374143206158408</v>
      </c>
      <c r="AO103" s="62">
        <f t="shared" si="90"/>
        <v>338.95520219048694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17.270006528595363</v>
      </c>
      <c r="AV103" s="23">
        <f>EXP(-LN(2)/25)*AV102+(1-EXP(-LN(2)/25))/(LN(2)/25)*Calculateur!AQ103*Calculateur!AS103*VLOOKUP('Données projet'!$B$10,Paramètres!$A$1:$I$89,3,0)*0.475*44/12</f>
        <v>2.2460066720247829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19.516013200620147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51.679679999999891</v>
      </c>
      <c r="D104" s="12">
        <f t="shared" si="86"/>
        <v>15.046706653024026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10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515.08087942685131</v>
      </c>
      <c r="H104" s="70">
        <f t="shared" si="56"/>
        <v>409.54845675401663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61.920120153277935</v>
      </c>
      <c r="T104" s="62">
        <f t="shared" si="88"/>
        <v>346.77984765566453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17.307604506105349</v>
      </c>
      <c r="AA104" s="23">
        <f>EXP(-LN(2)/25)*AA103+(1-EXP(-LN(2)/25))/(LN(2)/25)*Calculateur!V104*Calculateur!X104*VLOOKUP('Données projet'!$B$9,Paramètres!$A$1:$I$89,3,0)*0.475*44/12</f>
        <v>2.2331359348318167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19.540740440937167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0</v>
      </c>
      <c r="AJ104" s="14">
        <f>AI104*VLOOKUP('Données projet'!$B$10,Paramètres!$A$1:$I$89,3,0)*VLOOKUP('Données projet'!$B$10,Paramètres!$A$1:$I$89,5,0)</f>
        <v>0</v>
      </c>
      <c r="AK104" s="14" t="e">
        <f t="shared" si="89"/>
        <v>#NUM!</v>
      </c>
      <c r="AL104" s="22" t="e">
        <f t="shared" si="58"/>
        <v>#NUM!</v>
      </c>
      <c r="AM104" s="62" t="e">
        <f t="shared" si="59"/>
        <v>#NUM!</v>
      </c>
      <c r="AN104" s="62">
        <f ca="1">AVERAGE(OFFSET($AM$3,0,0,'Données projet'!$E$10+1,1))-AVERAGE(OFFSET($H$3,0,0,'Données projet'!$E$10+1,1))</f>
        <v>60.374143206158408</v>
      </c>
      <c r="AO104" s="62">
        <f t="shared" si="90"/>
        <v>338.95520219048694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16.931352234233479</v>
      </c>
      <c r="AV104" s="23">
        <f>EXP(-LN(2)/25)*AV103+(1-EXP(-LN(2)/25))/(LN(2)/25)*Calculateur!AQ104*Calculateur!AS104*VLOOKUP('Données projet'!$B$10,Paramètres!$A$1:$I$89,3,0)*0.475*44/12</f>
        <v>2.1845895014659078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19.115941735699387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52.191359999999889</v>
      </c>
      <c r="D105" s="12">
        <f t="shared" si="86"/>
        <v>15.178267413861498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10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520.04624670349142</v>
      </c>
      <c r="H105" s="70">
        <f t="shared" si="56"/>
        <v>410.66876774580857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61.920120153277935</v>
      </c>
      <c r="T105" s="62">
        <f t="shared" si="88"/>
        <v>346.77984765566453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16.968212938336993</v>
      </c>
      <c r="AA105" s="23">
        <f>EXP(-LN(2)/25)*AA104+(1-EXP(-LN(2)/25))/(LN(2)/25)*Calculateur!V105*Calculateur!X105*VLOOKUP('Données projet'!$B$9,Paramètres!$A$1:$I$89,3,0)*0.475*44/12</f>
        <v>2.1720707152583256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19.140283653595318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0</v>
      </c>
      <c r="AJ105" s="14">
        <f>AI105*VLOOKUP('Données projet'!$B$10,Paramètres!$A$1:$I$89,3,0)*VLOOKUP('Données projet'!$B$10,Paramètres!$A$1:$I$89,5,0)</f>
        <v>0</v>
      </c>
      <c r="AK105" s="14" t="e">
        <f t="shared" si="89"/>
        <v>#NUM!</v>
      </c>
      <c r="AL105" s="22" t="e">
        <f t="shared" si="58"/>
        <v>#NUM!</v>
      </c>
      <c r="AM105" s="62" t="e">
        <f t="shared" si="59"/>
        <v>#NUM!</v>
      </c>
      <c r="AN105" s="62">
        <f ca="1">AVERAGE(OFFSET($AM$3,0,0,'Données projet'!$E$10+1,1))-AVERAGE(OFFSET($H$3,0,0,'Données projet'!$E$10+1,1))</f>
        <v>60.374143206158408</v>
      </c>
      <c r="AO105" s="62">
        <f t="shared" si="90"/>
        <v>338.95520219048694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16.599338744025307</v>
      </c>
      <c r="AV105" s="23">
        <f>EXP(-LN(2)/25)*AV104+(1-EXP(-LN(2)/25))/(LN(2)/25)*Calculateur!AQ105*Calculateur!AS105*VLOOKUP('Données projet'!$B$10,Paramètres!$A$1:$I$89,3,0)*0.475*44/12</f>
        <v>2.1248517866657535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18.724190530691061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52.703039999999888</v>
      </c>
      <c r="D106" s="12">
        <f t="shared" si="86"/>
        <v>15.309678123744137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10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525.01045569205905</v>
      </c>
      <c r="H106" s="70">
        <f t="shared" si="56"/>
        <v>411.78881739885412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61.920120153277935</v>
      </c>
      <c r="T106" s="62">
        <f t="shared" si="88"/>
        <v>346.77984765566453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16.63547663220416</v>
      </c>
      <c r="AA106" s="23">
        <f>EXP(-LN(2)/25)*AA105+(1-EXP(-LN(2)/25))/(LN(2)/25)*Calculateur!V106*Calculateur!X106*VLOOKUP('Données projet'!$B$9,Paramètres!$A$1:$I$89,3,0)*0.475*44/12</f>
        <v>2.112675327325352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18.748151959529512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0</v>
      </c>
      <c r="AJ106" s="14">
        <f>AI106*VLOOKUP('Données projet'!$B$10,Paramètres!$A$1:$I$89,3,0)*VLOOKUP('Données projet'!$B$10,Paramètres!$A$1:$I$89,5,0)</f>
        <v>0</v>
      </c>
      <c r="AK106" s="14" t="e">
        <f t="shared" si="89"/>
        <v>#NUM!</v>
      </c>
      <c r="AL106" s="22" t="e">
        <f t="shared" si="58"/>
        <v>#NUM!</v>
      </c>
      <c r="AM106" s="62" t="e">
        <f t="shared" si="59"/>
        <v>#NUM!</v>
      </c>
      <c r="AN106" s="62">
        <f ca="1">AVERAGE(OFFSET($AM$3,0,0,'Données projet'!$E$10+1,1))-AVERAGE(OFFSET($H$3,0,0,'Données projet'!$E$10+1,1))</f>
        <v>60.374143206158408</v>
      </c>
      <c r="AO106" s="62">
        <f t="shared" si="90"/>
        <v>338.95520219048694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16.273835835851884</v>
      </c>
      <c r="AV106" s="23">
        <f>EXP(-LN(2)/25)*AV105+(1-EXP(-LN(2)/25))/(LN(2)/25)*Calculateur!AQ106*Calculateur!AS106*VLOOKUP('Données projet'!$B$10,Paramètres!$A$1:$I$89,3,0)*0.475*44/12</f>
        <v>2.0667476028182792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18.340583438670162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53.214719999999886</v>
      </c>
      <c r="D107" s="12">
        <f t="shared" si="86"/>
        <v>15.440940408182154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10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529.97351894035262</v>
      </c>
      <c r="H107" s="70">
        <f t="shared" si="56"/>
        <v>412.90860854425034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61.920120153277935</v>
      </c>
      <c r="T107" s="62">
        <f t="shared" si="88"/>
        <v>346.77984765566453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16.309265082085485</v>
      </c>
      <c r="AA107" s="23">
        <f>EXP(-LN(2)/25)*AA106+(1-EXP(-LN(2)/25))/(LN(2)/25)*Calculateur!V107*Calculateur!X107*VLOOKUP('Données projet'!$B$9,Paramètres!$A$1:$I$89,3,0)*0.475*44/12</f>
        <v>2.0549041093988736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18.364169191484358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0</v>
      </c>
      <c r="AJ107" s="14">
        <f>AI107*VLOOKUP('Données projet'!$B$10,Paramètres!$A$1:$I$89,3,0)*VLOOKUP('Données projet'!$B$10,Paramètres!$A$1:$I$89,5,0)</f>
        <v>0</v>
      </c>
      <c r="AK107" s="14" t="e">
        <f t="shared" si="89"/>
        <v>#NUM!</v>
      </c>
      <c r="AL107" s="22" t="e">
        <f t="shared" si="58"/>
        <v>#NUM!</v>
      </c>
      <c r="AM107" s="62" t="e">
        <f t="shared" si="59"/>
        <v>#NUM!</v>
      </c>
      <c r="AN107" s="62">
        <f ca="1">AVERAGE(OFFSET($AM$3,0,0,'Données projet'!$E$10+1,1))-AVERAGE(OFFSET($H$3,0,0,'Données projet'!$E$10+1,1))</f>
        <v>60.374143206158408</v>
      </c>
      <c r="AO107" s="62">
        <f t="shared" si="90"/>
        <v>338.95520219048694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15.954715841170572</v>
      </c>
      <c r="AV107" s="23">
        <f>EXP(-LN(2)/25)*AV106+(1-EXP(-LN(2)/25))/(LN(2)/25)*Calculateur!AQ107*Calculateur!AS107*VLOOKUP('Données projet'!$B$10,Paramètres!$A$1:$I$89,3,0)*0.475*44/12</f>
        <v>2.0102322809336806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17.964948122104254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53.726399999999884</v>
      </c>
      <c r="D108" s="12">
        <f t="shared" si="86"/>
        <v>15.572055859623591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10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534.93544874095312</v>
      </c>
      <c r="H108" s="70">
        <f t="shared" si="56"/>
        <v>414.02814395551087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61.920120153277935</v>
      </c>
      <c r="T108" s="62">
        <f t="shared" si="88"/>
        <v>346.77984765566453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15.989450341495237</v>
      </c>
      <c r="AA108" s="23">
        <f>EXP(-LN(2)/25)*AA107+(1-EXP(-LN(2)/25))/(LN(2)/25)*Calculateur!V108*Calculateur!X108*VLOOKUP('Données projet'!$B$9,Paramètres!$A$1:$I$89,3,0)*0.475*44/12</f>
        <v>1.9987126484646509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17.988162989959889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0</v>
      </c>
      <c r="AJ108" s="14">
        <f>AI108*VLOOKUP('Données projet'!$B$10,Paramètres!$A$1:$I$89,3,0)*VLOOKUP('Données projet'!$B$10,Paramètres!$A$1:$I$89,5,0)</f>
        <v>0</v>
      </c>
      <c r="AK108" s="14" t="e">
        <f t="shared" si="89"/>
        <v>#NUM!</v>
      </c>
      <c r="AL108" s="22" t="e">
        <f t="shared" si="58"/>
        <v>#NUM!</v>
      </c>
      <c r="AM108" s="62" t="e">
        <f t="shared" si="59"/>
        <v>#NUM!</v>
      </c>
      <c r="AN108" s="62">
        <f ca="1">AVERAGE(OFFSET($AM$3,0,0,'Données projet'!$E$10+1,1))-AVERAGE(OFFSET($H$3,0,0,'Données projet'!$E$10+1,1))</f>
        <v>60.374143206158408</v>
      </c>
      <c r="AO108" s="62">
        <f t="shared" si="90"/>
        <v>338.95520219048694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15.641853594940983</v>
      </c>
      <c r="AV108" s="23">
        <f>EXP(-LN(2)/25)*AV107+(1-EXP(-LN(2)/25))/(LN(2)/25)*Calculateur!AQ108*Calculateur!AS108*VLOOKUP('Données projet'!$B$10,Paramètres!$A$1:$I$89,3,0)*0.475*44/12</f>
        <v>1.9552623734980279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17.597115968439009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54.238079999999883</v>
      </c>
      <c r="D109" s="12">
        <f t="shared" si="86"/>
        <v>15.703026038435169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10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539.89625713879695</v>
      </c>
      <c r="H109" s="70">
        <f t="shared" si="56"/>
        <v>415.14742635027437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61.920120153277935</v>
      </c>
      <c r="T109" s="62">
        <f t="shared" si="88"/>
        <v>346.77984765566453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15.675906972900234</v>
      </c>
      <c r="AA109" s="23">
        <f>EXP(-LN(2)/25)*AA108+(1-EXP(-LN(2)/25))/(LN(2)/25)*Calculateur!V109*Calculateur!X109*VLOOKUP('Données projet'!$B$9,Paramètres!$A$1:$I$89,3,0)*0.475*44/12</f>
        <v>1.9440577459846549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17.619964718884891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0</v>
      </c>
      <c r="AJ109" s="14">
        <f>AI109*VLOOKUP('Données projet'!$B$10,Paramètres!$A$1:$I$89,3,0)*VLOOKUP('Données projet'!$B$10,Paramètres!$A$1:$I$89,5,0)</f>
        <v>0</v>
      </c>
      <c r="AK109" s="14" t="e">
        <f t="shared" si="89"/>
        <v>#NUM!</v>
      </c>
      <c r="AL109" s="22" t="e">
        <f t="shared" si="58"/>
        <v>#NUM!</v>
      </c>
      <c r="AM109" s="62" t="e">
        <f t="shared" si="59"/>
        <v>#NUM!</v>
      </c>
      <c r="AN109" s="62">
        <f ca="1">AVERAGE(OFFSET($AM$3,0,0,'Données projet'!$E$10+1,1))-AVERAGE(OFFSET($H$3,0,0,'Données projet'!$E$10+1,1))</f>
        <v>60.374143206158408</v>
      </c>
      <c r="AO109" s="62">
        <f t="shared" si="90"/>
        <v>338.95520219048694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15.335126386532828</v>
      </c>
      <c r="AV109" s="23">
        <f>EXP(-LN(2)/25)*AV108+(1-EXP(-LN(2)/25))/(LN(2)/25)*Calculateur!AQ109*Calculateur!AS109*VLOOKUP('Données projet'!$B$10,Paramètres!$A$1:$I$89,3,0)*0.475*44/12</f>
        <v>1.9017956210719449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17.236922007604772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54.749759999999881</v>
      </c>
      <c r="D110" s="12">
        <f t="shared" si="86"/>
        <v>15.833852473844976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10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544.85595593845153</v>
      </c>
      <c r="H110" s="70">
        <f t="shared" si="56"/>
        <v>416.26645839194646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61.920120153277935</v>
      </c>
      <c r="T110" s="62">
        <f t="shared" si="88"/>
        <v>346.77984765566453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15.368511998520809</v>
      </c>
      <c r="AA110" s="23">
        <f>EXP(-LN(2)/25)*AA109+(1-EXP(-LN(2)/25))/(LN(2)/25)*Calculateur!V110*Calculateur!X110*VLOOKUP('Données projet'!$B$9,Paramètres!$A$1:$I$89,3,0)*0.475*44/12</f>
        <v>1.8908973846871509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17.259409383207959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0</v>
      </c>
      <c r="AJ110" s="14">
        <f>AI110*VLOOKUP('Données projet'!$B$10,Paramètres!$A$1:$I$89,3,0)*VLOOKUP('Données projet'!$B$10,Paramètres!$A$1:$I$89,5,0)</f>
        <v>0</v>
      </c>
      <c r="AK110" s="14" t="e">
        <f t="shared" si="89"/>
        <v>#NUM!</v>
      </c>
      <c r="AL110" s="22" t="e">
        <f t="shared" si="58"/>
        <v>#NUM!</v>
      </c>
      <c r="AM110" s="62" t="e">
        <f t="shared" si="59"/>
        <v>#NUM!</v>
      </c>
      <c r="AN110" s="62">
        <f ca="1">AVERAGE(OFFSET($AM$3,0,0,'Données projet'!$E$10+1,1))-AVERAGE(OFFSET($H$3,0,0,'Données projet'!$E$10+1,1))</f>
        <v>60.374143206158408</v>
      </c>
      <c r="AO110" s="62">
        <f t="shared" si="90"/>
        <v>338.95520219048694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15.034413911596433</v>
      </c>
      <c r="AV110" s="23">
        <f>EXP(-LN(2)/25)*AV109+(1-EXP(-LN(2)/25))/(LN(2)/25)*Calculateur!AQ110*Calculateur!AS110*VLOOKUP('Données projet'!$B$10,Paramètres!$A$1:$I$89,3,0)*0.475*44/12</f>
        <v>1.8497909198026474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16.884204831399082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55.26143999999988</v>
      </c>
      <c r="D111" s="12">
        <f t="shared" si="86"/>
        <v>15.96453666484898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10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549.81455671111405</v>
      </c>
      <c r="H111" s="70">
        <f t="shared" si="56"/>
        <v>417.38524269127839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61.920120153277935</v>
      </c>
      <c r="T111" s="62">
        <f t="shared" si="88"/>
        <v>346.77984765566453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15.067144852096543</v>
      </c>
      <c r="AA111" s="23">
        <f>EXP(-LN(2)/25)*AA110+(1-EXP(-LN(2)/25))/(LN(2)/25)*Calculateur!V111*Calculateur!X111*VLOOKUP('Données projet'!$B$9,Paramètres!$A$1:$I$89,3,0)*0.475*44/12</f>
        <v>1.8391906962649089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16.906335548361451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0</v>
      </c>
      <c r="AJ111" s="14">
        <f>AI111*VLOOKUP('Données projet'!$B$10,Paramètres!$A$1:$I$89,3,0)*VLOOKUP('Données projet'!$B$10,Paramètres!$A$1:$I$89,5,0)</f>
        <v>0</v>
      </c>
      <c r="AK111" s="14" t="e">
        <f t="shared" si="89"/>
        <v>#NUM!</v>
      </c>
      <c r="AL111" s="22" t="e">
        <f t="shared" si="58"/>
        <v>#NUM!</v>
      </c>
      <c r="AM111" s="62" t="e">
        <f t="shared" si="59"/>
        <v>#NUM!</v>
      </c>
      <c r="AN111" s="62">
        <f ca="1">AVERAGE(OFFSET($AM$3,0,0,'Données projet'!$E$10+1,1))-AVERAGE(OFFSET($H$3,0,0,'Données projet'!$E$10+1,1))</f>
        <v>60.374143206158408</v>
      </c>
      <c r="AO111" s="62">
        <f t="shared" si="90"/>
        <v>338.95520219048694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14.739598224877042</v>
      </c>
      <c r="AV111" s="23">
        <f>EXP(-LN(2)/25)*AV110+(1-EXP(-LN(2)/25))/(LN(2)/25)*Calculateur!AQ111*Calculateur!AS111*VLOOKUP('Données projet'!$B$10,Paramètres!$A$1:$I$89,3,0)*0.475*44/12</f>
        <v>1.7992082898243673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16.53880651470141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55.773119999999878</v>
      </c>
      <c r="D112" s="12">
        <f t="shared" si="86"/>
        <v>16.095080081082966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10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554.77207080134121</v>
      </c>
      <c r="H112" s="70">
        <f t="shared" si="56"/>
        <v>418.5037818078859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61.920120153277935</v>
      </c>
      <c r="T112" s="62">
        <f t="shared" si="88"/>
        <v>346.77984765566453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14.771687331597848</v>
      </c>
      <c r="AA112" s="23">
        <f>EXP(-LN(2)/25)*AA111+(1-EXP(-LN(2)/25))/(LN(2)/25)*Calculateur!V112*Calculateur!X112*VLOOKUP('Données projet'!$B$9,Paramètres!$A$1:$I$89,3,0)*0.475*44/12</f>
        <v>1.7888979299567098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16.560585261554557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0</v>
      </c>
      <c r="AJ112" s="14">
        <f>AI112*VLOOKUP('Données projet'!$B$10,Paramètres!$A$1:$I$89,3,0)*VLOOKUP('Données projet'!$B$10,Paramètres!$A$1:$I$89,5,0)</f>
        <v>0</v>
      </c>
      <c r="AK112" s="14" t="e">
        <f t="shared" si="89"/>
        <v>#NUM!</v>
      </c>
      <c r="AL112" s="22" t="e">
        <f t="shared" si="58"/>
        <v>#NUM!</v>
      </c>
      <c r="AM112" s="62" t="e">
        <f t="shared" si="59"/>
        <v>#NUM!</v>
      </c>
      <c r="AN112" s="62">
        <f ca="1">AVERAGE(OFFSET($AM$3,0,0,'Données projet'!$E$10+1,1))-AVERAGE(OFFSET($H$3,0,0,'Données projet'!$E$10+1,1))</f>
        <v>60.374143206158408</v>
      </c>
      <c r="AO112" s="62">
        <f t="shared" si="90"/>
        <v>338.95520219048694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14.450563693954406</v>
      </c>
      <c r="AV112" s="23">
        <f>EXP(-LN(2)/25)*AV111+(1-EXP(-LN(2)/25))/(LN(2)/25)*Calculateur!AQ112*Calculateur!AS112*VLOOKUP('Données projet'!$B$10,Paramètres!$A$1:$I$89,3,0)*0.475*44/12</f>
        <v>1.7500088445228681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16.200572538477275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56.284799999999876</v>
      </c>
      <c r="D113" s="12">
        <f t="shared" si="86"/>
        <v>16.225484163661527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10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559.72850933352663</v>
      </c>
      <c r="H113" s="70">
        <f t="shared" si="56"/>
        <v>419.62207825171021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61.920120153277935</v>
      </c>
      <c r="T113" s="62">
        <f t="shared" si="88"/>
        <v>346.77984765566453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14.482023552864838</v>
      </c>
      <c r="AA113" s="23">
        <f>EXP(-LN(2)/25)*AA112+(1-EXP(-LN(2)/25))/(LN(2)/25)*Calculateur!V113*Calculateur!X113*VLOOKUP('Données projet'!$B$9,Paramètres!$A$1:$I$89,3,0)*0.475*44/12</f>
        <v>1.73998042198799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16.222003974852829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0</v>
      </c>
      <c r="AJ113" s="14">
        <f>AI113*VLOOKUP('Données projet'!$B$10,Paramètres!$A$1:$I$89,3,0)*VLOOKUP('Données projet'!$B$10,Paramètres!$A$1:$I$89,5,0)</f>
        <v>0</v>
      </c>
      <c r="AK113" s="14" t="e">
        <f t="shared" si="89"/>
        <v>#NUM!</v>
      </c>
      <c r="AL113" s="22" t="e">
        <f t="shared" si="58"/>
        <v>#NUM!</v>
      </c>
      <c r="AM113" s="62" t="e">
        <f t="shared" si="59"/>
        <v>#NUM!</v>
      </c>
      <c r="AN113" s="62">
        <f ca="1">AVERAGE(OFFSET($AM$3,0,0,'Données projet'!$E$10+1,1))-AVERAGE(OFFSET($H$3,0,0,'Données projet'!$E$10+1,1))</f>
        <v>60.374143206158408</v>
      </c>
      <c r="AO113" s="62">
        <f t="shared" si="90"/>
        <v>338.95520219048694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14.167196953889505</v>
      </c>
      <c r="AV113" s="23">
        <f>EXP(-LN(2)/25)*AV112+(1-EXP(-LN(2)/25))/(LN(2)/25)*Calculateur!AQ113*Calculateur!AS113*VLOOKUP('Données projet'!$B$10,Paramètres!$A$1:$I$89,3,0)*0.475*44/12</f>
        <v>1.7021547606404248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15.86935171452993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56.796479999999875</v>
      </c>
      <c r="D114" s="12">
        <f t="shared" si="86"/>
        <v>16.355750325985774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10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564.68388321813484</v>
      </c>
      <c r="H114" s="70">
        <f t="shared" si="56"/>
        <v>420.74013448442497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61.920120153277935</v>
      </c>
      <c r="T114" s="62">
        <f t="shared" si="88"/>
        <v>346.77984765566453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14.198039904155324</v>
      </c>
      <c r="AA114" s="23">
        <f>EXP(-LN(2)/25)*AA113+(1-EXP(-LN(2)/25))/(LN(2)/25)*Calculateur!V114*Calculateur!X114*VLOOKUP('Données projet'!$B$9,Paramètres!$A$1:$I$89,3,0)*0.475*44/12</f>
        <v>1.6924005658471348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15.89044047000246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0</v>
      </c>
      <c r="AJ114" s="14">
        <f>AI114*VLOOKUP('Données projet'!$B$10,Paramètres!$A$1:$I$89,3,0)*VLOOKUP('Données projet'!$B$10,Paramètres!$A$1:$I$89,5,0)</f>
        <v>0</v>
      </c>
      <c r="AK114" s="14" t="e">
        <f t="shared" si="89"/>
        <v>#NUM!</v>
      </c>
      <c r="AL114" s="22" t="e">
        <f t="shared" si="58"/>
        <v>#NUM!</v>
      </c>
      <c r="AM114" s="62" t="e">
        <f t="shared" si="59"/>
        <v>#NUM!</v>
      </c>
      <c r="AN114" s="62">
        <f ca="1">AVERAGE(OFFSET($AM$3,0,0,'Données projet'!$E$10+1,1))-AVERAGE(OFFSET($H$3,0,0,'Données projet'!$E$10+1,1))</f>
        <v>60.374143206158408</v>
      </c>
      <c r="AO114" s="62">
        <f t="shared" si="90"/>
        <v>338.95520219048694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13.889386862760633</v>
      </c>
      <c r="AV114" s="23">
        <f>EXP(-LN(2)/25)*AV113+(1-EXP(-LN(2)/25))/(LN(2)/25)*Calculateur!AQ114*Calculateur!AS114*VLOOKUP('Données projet'!$B$10,Paramètres!$A$1:$I$89,3,0)*0.475*44/12</f>
        <v>1.6556092491982839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15.544996111958916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57.308159999999873</v>
      </c>
      <c r="D115" s="12">
        <f t="shared" si="86"/>
        <v>16.485879954521028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10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569.63820315770511</v>
      </c>
      <c r="H115" s="70">
        <f t="shared" si="56"/>
        <v>421.85795292079058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61.920120153277935</v>
      </c>
      <c r="T115" s="62">
        <f t="shared" si="88"/>
        <v>346.77984765566453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13.91962500158408</v>
      </c>
      <c r="AA115" s="23">
        <f>EXP(-LN(2)/25)*AA114+(1-EXP(-LN(2)/25))/(LN(2)/25)*Calculateur!V115*Calculateur!X115*VLOOKUP('Données projet'!$B$9,Paramètres!$A$1:$I$89,3,0)*0.475*44/12</f>
        <v>1.6461217833745672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15.565746784958648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0</v>
      </c>
      <c r="AJ115" s="14">
        <f>AI115*VLOOKUP('Données projet'!$B$10,Paramètres!$A$1:$I$89,3,0)*VLOOKUP('Données projet'!$B$10,Paramètres!$A$1:$I$89,5,0)</f>
        <v>0</v>
      </c>
      <c r="AK115" s="14" t="e">
        <f t="shared" si="89"/>
        <v>#NUM!</v>
      </c>
      <c r="AL115" s="22" t="e">
        <f t="shared" si="58"/>
        <v>#NUM!</v>
      </c>
      <c r="AM115" s="62" t="e">
        <f t="shared" si="59"/>
        <v>#NUM!</v>
      </c>
      <c r="AN115" s="62">
        <f ca="1">AVERAGE(OFFSET($AM$3,0,0,'Données projet'!$E$10+1,1))-AVERAGE(OFFSET($H$3,0,0,'Données projet'!$E$10+1,1))</f>
        <v>60.374143206158408</v>
      </c>
      <c r="AO115" s="62">
        <f t="shared" si="90"/>
        <v>338.95520219048694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13.617024458071374</v>
      </c>
      <c r="AV115" s="23">
        <f>EXP(-LN(2)/25)*AV114+(1-EXP(-LN(2)/25))/(LN(2)/25)*Calculateur!AQ115*Calculateur!AS115*VLOOKUP('Données projet'!$B$10,Paramètres!$A$1:$I$89,3,0)*0.475*44/12</f>
        <v>1.6103365272142502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15.227360985285625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57.819839999999871</v>
      </c>
      <c r="D116" s="12">
        <f t="shared" si="86"/>
        <v>16.615874409545881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10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574.59147965263389</v>
      </c>
      <c r="H116" s="70">
        <f t="shared" si="56"/>
        <v>422.97553592995882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61.920120153277935</v>
      </c>
      <c r="T116" s="62">
        <f t="shared" si="88"/>
        <v>346.77984765566453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13.646669645435937</v>
      </c>
      <c r="AA116" s="23">
        <f>EXP(-LN(2)/25)*AA115+(1-EXP(-LN(2)/25))/(LN(2)/25)*Calculateur!V116*Calculateur!X116*VLOOKUP('Données projet'!$B$9,Paramètres!$A$1:$I$89,3,0)*0.475*44/12</f>
        <v>1.6011084966424074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15.247778142078344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0</v>
      </c>
      <c r="AJ116" s="14">
        <f>AI116*VLOOKUP('Données projet'!$B$10,Paramètres!$A$1:$I$89,3,0)*VLOOKUP('Données projet'!$B$10,Paramètres!$A$1:$I$89,5,0)</f>
        <v>0</v>
      </c>
      <c r="AK116" s="14" t="e">
        <f t="shared" si="89"/>
        <v>#NUM!</v>
      </c>
      <c r="AL116" s="22" t="e">
        <f t="shared" si="58"/>
        <v>#NUM!</v>
      </c>
      <c r="AM116" s="62" t="e">
        <f t="shared" si="59"/>
        <v>#NUM!</v>
      </c>
      <c r="AN116" s="62">
        <f ca="1">AVERAGE(OFFSET($AM$3,0,0,'Données projet'!$E$10+1,1))-AVERAGE(OFFSET($H$3,0,0,'Données projet'!$E$10+1,1))</f>
        <v>60.374143206158408</v>
      </c>
      <c r="AO116" s="62">
        <f t="shared" si="90"/>
        <v>338.95520219048694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13.350002914013407</v>
      </c>
      <c r="AV116" s="23">
        <f>EXP(-LN(2)/25)*AV115+(1-EXP(-LN(2)/25))/(LN(2)/25)*Calculateur!AQ116*Calculateur!AS116*VLOOKUP('Données projet'!$B$10,Paramètres!$A$1:$I$89,3,0)*0.475*44/12</f>
        <v>1.5663017901936591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14.916304704207066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58.33151999999987</v>
      </c>
      <c r="D117" s="12">
        <f t="shared" si="86"/>
        <v>16.74573502587419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10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579.54372300674697</v>
      </c>
      <c r="H117" s="70">
        <f t="shared" si="56"/>
        <v>424.0928858367306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61.920120153277935</v>
      </c>
      <c r="T117" s="62">
        <f t="shared" si="88"/>
        <v>346.77984765566453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13.379066777335529</v>
      </c>
      <c r="AA117" s="23">
        <f>EXP(-LN(2)/25)*AA116+(1-EXP(-LN(2)/25))/(LN(2)/25)*Calculateur!V117*Calculateur!X117*VLOOKUP('Données projet'!$B$9,Paramètres!$A$1:$I$89,3,0)*0.475*44/12</f>
        <v>1.5573261006030843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14.936392877938614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0</v>
      </c>
      <c r="AJ117" s="14">
        <f>AI117*VLOOKUP('Données projet'!$B$10,Paramètres!$A$1:$I$89,3,0)*VLOOKUP('Données projet'!$B$10,Paramètres!$A$1:$I$89,5,0)</f>
        <v>0</v>
      </c>
      <c r="AK117" s="14" t="e">
        <f t="shared" si="89"/>
        <v>#NUM!</v>
      </c>
      <c r="AL117" s="22" t="e">
        <f t="shared" si="58"/>
        <v>#NUM!</v>
      </c>
      <c r="AM117" s="62" t="e">
        <f t="shared" si="59"/>
        <v>#NUM!</v>
      </c>
      <c r="AN117" s="62">
        <f ca="1">AVERAGE(OFFSET($AM$3,0,0,'Données projet'!$E$10+1,1))-AVERAGE(OFFSET($H$3,0,0,'Données projet'!$E$10+1,1))</f>
        <v>60.374143206158408</v>
      </c>
      <c r="AO117" s="62">
        <f t="shared" si="90"/>
        <v>338.95520219048694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13.088217499567357</v>
      </c>
      <c r="AV117" s="23">
        <f>EXP(-LN(2)/25)*AV116+(1-EXP(-LN(2)/25))/(LN(2)/25)*Calculateur!AQ117*Calculateur!AS117*VLOOKUP('Données projet'!$B$10,Paramètres!$A$1:$I$89,3,0)*0.475*44/12</f>
        <v>1.5234711853725822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14.611688684939939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58.843199999999868</v>
      </c>
      <c r="D118" s="12">
        <f t="shared" si="86"/>
        <v>16.875463113550776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10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584.4949433326716</v>
      </c>
      <c r="H118" s="70">
        <f t="shared" si="56"/>
        <v>425.21000492276733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61.920120153277935</v>
      </c>
      <c r="T118" s="62">
        <f t="shared" si="88"/>
        <v>346.77984765566453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13.116711438256939</v>
      </c>
      <c r="AA118" s="23">
        <f>EXP(-LN(2)/25)*AA117+(1-EXP(-LN(2)/25))/(LN(2)/25)*Calculateur!V118*Calculateur!X118*VLOOKUP('Données projet'!$B$9,Paramètres!$A$1:$I$89,3,0)*0.475*44/12</f>
        <v>1.5147409364858726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14.63145237474281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0</v>
      </c>
      <c r="AJ118" s="14">
        <f>AI118*VLOOKUP('Données projet'!$B$10,Paramètres!$A$1:$I$89,3,0)*VLOOKUP('Données projet'!$B$10,Paramètres!$A$1:$I$89,5,0)</f>
        <v>0</v>
      </c>
      <c r="AK118" s="14" t="e">
        <f t="shared" si="89"/>
        <v>#NUM!</v>
      </c>
      <c r="AL118" s="22" t="e">
        <f t="shared" si="58"/>
        <v>#NUM!</v>
      </c>
      <c r="AM118" s="62" t="e">
        <f t="shared" si="59"/>
        <v>#NUM!</v>
      </c>
      <c r="AN118" s="62">
        <f ca="1">AVERAGE(OFFSET($AM$3,0,0,'Données projet'!$E$10+1,1))-AVERAGE(OFFSET($H$3,0,0,'Données projet'!$E$10+1,1))</f>
        <v>60.374143206158408</v>
      </c>
      <c r="AO118" s="62">
        <f t="shared" si="90"/>
        <v>338.95520219048694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12.831565537425258</v>
      </c>
      <c r="AV118" s="23">
        <f>EXP(-LN(2)/25)*AV117+(1-EXP(-LN(2)/25))/(LN(2)/25)*Calculateur!AQ118*Calculateur!AS118*VLOOKUP('Données projet'!$B$10,Paramètres!$A$1:$I$89,3,0)*0.475*44/12</f>
        <v>1.4818117856927013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14.313377323117958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59.354879999999866</v>
      </c>
      <c r="D119" s="12">
        <f t="shared" si="86"/>
        <v>17.005059958522384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10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589.4451505570139</v>
      </c>
      <c r="H119" s="70">
        <f t="shared" si="56"/>
        <v>426.32689542775955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61.920120153277935</v>
      </c>
      <c r="T119" s="62">
        <f t="shared" si="88"/>
        <v>346.77984765566453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12.859500727356723</v>
      </c>
      <c r="AA119" s="23">
        <f>EXP(-LN(2)/25)*AA118+(1-EXP(-LN(2)/25))/(LN(2)/25)*Calculateur!V119*Calculateur!X119*VLOOKUP('Données projet'!$B$9,Paramètres!$A$1:$I$89,3,0)*0.475*44/12</f>
        <v>1.4733202659209026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14.332820993277625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0</v>
      </c>
      <c r="AJ119" s="14">
        <f>AI119*VLOOKUP('Données projet'!$B$10,Paramètres!$A$1:$I$89,3,0)*VLOOKUP('Données projet'!$B$10,Paramètres!$A$1:$I$89,5,0)</f>
        <v>0</v>
      </c>
      <c r="AK119" s="14" t="e">
        <f t="shared" si="89"/>
        <v>#NUM!</v>
      </c>
      <c r="AL119" s="22" t="e">
        <f t="shared" si="58"/>
        <v>#NUM!</v>
      </c>
      <c r="AM119" s="62" t="e">
        <f t="shared" si="59"/>
        <v>#NUM!</v>
      </c>
      <c r="AN119" s="62">
        <f ca="1">AVERAGE(OFFSET($AM$3,0,0,'Données projet'!$E$10+1,1))-AVERAGE(OFFSET($H$3,0,0,'Données projet'!$E$10+1,1))</f>
        <v>60.374143206158408</v>
      </c>
      <c r="AO119" s="62">
        <f t="shared" si="90"/>
        <v>338.95520219048694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12.579946363718525</v>
      </c>
      <c r="AV119" s="23">
        <f>EXP(-LN(2)/25)*AV118+(1-EXP(-LN(2)/25))/(LN(2)/25)*Calculateur!AQ119*Calculateur!AS119*VLOOKUP('Données projet'!$B$10,Paramètres!$A$1:$I$89,3,0)*0.475*44/12</f>
        <v>1.4412915644878392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14.021237928206364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59.866559999999865</v>
      </c>
      <c r="D120" s="12">
        <f t="shared" si="86"/>
        <v>17.134526823284808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10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594.39435442535546</v>
      </c>
      <c r="H120" s="70">
        <f t="shared" si="56"/>
        <v>427.44355955055414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61.920120153277935</v>
      </c>
      <c r="T120" s="62">
        <f t="shared" si="88"/>
        <v>346.77984765566453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12.607333761614218</v>
      </c>
      <c r="AA120" s="23">
        <f>EXP(-LN(2)/25)*AA119+(1-EXP(-LN(2)/25))/(LN(2)/25)*Calculateur!V120*Calculateur!X120*VLOOKUP('Données projet'!$B$9,Paramètres!$A$1:$I$89,3,0)*0.475*44/12</f>
        <v>1.4330322457707501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14.040366007384968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0</v>
      </c>
      <c r="AJ120" s="14">
        <f>AI120*VLOOKUP('Données projet'!$B$10,Paramètres!$A$1:$I$89,3,0)*VLOOKUP('Données projet'!$B$10,Paramètres!$A$1:$I$89,5,0)</f>
        <v>0</v>
      </c>
      <c r="AK120" s="14" t="e">
        <f t="shared" si="89"/>
        <v>#NUM!</v>
      </c>
      <c r="AL120" s="22" t="e">
        <f t="shared" si="58"/>
        <v>#NUM!</v>
      </c>
      <c r="AM120" s="62" t="e">
        <f t="shared" si="59"/>
        <v>#NUM!</v>
      </c>
      <c r="AN120" s="62">
        <f ca="1">AVERAGE(OFFSET($AM$3,0,0,'Données projet'!$E$10+1,1))-AVERAGE(OFFSET($H$3,0,0,'Données projet'!$E$10+1,1))</f>
        <v>60.374143206158408</v>
      </c>
      <c r="AO120" s="62">
        <f t="shared" si="90"/>
        <v>338.95520219048694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12.33326128853564</v>
      </c>
      <c r="AV120" s="23">
        <f>EXP(-LN(2)/25)*AV119+(1-EXP(-LN(2)/25))/(LN(2)/25)*Calculateur!AQ120*Calculateur!AS120*VLOOKUP('Données projet'!$B$10,Paramètres!$A$1:$I$89,3,0)*0.475*44/12</f>
        <v>1.40187937086269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13.735140659398329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60.378239999999863</v>
      </c>
      <c r="D121" s="12">
        <f t="shared" si="86"/>
        <v>17.263864947507184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10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599.34256450707198</v>
      </c>
      <c r="H121" s="70">
        <f t="shared" si="56"/>
        <v>428.55999945024143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61.920120153277935</v>
      </c>
      <c r="T121" s="62">
        <f t="shared" si="88"/>
        <v>346.77984765566453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12.360111636263261</v>
      </c>
      <c r="AA121" s="23">
        <f>EXP(-LN(2)/25)*AA120+(1-EXP(-LN(2)/25))/(LN(2)/25)*Calculateur!V121*Calculateur!X121*VLOOKUP('Données projet'!$B$9,Paramètres!$A$1:$I$89,3,0)*0.475*44/12</f>
        <v>1.3938459036502584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13.753957539913518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0</v>
      </c>
      <c r="AJ121" s="14">
        <f>AI121*VLOOKUP('Données projet'!$B$10,Paramètres!$A$1:$I$89,3,0)*VLOOKUP('Données projet'!$B$10,Paramètres!$A$1:$I$89,5,0)</f>
        <v>0</v>
      </c>
      <c r="AK121" s="14" t="e">
        <f t="shared" si="89"/>
        <v>#NUM!</v>
      </c>
      <c r="AL121" s="22" t="e">
        <f t="shared" si="58"/>
        <v>#NUM!</v>
      </c>
      <c r="AM121" s="62" t="e">
        <f t="shared" si="59"/>
        <v>#NUM!</v>
      </c>
      <c r="AN121" s="62">
        <f ca="1">AVERAGE(OFFSET($AM$3,0,0,'Données projet'!$E$10+1,1))-AVERAGE(OFFSET($H$3,0,0,'Données projet'!$E$10+1,1))</f>
        <v>60.374143206158408</v>
      </c>
      <c r="AO121" s="62">
        <f t="shared" si="90"/>
        <v>338.95520219048694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12.091413557214052</v>
      </c>
      <c r="AV121" s="23">
        <f>EXP(-LN(2)/25)*AV120+(1-EXP(-LN(2)/25))/(LN(2)/25)*Calculateur!AQ121*Calculateur!AS121*VLOOKUP('Données projet'!$B$10,Paramètres!$A$1:$I$89,3,0)*0.475*44/12</f>
        <v>1.3635449057448177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13.454958462958869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60.889919999999861</v>
      </c>
      <c r="D122" s="12">
        <f t="shared" si="86"/>
        <v>17.393075548634652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10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604.28979019998576</v>
      </c>
      <c r="H122" s="70">
        <f t="shared" si="56"/>
        <v>429.67621724720505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61.920120153277935</v>
      </c>
      <c r="T122" s="62">
        <f t="shared" si="88"/>
        <v>346.77984765566453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12.117737385999829</v>
      </c>
      <c r="AA122" s="23">
        <f>EXP(-LN(2)/25)*AA121+(1-EXP(-LN(2)/25))/(LN(2)/25)*Calculateur!V122*Calculateur!X122*VLOOKUP('Données projet'!$B$9,Paramètres!$A$1:$I$89,3,0)*0.475*44/12</f>
        <v>1.3557311141157717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13.473468500115601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0</v>
      </c>
      <c r="AJ122" s="14">
        <f>AI122*VLOOKUP('Données projet'!$B$10,Paramètres!$A$1:$I$89,3,0)*VLOOKUP('Données projet'!$B$10,Paramètres!$A$1:$I$89,5,0)</f>
        <v>0</v>
      </c>
      <c r="AK122" s="14" t="e">
        <f t="shared" si="89"/>
        <v>#NUM!</v>
      </c>
      <c r="AL122" s="22" t="e">
        <f t="shared" si="58"/>
        <v>#NUM!</v>
      </c>
      <c r="AM122" s="62" t="e">
        <f t="shared" si="59"/>
        <v>#NUM!</v>
      </c>
      <c r="AN122" s="62">
        <f ca="1">AVERAGE(OFFSET($AM$3,0,0,'Données projet'!$E$10+1,1))-AVERAGE(OFFSET($H$3,0,0,'Données projet'!$E$10+1,1))</f>
        <v>60.374143206158408</v>
      </c>
      <c r="AO122" s="62">
        <f t="shared" si="90"/>
        <v>338.95520219048694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11.854308312391129</v>
      </c>
      <c r="AV122" s="23">
        <f>EXP(-LN(2)/25)*AV121+(1-EXP(-LN(2)/25))/(LN(2)/25)*Calculateur!AQ122*Calculateur!AS122*VLOOKUP('Données projet'!$B$10,Paramètres!$A$1:$I$89,3,0)*0.475*44/12</f>
        <v>1.3262586985915155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13.180567010982646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61.40159999999986</v>
      </c>
      <c r="D123" s="12">
        <f t="shared" si="86"/>
        <v>17.522159822470073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10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609.23604073485569</v>
      </c>
      <c r="H123" s="70">
        <f t="shared" si="56"/>
        <v>430.79221502413509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61.920120153277935</v>
      </c>
      <c r="T123" s="62">
        <f t="shared" si="88"/>
        <v>346.77984765566453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11.880115946950369</v>
      </c>
      <c r="AA123" s="23">
        <f>EXP(-LN(2)/25)*AA122+(1-EXP(-LN(2)/25))/(LN(2)/25)*Calculateur!V123*Calculateur!X123*VLOOKUP('Données projet'!$B$9,Paramètres!$A$1:$I$89,3,0)*0.475*44/12</f>
        <v>1.3186585755054752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13.198774522455844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0</v>
      </c>
      <c r="AJ123" s="14">
        <f>AI123*VLOOKUP('Données projet'!$B$10,Paramètres!$A$1:$I$89,3,0)*VLOOKUP('Données projet'!$B$10,Paramètres!$A$1:$I$89,5,0)</f>
        <v>0</v>
      </c>
      <c r="AK123" s="14" t="e">
        <f t="shared" si="89"/>
        <v>#NUM!</v>
      </c>
      <c r="AL123" s="22" t="e">
        <f t="shared" si="58"/>
        <v>#NUM!</v>
      </c>
      <c r="AM123" s="62" t="e">
        <f t="shared" si="59"/>
        <v>#NUM!</v>
      </c>
      <c r="AN123" s="62">
        <f ca="1">AVERAGE(OFFSET($AM$3,0,0,'Données projet'!$E$10+1,1))-AVERAGE(OFFSET($H$3,0,0,'Données projet'!$E$10+1,1))</f>
        <v>60.374143206158408</v>
      </c>
      <c r="AO123" s="62">
        <f t="shared" si="90"/>
        <v>338.95520219048694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11.621852556799267</v>
      </c>
      <c r="AV123" s="23">
        <f>EXP(-LN(2)/25)*AV122+(1-EXP(-LN(2)/25))/(LN(2)/25)*Calculateur!AQ123*Calculateur!AS123*VLOOKUP('Données projet'!$B$10,Paramètres!$A$1:$I$89,3,0)*0.475*44/12</f>
        <v>1.2899920847336168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12.911844641532884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61.913279999999858</v>
      </c>
      <c r="D124" s="12">
        <f t="shared" si="86"/>
        <v>17.651118943735838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10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614.18132517971412</v>
      </c>
      <c r="H124" s="70">
        <f t="shared" si="56"/>
        <v>431.90799482700629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61.920120153277935</v>
      </c>
      <c r="T124" s="62">
        <f t="shared" si="88"/>
        <v>346.77984765566453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11.647154119385901</v>
      </c>
      <c r="AA124" s="23">
        <f>EXP(-LN(2)/25)*AA123+(1-EXP(-LN(2)/25))/(LN(2)/25)*Calculateur!V124*Calculateur!X124*VLOOKUP('Données projet'!$B$9,Paramètres!$A$1:$I$89,3,0)*0.475*44/12</f>
        <v>1.2825997874130373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12.929753906798938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0</v>
      </c>
      <c r="AJ124" s="14">
        <f>AI124*VLOOKUP('Données projet'!$B$10,Paramètres!$A$1:$I$89,3,0)*VLOOKUP('Données projet'!$B$10,Paramètres!$A$1:$I$89,5,0)</f>
        <v>0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60.374143206158408</v>
      </c>
      <c r="AO124" s="62">
        <f t="shared" si="90"/>
        <v>338.95520219048694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11.393955116790549</v>
      </c>
      <c r="AV124" s="23">
        <f>EXP(-LN(2)/25)*AV123+(1-EXP(-LN(2)/25))/(LN(2)/25)*Calculateur!AQ124*Calculateur!AS124*VLOOKUP('Données projet'!$B$10,Paramètres!$A$1:$I$89,3,0)*0.475*44/12</f>
        <v>1.2547171833388406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12.648672300129389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62.424959999999857</v>
      </c>
      <c r="D125" s="12">
        <f t="shared" si="86"/>
        <v>17.779954066616529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10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619.1256524440563</v>
      </c>
      <c r="H125" s="70">
        <f t="shared" si="56"/>
        <v>433.02355866602352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61.920120153277935</v>
      </c>
      <c r="T125" s="62">
        <f t="shared" si="88"/>
        <v>346.77984765566453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11.418760531167289</v>
      </c>
      <c r="AA125" s="23">
        <f>EXP(-LN(2)/25)*AA124+(1-EXP(-LN(2)/25))/(LN(2)/25)*Calculateur!V125*Calculateur!X125*VLOOKUP('Données projet'!$B$9,Paramètres!$A$1:$I$89,3,0)*0.475*44/12</f>
        <v>1.2475270287772364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12.666287559944525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0</v>
      </c>
      <c r="AJ125" s="14">
        <f>AI125*VLOOKUP('Données projet'!$B$10,Paramètres!$A$1:$I$89,3,0)*VLOOKUP('Données projet'!$B$10,Paramètres!$A$1:$I$89,5,0)</f>
        <v>0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60.374143206158408</v>
      </c>
      <c r="AO125" s="62">
        <f t="shared" si="90"/>
        <v>338.95520219048694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11.170526606576688</v>
      </c>
      <c r="AV125" s="23">
        <f>EXP(-LN(2)/25)*AV124+(1-EXP(-LN(2)/25))/(LN(2)/25)*Calculateur!AQ125*Calculateur!AS125*VLOOKUP('Données projet'!$B$10,Paramètres!$A$1:$I$89,3,0)*0.475*44/12</f>
        <v>1.2204068759777311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12.39093348255442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62.936639999999855</v>
      </c>
      <c r="D126" s="12">
        <f t="shared" si="86"/>
        <v>17.908666325283399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10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624.06903128288832</v>
      </c>
      <c r="H126" s="70">
        <f t="shared" si="56"/>
        <v>434.13890851653497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61.920120153277935</v>
      </c>
      <c r="T126" s="62">
        <f t="shared" si="88"/>
        <v>346.77984765566453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11.194845601907309</v>
      </c>
      <c r="AA126" s="23">
        <f>EXP(-LN(2)/25)*AA125+(1-EXP(-LN(2)/25))/(LN(2)/25)*Calculateur!V126*Calculateur!X126*VLOOKUP('Données projet'!$B$9,Paramètres!$A$1:$I$89,3,0)*0.475*44/12</f>
        <v>1.2134133365707278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12.408258938478037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0</v>
      </c>
      <c r="AJ126" s="14">
        <f>AI126*VLOOKUP('Données projet'!$B$10,Paramètres!$A$1:$I$89,3,0)*VLOOKUP('Données projet'!$B$10,Paramètres!$A$1:$I$89,5,0)</f>
        <v>0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60.374143206158408</v>
      </c>
      <c r="AO126" s="62">
        <f t="shared" si="90"/>
        <v>338.95520219048694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10.951479393170187</v>
      </c>
      <c r="AV126" s="23">
        <f>EXP(-LN(2)/25)*AV125+(1-EXP(-LN(2)/25))/(LN(2)/25)*Calculateur!AQ126*Calculateur!AS126*VLOOKUP('Données projet'!$B$10,Paramètres!$A$1:$I$89,3,0)*0.475*44/12</f>
        <v>1.1870347857757118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12.138514178945899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63.448319999999853</v>
      </c>
      <c r="D127" s="12">
        <f t="shared" si="86"/>
        <v>18.037256834401116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10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629.01147030063919</v>
      </c>
      <c r="H127" s="70">
        <f t="shared" si="56"/>
        <v>435.25404631991501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61.920120153277935</v>
      </c>
      <c r="T127" s="62">
        <f t="shared" si="88"/>
        <v>346.77984765566453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10.975321507835497</v>
      </c>
      <c r="AA127" s="23">
        <f>EXP(-LN(2)/25)*AA126+(1-EXP(-LN(2)/25))/(LN(2)/25)*Calculateur!V127*Calculateur!X127*VLOOKUP('Données projet'!$B$9,Paramètres!$A$1:$I$89,3,0)*0.475*44/12</f>
        <v>1.1802324850715671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12.155553992907064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0</v>
      </c>
      <c r="AJ127" s="14">
        <f>AI127*VLOOKUP('Données projet'!$B$10,Paramètres!$A$1:$I$89,3,0)*VLOOKUP('Données projet'!$B$10,Paramètres!$A$1:$I$89,5,0)</f>
        <v>0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60.374143206158408</v>
      </c>
      <c r="AO127" s="62">
        <f t="shared" si="90"/>
        <v>338.95520219048694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10.73672756201298</v>
      </c>
      <c r="AV127" s="23">
        <f>EXP(-LN(2)/25)*AV126+(1-EXP(-LN(2)/25))/(LN(2)/25)*Calculateur!AQ127*Calculateur!AS127*VLOOKUP('Données projet'!$B$10,Paramètres!$A$1:$I$89,3,0)*0.475*44/12</f>
        <v>1.1545752571352286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11.891302819148208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63.959999999999852</v>
      </c>
      <c r="D128" s="12">
        <f t="shared" si="86"/>
        <v>18.165726689617916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10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633.95297795494412</v>
      </c>
      <c r="H128" s="70">
        <f t="shared" si="56"/>
        <v>436.36897398441761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61.920120153277935</v>
      </c>
      <c r="T128" s="62">
        <f t="shared" si="88"/>
        <v>346.77984765566453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10.760102147351958</v>
      </c>
      <c r="AA128" s="23">
        <f>EXP(-LN(2)/25)*AA127+(1-EXP(-LN(2)/25))/(LN(2)/25)*Calculateur!V128*Calculateur!X128*VLOOKUP('Données projet'!$B$9,Paramètres!$A$1:$I$89,3,0)*0.475*44/12</f>
        <v>1.1479589657015561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11.908061113053513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0</v>
      </c>
      <c r="AJ128" s="14">
        <f>AI128*VLOOKUP('Données projet'!$B$10,Paramètres!$A$1:$I$89,3,0)*VLOOKUP('Données projet'!$B$10,Paramètres!$A$1:$I$89,5,0)</f>
        <v>0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60.374143206158408</v>
      </c>
      <c r="AO128" s="62">
        <f t="shared" si="90"/>
        <v>338.95520219048694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10.526186883279083</v>
      </c>
      <c r="AV128" s="23">
        <f>EXP(-LN(2)/25)*AV127+(1-EXP(-LN(2)/25))/(LN(2)/25)*Calculateur!AQ128*Calculateur!AS128*VLOOKUP('Données projet'!$B$10,Paramètres!$A$1:$I$89,3,0)*0.475*44/12</f>
        <v>1.1230033360123919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11.649190219291475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64.47167999999985</v>
      </c>
      <c r="D129" s="12">
        <f t="shared" si="86"/>
        <v>18.294076968039381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10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638.89356256030294</v>
      </c>
      <c r="H129" s="70">
        <f t="shared" si="56"/>
        <v>437.48369338600162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61.920120153277935</v>
      </c>
      <c r="T129" s="62">
        <f t="shared" si="88"/>
        <v>346.77984765566453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10.549103107256652</v>
      </c>
      <c r="AA129" s="23">
        <f>EXP(-LN(2)/25)*AA128+(1-EXP(-LN(2)/25))/(LN(2)/25)*Calculateur!V129*Calculateur!X129*VLOOKUP('Données projet'!$B$9,Paramètres!$A$1:$I$89,3,0)*0.475*44/12</f>
        <v>1.1165679674159088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11.665671074672561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0</v>
      </c>
      <c r="AJ129" s="14">
        <f>AI129*VLOOKUP('Données projet'!$B$10,Paramètres!$A$1:$I$89,3,0)*VLOOKUP('Données projet'!$B$10,Paramètres!$A$1:$I$89,5,0)</f>
        <v>0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60.374143206158408</v>
      </c>
      <c r="AO129" s="62">
        <f t="shared" si="90"/>
        <v>338.95520219048694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10.319774778838022</v>
      </c>
      <c r="AV129" s="23">
        <f>EXP(-LN(2)/25)*AV128+(1-EXP(-LN(2)/25))/(LN(2)/25)*Calculateur!AQ129*Calculateur!AS129*VLOOKUP('Données projet'!$B$10,Paramètres!$A$1:$I$89,3,0)*0.475*44/12</f>
        <v>1.0922947507329543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11.412069529570976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64.983359999999848</v>
      </c>
      <c r="D130" s="12">
        <f t="shared" si="86"/>
        <v>18.422308728686971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10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643.83323229161749</v>
      </c>
      <c r="H130" s="70">
        <f t="shared" si="56"/>
        <v>438.59820636912951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61.920120153277935</v>
      </c>
      <c r="T130" s="62">
        <f t="shared" si="88"/>
        <v>346.77984765566453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10.342241629640908</v>
      </c>
      <c r="AA130" s="23">
        <f>EXP(-LN(2)/25)*AA129+(1-EXP(-LN(2)/25))/(LN(2)/25)*Calculateur!V130*Calculateur!X130*VLOOKUP('Données projet'!$B$9,Paramètres!$A$1:$I$89,3,0)*0.475*44/12</f>
        <v>1.0860353576291633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11.42827698727007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0</v>
      </c>
      <c r="AJ130" s="14">
        <f>AI130*VLOOKUP('Données projet'!$B$10,Paramètres!$A$1:$I$89,3,0)*VLOOKUP('Données projet'!$B$10,Paramètres!$A$1:$I$89,5,0)</f>
        <v>0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60.374143206158408</v>
      </c>
      <c r="AO130" s="62">
        <f t="shared" si="90"/>
        <v>338.95520219048694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10.117410289866099</v>
      </c>
      <c r="AV130" s="23">
        <f>EXP(-LN(2)/25)*AV129+(1-EXP(-LN(2)/25))/(LN(2)/25)*Calculateur!AQ130*Calculateur!AS130*VLOOKUP('Données projet'!$B$10,Paramètres!$A$1:$I$89,3,0)*0.475*44/12</f>
        <v>1.0624258933328772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11.179836183198976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65.495039999999847</v>
      </c>
      <c r="D131" s="12">
        <f t="shared" si="86"/>
        <v>18.550423012941557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10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648.7719951876179</v>
      </c>
      <c r="H131" s="70">
        <f t="shared" si="56"/>
        <v>439.71251474753956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61.920120153277935</v>
      </c>
      <c r="T131" s="62">
        <f t="shared" si="88"/>
        <v>346.77984765566453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10.139436579428166</v>
      </c>
      <c r="AA131" s="23">
        <f>EXP(-LN(2)/25)*AA130+(1-EXP(-LN(2)/25))/(LN(2)/25)*Calculateur!V131*Calculateur!X131*VLOOKUP('Données projet'!$B$9,Paramètres!$A$1:$I$89,3,0)*0.475*44/12</f>
        <v>1.0563376636626765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11.195774243090842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0</v>
      </c>
      <c r="AJ131" s="14">
        <f>AI131*VLOOKUP('Données projet'!$B$10,Paramètres!$A$1:$I$89,3,0)*VLOOKUP('Données projet'!$B$10,Paramètres!$A$1:$I$89,5,0)</f>
        <v>0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60.374143206158408</v>
      </c>
      <c r="AO131" s="62">
        <f t="shared" si="90"/>
        <v>338.95520219048694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9.919014045092764</v>
      </c>
      <c r="AV131" s="23">
        <f>EXP(-LN(2)/25)*AV130+(1-EXP(-LN(2)/25))/(LN(2)/25)*Calculateur!AQ131*Calculateur!AS131*VLOOKUP('Données projet'!$B$10,Paramètres!$A$1:$I$89,3,0)*0.475*44/12</f>
        <v>1.03337380140914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10.952387846501903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66.006719999999845</v>
      </c>
      <c r="D132" s="12">
        <f t="shared" si="86"/>
        <v>18.67842084497272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10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653.7098591541743</v>
      </c>
      <c r="H132" s="70">
        <f t="shared" ref="H132:H195" si="110">(B132+E132+F132)*44/12+(C132+D132)*0.475*44/12</f>
        <v>440.82662030499387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61.920120153277935</v>
      </c>
      <c r="T132" s="62">
        <f t="shared" si="88"/>
        <v>346.77984765566453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9.9406084125512297</v>
      </c>
      <c r="AA132" s="23">
        <f>EXP(-LN(2)/25)*AA131+(1-EXP(-LN(2)/25))/(LN(2)/25)*Calculateur!V132*Calculateur!X132*VLOOKUP('Données projet'!$B$9,Paramètres!$A$1:$I$89,3,0)*0.475*44/12</f>
        <v>1.0274520546994372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10.968060467250666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0</v>
      </c>
      <c r="AJ132" s="14">
        <f>AI132*VLOOKUP('Données projet'!$B$10,Paramètres!$A$1:$I$89,3,0)*VLOOKUP('Données projet'!$B$10,Paramètres!$A$1:$I$89,5,0)</f>
        <v>0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60.374143206158408</v>
      </c>
      <c r="AO132" s="62">
        <f t="shared" si="90"/>
        <v>338.95520219048694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9.7245082296696737</v>
      </c>
      <c r="AV132" s="23">
        <f>EXP(-LN(2)/25)*AV131+(1-EXP(-LN(2)/25))/(LN(2)/25)*Calculateur!AQ132*Calculateur!AS132*VLOOKUP('Données projet'!$B$10,Paramètres!$A$1:$I$89,3,0)*0.475*44/12</f>
        <v>1.0051161404668407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10.729624370136515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66.518399999999843</v>
      </c>
      <c r="D133" s="12">
        <f t="shared" ref="D133:D196" si="140">IFERROR(EXP(-1.0587+0.8836*LN(C133)+0.284),0)</f>
        <v>18.806303232154395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10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658.64683196750639</v>
      </c>
      <c r="H133" s="70">
        <f t="shared" si="110"/>
        <v>441.94052479600191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61.920120153277935</v>
      </c>
      <c r="T133" s="62">
        <f t="shared" ref="T133:T196" si="142">$T$3</f>
        <v>346.77984765566453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9.7456791447535434</v>
      </c>
      <c r="AA133" s="23">
        <f>EXP(-LN(2)/25)*AA132+(1-EXP(-LN(2)/25))/(LN(2)/25)*Calculateur!V133*Calculateur!X133*VLOOKUP('Données projet'!$B$9,Paramètres!$A$1:$I$89,3,0)*0.475*44/12</f>
        <v>0.99935632423232579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10.745035468985868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0</v>
      </c>
      <c r="AJ133" s="14">
        <f>AI133*VLOOKUP('Données projet'!$B$10,Paramètres!$A$1:$I$89,3,0)*VLOOKUP('Données projet'!$B$10,Paramètres!$A$1:$I$89,5,0)</f>
        <v>0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60.374143206158408</v>
      </c>
      <c r="AO133" s="62">
        <f t="shared" ref="AO133:AO196" si="144">$AO$3</f>
        <v>338.95520219048694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9.5338165546501976</v>
      </c>
      <c r="AV133" s="23">
        <f>EXP(-LN(2)/25)*AV132+(1-EXP(-LN(2)/25))/(LN(2)/25)*Calculateur!AQ133*Calculateur!AS133*VLOOKUP('Données projet'!$B$10,Paramètres!$A$1:$I$89,3,0)*0.475*44/12</f>
        <v>0.97763118674901439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10.511447741399213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67.030079999999842</v>
      </c>
      <c r="D134" s="12">
        <f t="shared" si="140"/>
        <v>18.934071165467319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10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663.58292127729044</v>
      </c>
      <c r="H134" s="70">
        <f t="shared" si="110"/>
        <v>443.0542299465219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61.920120153277935</v>
      </c>
      <c r="T134" s="62">
        <f t="shared" si="142"/>
        <v>346.77984765566453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9.5545723210022562</v>
      </c>
      <c r="AA134" s="23">
        <f>EXP(-LN(2)/25)*AA133+(1-EXP(-LN(2)/25))/(LN(2)/25)*Calculateur!V134*Calculateur!X134*VLOOKUP('Données projet'!$B$9,Paramètres!$A$1:$I$89,3,0)*0.475*44/12</f>
        <v>0.97202887299232776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10.526601193994583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0</v>
      </c>
      <c r="AJ134" s="14">
        <f>AI134*VLOOKUP('Données projet'!$B$10,Paramètres!$A$1:$I$89,3,0)*VLOOKUP('Données projet'!$B$10,Paramètres!$A$1:$I$89,5,0)</f>
        <v>0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60.374143206158408</v>
      </c>
      <c r="AO134" s="62">
        <f t="shared" si="144"/>
        <v>338.95520219048694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9.3468642270674174</v>
      </c>
      <c r="AV134" s="23">
        <f>EXP(-LN(2)/25)*AV133+(1-EXP(-LN(2)/25))/(LN(2)/25)*Calculateur!AQ134*Calculateur!AS134*VLOOKUP('Données projet'!$B$10,Paramètres!$A$1:$I$89,3,0)*0.475*44/12</f>
        <v>0.95089781053597289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10.297762037603391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67.54175999999984</v>
      </c>
      <c r="D135" s="12">
        <f t="shared" si="140"/>
        <v>19.06172561988889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10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668.51813460966741</v>
      </c>
      <c r="H135" s="70">
        <f t="shared" si="110"/>
        <v>444.16773745463951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61.920120153277935</v>
      </c>
      <c r="T135" s="62">
        <f t="shared" si="142"/>
        <v>346.77984765566453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9.3672129855010784</v>
      </c>
      <c r="AA135" s="23">
        <f>EXP(-LN(2)/25)*AA134+(1-EXP(-LN(2)/25))/(LN(2)/25)*Calculateur!V135*Calculateur!X135*VLOOKUP('Données projet'!$B$9,Paramètres!$A$1:$I$89,3,0)*0.475*44/12</f>
        <v>0.94544869234357576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10.312661677844654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0</v>
      </c>
      <c r="AJ135" s="14">
        <f>AI135*VLOOKUP('Données projet'!$B$10,Paramètres!$A$1:$I$89,3,0)*VLOOKUP('Données projet'!$B$10,Paramètres!$A$1:$I$89,5,0)</f>
        <v>0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60.374143206158408</v>
      </c>
      <c r="AO135" s="62">
        <f t="shared" si="144"/>
        <v>338.95520219048694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9.1635779205988737</v>
      </c>
      <c r="AV135" s="23">
        <f>EXP(-LN(2)/25)*AV134+(1-EXP(-LN(2)/25))/(LN(2)/25)*Calculateur!AQ135*Calculateur!AS135*VLOOKUP('Données projet'!$B$10,Paramètres!$A$1:$I$89,3,0)*0.475*44/12</f>
        <v>0.92489545990132416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10.088473380500197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68.053439999999839</v>
      </c>
      <c r="D136" s="12">
        <f t="shared" si="140"/>
        <v>19.189267554770797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10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673.45247937015927</v>
      </c>
      <c r="H136" s="70">
        <f t="shared" si="110"/>
        <v>445.28104899122548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61.920120153277935</v>
      </c>
      <c r="T136" s="62">
        <f t="shared" si="142"/>
        <v>346.77984765566453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9.1835276522911684</v>
      </c>
      <c r="AA136" s="23">
        <f>EXP(-LN(2)/25)*AA135+(1-EXP(-LN(2)/25))/(LN(2)/25)*Calculateur!V136*Calculateur!X136*VLOOKUP('Données projet'!$B$9,Paramètres!$A$1:$I$89,3,0)*0.475*44/12</f>
        <v>0.9195953481324548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10.103123000423624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0</v>
      </c>
      <c r="AJ136" s="14">
        <f>AI136*VLOOKUP('Données projet'!$B$10,Paramètres!$A$1:$I$89,3,0)*VLOOKUP('Données projet'!$B$10,Paramètres!$A$1:$I$89,5,0)</f>
        <v>0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60.374143206158408</v>
      </c>
      <c r="AO136" s="62">
        <f t="shared" si="144"/>
        <v>338.95520219048694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8.9838857468065711</v>
      </c>
      <c r="AV136" s="23">
        <f>EXP(-LN(2)/25)*AV135+(1-EXP(-LN(2)/25))/(LN(2)/25)*Calculateur!AQ136*Calculateur!AS136*VLOOKUP('Données projet'!$B$10,Paramètres!$A$1:$I$89,3,0)*0.475*44/12</f>
        <v>0.8996041449121841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9.8834898917187548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68.565119999999837</v>
      </c>
      <c r="D137" s="12">
        <f t="shared" si="140"/>
        <v>19.316697914205022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10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678.38596284649373</v>
      </c>
      <c r="H137" s="70">
        <f t="shared" si="110"/>
        <v>446.39416620057341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61.920120153277935</v>
      </c>
      <c r="T137" s="62">
        <f t="shared" si="142"/>
        <v>346.77984765566453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9.0034442764285139</v>
      </c>
      <c r="AA137" s="23">
        <f>EXP(-LN(2)/25)*AA136+(1-EXP(-LN(2)/25))/(LN(2)/25)*Calculateur!V137*Calculateur!X137*VLOOKUP('Données projet'!$B$9,Paramètres!$A$1:$I$89,3,0)*0.475*44/12</f>
        <v>0.89444896497835524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9.8978932414068694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0</v>
      </c>
      <c r="AJ137" s="14">
        <f>AI137*VLOOKUP('Données projet'!$B$10,Paramètres!$A$1:$I$89,3,0)*VLOOKUP('Données projet'!$B$10,Paramètres!$A$1:$I$89,5,0)</f>
        <v>0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60.374143206158408</v>
      </c>
      <c r="AO137" s="62">
        <f t="shared" si="144"/>
        <v>338.95520219048694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8.8077172269409321</v>
      </c>
      <c r="AV137" s="23">
        <f>EXP(-LN(2)/25)*AV136+(1-EXP(-LN(2)/25))/(LN(2)/25)*Calculateur!AQ137*Calculateur!AS137*VLOOKUP('Données projet'!$B$10,Paramètres!$A$1:$I$89,3,0)*0.475*44/12</f>
        <v>0.87500442226143449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9.6827216492023673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69.076799999999835</v>
      </c>
      <c r="D138" s="12">
        <f t="shared" si="140"/>
        <v>19.444017627378631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10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683.31859221134255</v>
      </c>
      <c r="H138" s="70">
        <f t="shared" si="110"/>
        <v>447.50709070101743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61.920120153277935</v>
      </c>
      <c r="T138" s="62">
        <f t="shared" si="142"/>
        <v>346.77984765566453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8.8268922257265121</v>
      </c>
      <c r="AA138" s="23">
        <f>EXP(-LN(2)/25)*AA137+(1-EXP(-LN(2)/25))/(LN(2)/25)*Calculateur!V138*Calculateur!X138*VLOOKUP('Données projet'!$B$9,Paramètres!$A$1:$I$89,3,0)*0.475*44/12</f>
        <v>0.86999021099399532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9.6968824367205073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0</v>
      </c>
      <c r="AJ138" s="14">
        <f>AI138*VLOOKUP('Données projet'!$B$10,Paramètres!$A$1:$I$89,3,0)*VLOOKUP('Données projet'!$B$10,Paramètres!$A$1:$I$89,5,0)</f>
        <v>0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60.374143206158408</v>
      </c>
      <c r="AO138" s="62">
        <f t="shared" si="144"/>
        <v>338.95520219048694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8.6350032642976711</v>
      </c>
      <c r="AV138" s="23">
        <f>EXP(-LN(2)/25)*AV137+(1-EXP(-LN(2)/25))/(LN(2)/25)*Calculateur!AQ138*Calculateur!AS138*VLOOKUP('Données projet'!$B$10,Paramètres!$A$1:$I$89,3,0)*0.475*44/12</f>
        <v>0.85107738032021285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9.4860806446178838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69.588479999999834</v>
      </c>
      <c r="D139" s="12">
        <f t="shared" si="140"/>
        <v>19.571227608917628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10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688.25037452497691</v>
      </c>
      <c r="H139" s="70">
        <f t="shared" si="110"/>
        <v>448.61982408553121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61.920120153277935</v>
      </c>
      <c r="T139" s="62">
        <f t="shared" si="142"/>
        <v>346.77984765566453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8.6538022530526604</v>
      </c>
      <c r="AA139" s="23">
        <f>EXP(-LN(2)/25)*AA138+(1-EXP(-LN(2)/25))/(LN(2)/25)*Calculateur!V139*Calculateur!X139*VLOOKUP('Données projet'!$B$9,Paramètres!$A$1:$I$89,3,0)*0.475*44/12</f>
        <v>0.84620028292356775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9.500002535976229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0</v>
      </c>
      <c r="AJ139" s="14">
        <f>AI139*VLOOKUP('Données projet'!$B$10,Paramètres!$A$1:$I$89,3,0)*VLOOKUP('Données projet'!$B$10,Paramètres!$A$1:$I$89,5,0)</f>
        <v>0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60.374143206158408</v>
      </c>
      <c r="AO139" s="62">
        <f t="shared" si="144"/>
        <v>338.95520219048694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8.465676117116729</v>
      </c>
      <c r="AV139" s="23">
        <f>EXP(-LN(2)/25)*AV138+(1-EXP(-LN(2)/25))/(LN(2)/25)*Calculateur!AQ139*Calculateur!AS139*VLOOKUP('Données projet'!$B$10,Paramètres!$A$1:$I$89,3,0)*0.475*44/12</f>
        <v>0.82780462459914239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9.2934807417158716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70.100159999999832</v>
      </c>
      <c r="D140" s="12">
        <f t="shared" si="140"/>
        <v>19.698328759220548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10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693.18131673784148</v>
      </c>
      <c r="H140" s="70">
        <f t="shared" si="110"/>
        <v>449.73236792230875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61.920120153277935</v>
      </c>
      <c r="T140" s="62">
        <f t="shared" si="142"/>
        <v>346.77984765566453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8.4841064691684842</v>
      </c>
      <c r="AA140" s="23">
        <f>EXP(-LN(2)/25)*AA139+(1-EXP(-LN(2)/25))/(LN(2)/25)*Calculateur!V140*Calculateur!X140*VLOOKUP('Données projet'!$B$9,Paramètres!$A$1:$I$89,3,0)*0.475*44/12</f>
        <v>0.82306089168728391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9.3071673608557681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0</v>
      </c>
      <c r="AJ140" s="14">
        <f>AI140*VLOOKUP('Données projet'!$B$10,Paramètres!$A$1:$I$89,3,0)*VLOOKUP('Données projet'!$B$10,Paramètres!$A$1:$I$89,5,0)</f>
        <v>0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60.374143206158408</v>
      </c>
      <c r="AO140" s="62">
        <f t="shared" si="144"/>
        <v>338.95520219048694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8.2996693720126427</v>
      </c>
      <c r="AV140" s="23">
        <f>EXP(-LN(2)/25)*AV139+(1-EXP(-LN(2)/25))/(LN(2)/25)*Calculateur!AQ140*Calculateur!AS140*VLOOKUP('Données projet'!$B$10,Paramètres!$A$1:$I$89,3,0)*0.475*44/12</f>
        <v>0.80516826360712557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9.1048376356197682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70.61183999999983</v>
      </c>
      <c r="D141" s="12">
        <f t="shared" si="140"/>
        <v>19.825321964781974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10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698.11142569305264</v>
      </c>
      <c r="H141" s="70">
        <f t="shared" si="110"/>
        <v>450.84472375532829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61.920120153277935</v>
      </c>
      <c r="T141" s="62">
        <f t="shared" si="142"/>
        <v>346.77984765566453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8.3177383161020675</v>
      </c>
      <c r="AA141" s="23">
        <f>EXP(-LN(2)/25)*AA140+(1-EXP(-LN(2)/25))/(LN(2)/25)*Calculateur!V141*Calculateur!X141*VLOOKUP('Données projet'!$B$9,Paramètres!$A$1:$I$89,3,0)*0.475*44/12</f>
        <v>0.80055424832120392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9.1182925644232711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0</v>
      </c>
      <c r="AJ141" s="14">
        <f>AI141*VLOOKUP('Données projet'!$B$10,Paramètres!$A$1:$I$89,3,0)*VLOOKUP('Données projet'!$B$10,Paramètres!$A$1:$I$89,5,0)</f>
        <v>0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60.374143206158408</v>
      </c>
      <c r="AO141" s="62">
        <f t="shared" si="144"/>
        <v>338.95520219048694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8.1369179179259312</v>
      </c>
      <c r="AV141" s="23">
        <f>EXP(-LN(2)/25)*AV140+(1-EXP(-LN(2)/25))/(LN(2)/25)*Calculateur!AQ141*Calculateur!AS141*VLOOKUP('Données projet'!$B$10,Paramètres!$A$1:$I$89,3,0)*0.475*44/12</f>
        <v>0.78315089509683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8.9200688130227608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71.123519999999829</v>
      </c>
      <c r="D142" s="12">
        <f t="shared" si="140"/>
        <v>19.952208098506347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10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703.04070812881957</v>
      </c>
      <c r="H142" s="70">
        <f t="shared" si="110"/>
        <v>451.9568931048982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61.920120153277935</v>
      </c>
      <c r="T142" s="62">
        <f t="shared" si="142"/>
        <v>346.77984765566453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8.1546325410427301</v>
      </c>
      <c r="AA142" s="23">
        <f>EXP(-LN(2)/25)*AA141+(1-EXP(-LN(2)/25))/(LN(2)/25)*Calculateur!V142*Calculateur!X142*VLOOKUP('Données projet'!$B$9,Paramètres!$A$1:$I$89,3,0)*0.475*44/12</f>
        <v>0.77866305030154237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8.9332955913442724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0</v>
      </c>
      <c r="AJ142" s="14">
        <f>AI142*VLOOKUP('Données projet'!$B$10,Paramètres!$A$1:$I$89,3,0)*VLOOKUP('Données projet'!$B$10,Paramètres!$A$1:$I$89,5,0)</f>
        <v>0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60.374143206158408</v>
      </c>
      <c r="AO142" s="62">
        <f t="shared" si="144"/>
        <v>338.95520219048694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7.9773579205852752</v>
      </c>
      <c r="AV142" s="23">
        <f>EXP(-LN(2)/25)*AV141+(1-EXP(-LN(2)/25))/(LN(2)/25)*Calculateur!AQ142*Calculateur!AS142*VLOOKUP('Données projet'!$B$10,Paramètres!$A$1:$I$89,3,0)*0.475*44/12</f>
        <v>0.76173559268629154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8.7390935132715661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71.635199999999827</v>
      </c>
      <c r="D143" s="12">
        <f t="shared" si="140"/>
        <v>20.078988020012602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10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707.96917068079767</v>
      </c>
      <c r="H143" s="70">
        <f t="shared" si="110"/>
        <v>453.06887746818825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61.920120153277935</v>
      </c>
      <c r="T143" s="62">
        <f t="shared" si="142"/>
        <v>346.77984765566453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7.994725170747607</v>
      </c>
      <c r="AA143" s="23">
        <f>EXP(-LN(2)/25)*AA142+(1-EXP(-LN(2)/25))/(LN(2)/25)*Calculateur!V143*Calculateur!X143*VLOOKUP('Données projet'!$B$9,Paramètres!$A$1:$I$89,3,0)*0.475*44/12</f>
        <v>0.75737046824293652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8.7520956389905429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0</v>
      </c>
      <c r="AJ143" s="14">
        <f>AI143*VLOOKUP('Données projet'!$B$10,Paramètres!$A$1:$I$89,3,0)*VLOOKUP('Données projet'!$B$10,Paramètres!$A$1:$I$89,5,0)</f>
        <v>0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60.374143206158408</v>
      </c>
      <c r="AO143" s="62">
        <f t="shared" si="144"/>
        <v>338.95520219048694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7.8209267974704808</v>
      </c>
      <c r="AV143" s="23">
        <f>EXP(-LN(2)/25)*AV142+(1-EXP(-LN(2)/25))/(LN(2)/25)*Calculateur!AQ143*Calculateur!AS143*VLOOKUP('Données projet'!$B$10,Paramètres!$A$1:$I$89,3,0)*0.475*44/12</f>
        <v>0.740905892846351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8.561832690316832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72.146879999999825</v>
      </c>
      <c r="D144" s="12">
        <f t="shared" si="140"/>
        <v>20.205662575929779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10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712.89681988436894</v>
      </c>
      <c r="H144" s="70">
        <f t="shared" si="110"/>
        <v>454.18067831974406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61.920120153277935</v>
      </c>
      <c r="T144" s="62">
        <f t="shared" si="142"/>
        <v>346.77984765566453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7.8379534864501057</v>
      </c>
      <c r="AA144" s="23">
        <f>EXP(-LN(2)/25)*AA143+(1-EXP(-LN(2)/25))/(LN(2)/25)*Calculateur!V144*Calculateur!X144*VLOOKUP('Données projet'!$B$9,Paramètres!$A$1:$I$89,3,0)*0.475*44/12</f>
        <v>0.73666013296045152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8.5746136194105578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0</v>
      </c>
      <c r="AJ144" s="14">
        <f>AI144*VLOOKUP('Données projet'!$B$10,Paramètres!$A$1:$I$89,3,0)*VLOOKUP('Données projet'!$B$10,Paramètres!$A$1:$I$89,5,0)</f>
        <v>0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60.374143206158408</v>
      </c>
      <c r="AO144" s="62">
        <f t="shared" si="144"/>
        <v>338.95520219048694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7.6675631932664041</v>
      </c>
      <c r="AV144" s="23">
        <f>EXP(-LN(2)/25)*AV143+(1-EXP(-LN(2)/25))/(LN(2)/25)*Calculateur!AQ144*Calculateur!AS144*VLOOKUP('Données projet'!$B$10,Paramètres!$A$1:$I$89,3,0)*0.475*44/12</f>
        <v>0.72064578224391995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8.3882089755103237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72.658559999999824</v>
      </c>
      <c r="D145" s="12">
        <f t="shared" si="140"/>
        <v>20.33223260018395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10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717.82366217685728</v>
      </c>
      <c r="H145" s="70">
        <f t="shared" si="110"/>
        <v>455.29229711198673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61.920120153277935</v>
      </c>
      <c r="T145" s="62">
        <f t="shared" si="142"/>
        <v>346.77984765566453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7.6842559992603929</v>
      </c>
      <c r="AA145" s="23">
        <f>EXP(-LN(2)/25)*AA144+(1-EXP(-LN(2)/25))/(LN(2)/25)*Calculateur!V145*Calculateur!X145*VLOOKUP('Données projet'!$B$9,Paramètres!$A$1:$I$89,3,0)*0.475*44/12</f>
        <v>0.71651612288537525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8.400772122145769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0</v>
      </c>
      <c r="AJ145" s="14">
        <f>AI145*VLOOKUP('Données projet'!$B$10,Paramètres!$A$1:$I$89,3,0)*VLOOKUP('Données projet'!$B$10,Paramètres!$A$1:$I$89,5,0)</f>
        <v>0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60.374143206158408</v>
      </c>
      <c r="AO145" s="62">
        <f t="shared" si="144"/>
        <v>338.95520219048694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7.5172069557982066</v>
      </c>
      <c r="AV145" s="23">
        <f>EXP(-LN(2)/25)*AV144+(1-EXP(-LN(2)/25))/(LN(2)/25)*Calculateur!AQ145*Calculateur!AS145*VLOOKUP('Données projet'!$B$10,Paramètres!$A$1:$I$89,3,0)*0.475*44/12</f>
        <v>0.70093968543134533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8.2181466412295521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73.170239999999822</v>
      </c>
      <c r="D146" s="12">
        <f t="shared" si="140"/>
        <v>20.458698914277004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10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722.74970389968087</v>
      </c>
      <c r="H146" s="70">
        <f t="shared" si="110"/>
        <v>456.40373527569875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61.920120153277935</v>
      </c>
      <c r="T146" s="62">
        <f t="shared" si="142"/>
        <v>346.77984765566453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7.5335724260482602</v>
      </c>
      <c r="AA146" s="23">
        <f>EXP(-LN(2)/25)*AA145+(1-EXP(-LN(2)/25))/(LN(2)/25)*Calculateur!V146*Calculateur!X146*VLOOKUP('Données projet'!$B$9,Paramètres!$A$1:$I$89,3,0)*0.475*44/12</f>
        <v>0.69692295182512942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8.2304953778733889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0</v>
      </c>
      <c r="AJ146" s="14">
        <f>AI146*VLOOKUP('Données projet'!$B$10,Paramètres!$A$1:$I$89,3,0)*VLOOKUP('Données projet'!$B$10,Paramètres!$A$1:$I$89,5,0)</f>
        <v>0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60.374143206158408</v>
      </c>
      <c r="AO146" s="62">
        <f t="shared" si="144"/>
        <v>338.95520219048694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7.3697991124385114</v>
      </c>
      <c r="AV146" s="23">
        <f>EXP(-LN(2)/25)*AV145+(1-EXP(-LN(2)/25))/(LN(2)/25)*Calculateur!AQ146*Calculateur!AS146*VLOOKUP('Données projet'!$B$10,Paramètres!$A$1:$I$89,3,0)*0.475*44/12</f>
        <v>0.68177245287240917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8.0515715653109208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73.68191999999982</v>
      </c>
      <c r="D147" s="12">
        <f t="shared" si="140"/>
        <v>20.585062327557253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10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727.67495130044063</v>
      </c>
      <c r="H147" s="70">
        <f t="shared" si="110"/>
        <v>457.51499422049517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61.920120153277935</v>
      </c>
      <c r="T147" s="62">
        <f t="shared" si="142"/>
        <v>346.77984765566453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7.3858436657989124</v>
      </c>
      <c r="AA147" s="23">
        <f>EXP(-LN(2)/25)*AA146+(1-EXP(-LN(2)/25))/(LN(2)/25)*Calculateur!V147*Calculateur!X147*VLOOKUP('Données projet'!$B$9,Paramètres!$A$1:$I$89,3,0)*0.475*44/12</f>
        <v>0.67786555705788609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8.063709222856799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0</v>
      </c>
      <c r="AJ147" s="14">
        <f>AI147*VLOOKUP('Données projet'!$B$10,Paramètres!$A$1:$I$89,3,0)*VLOOKUP('Données projet'!$B$10,Paramètres!$A$1:$I$89,5,0)</f>
        <v>0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60.374143206158408</v>
      </c>
      <c r="AO147" s="62">
        <f t="shared" si="144"/>
        <v>338.95520219048694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7.2252818469771931</v>
      </c>
      <c r="AV147" s="23">
        <f>EXP(-LN(2)/25)*AV146+(1-EXP(-LN(2)/25))/(LN(2)/25)*Calculateur!AQ147*Calculateur!AS147*VLOOKUP('Données projet'!$B$10,Paramètres!$A$1:$I$89,3,0)*0.475*44/12</f>
        <v>0.66312934929575806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7.8884111962729513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74.193599999999819</v>
      </c>
      <c r="D148" s="12">
        <f t="shared" si="140"/>
        <v>20.711323637482316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10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732.59941053494993</v>
      </c>
      <c r="H148" s="70">
        <f t="shared" si="110"/>
        <v>458.62607533528137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61.920120153277935</v>
      </c>
      <c r="T148" s="62">
        <f t="shared" si="142"/>
        <v>346.77984765566453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7.2410117764324076</v>
      </c>
      <c r="AA148" s="23">
        <f>EXP(-LN(2)/25)*AA147+(1-EXP(-LN(2)/25))/(LN(2)/25)*Calculateur!V148*Calculateur!X148*VLOOKUP('Données projet'!$B$9,Paramètres!$A$1:$I$89,3,0)*0.475*44/12</f>
        <v>0.6593292877527378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7.9003410641851453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0</v>
      </c>
      <c r="AJ148" s="14">
        <f>AI148*VLOOKUP('Données projet'!$B$10,Paramètres!$A$1:$I$89,3,0)*VLOOKUP('Données projet'!$B$10,Paramètres!$A$1:$I$89,5,0)</f>
        <v>0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60.374143206158408</v>
      </c>
      <c r="AO148" s="62">
        <f t="shared" si="144"/>
        <v>338.95520219048694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7.0835984769447435</v>
      </c>
      <c r="AV148" s="23">
        <f>EXP(-LN(2)/25)*AV147+(1-EXP(-LN(2)/25))/(LN(2)/25)*Calculateur!AQ148*Calculateur!AS148*VLOOKUP('Données projet'!$B$10,Paramètres!$A$1:$I$89,3,0)*0.475*44/12</f>
        <v>0.64499604236680863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7.7285945193115522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74.705279999999817</v>
      </c>
      <c r="D149" s="12">
        <f t="shared" si="140"/>
        <v>20.837483629874683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10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737.52308766920669</v>
      </c>
      <c r="H149" s="70">
        <f t="shared" si="110"/>
        <v>459.73697998869807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61.920120153277935</v>
      </c>
      <c r="T149" s="62">
        <f t="shared" si="142"/>
        <v>346.77984765566453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7.0990199520776507</v>
      </c>
      <c r="AA149" s="23">
        <f>EXP(-LN(2)/25)*AA148+(1-EXP(-LN(2)/25))/(LN(2)/25)*Calculateur!V149*Calculateur!X149*VLOOKUP('Données projet'!$B$9,Paramètres!$A$1:$I$89,3,0)*0.475*44/12</f>
        <v>0.64129989370651885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7.7403198457841693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0</v>
      </c>
      <c r="AJ149" s="14">
        <f>AI149*VLOOKUP('Données projet'!$B$10,Paramètres!$A$1:$I$89,3,0)*VLOOKUP('Données projet'!$B$10,Paramètres!$A$1:$I$89,5,0)</f>
        <v>0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60.374143206158408</v>
      </c>
      <c r="AO149" s="62">
        <f t="shared" si="144"/>
        <v>338.95520219048694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6.9446934313803075</v>
      </c>
      <c r="AV149" s="23">
        <f>EXP(-LN(2)/25)*AV148+(1-EXP(-LN(2)/25))/(LN(2)/25)*Calculateur!AQ149*Calculateur!AS149*VLOOKUP('Données projet'!$B$10,Paramètres!$A$1:$I$89,3,0)*0.475*44/12</f>
        <v>0.62735859166942054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7.5720520230497277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75.216959999999816</v>
      </c>
      <c r="D150" s="12">
        <f t="shared" si="140"/>
        <v>20.963543079169888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10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742.44598868131015</v>
      </c>
      <c r="H150" s="70">
        <f t="shared" si="110"/>
        <v>460.84770952955387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61.920120153277935</v>
      </c>
      <c r="T150" s="62">
        <f t="shared" si="142"/>
        <v>346.77984765566453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6.9598125007920295</v>
      </c>
      <c r="AA150" s="23">
        <f>EXP(-LN(2)/25)*AA149+(1-EXP(-LN(2)/25))/(LN(2)/25)*Calculateur!V150*Calculateur!X150*VLOOKUP('Données projet'!$B$9,Paramètres!$A$1:$I$89,3,0)*0.475*44/12</f>
        <v>0.62376351438861843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7.5835760151806477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0</v>
      </c>
      <c r="AJ150" s="14">
        <f>AI150*VLOOKUP('Données projet'!$B$10,Paramètres!$A$1:$I$89,3,0)*VLOOKUP('Données projet'!$B$10,Paramètres!$A$1:$I$89,5,0)</f>
        <v>0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60.374143206158408</v>
      </c>
      <c r="AO150" s="62">
        <f t="shared" si="144"/>
        <v>338.95520219048694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6.8085122290356779</v>
      </c>
      <c r="AV150" s="23">
        <f>EXP(-LN(2)/25)*AV149+(1-EXP(-LN(2)/25))/(LN(2)/25)*Calculateur!AQ150*Calculateur!AS150*VLOOKUP('Données projet'!$B$10,Paramètres!$A$1:$I$89,3,0)*0.475*44/12</f>
        <v>0.61020343798886578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7.4187156670245438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75.728639999999814</v>
      </c>
      <c r="D151" s="12">
        <f t="shared" si="140"/>
        <v>21.089502748657871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10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747.36811946332261</v>
      </c>
      <c r="H151" s="70">
        <f t="shared" si="110"/>
        <v>461.95826528724547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61.920120153277935</v>
      </c>
      <c r="T151" s="62">
        <f t="shared" si="142"/>
        <v>346.77984765566453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6.8233348227179578</v>
      </c>
      <c r="AA151" s="23">
        <f>EXP(-LN(2)/25)*AA150+(1-EXP(-LN(2)/25))/(LN(2)/25)*Calculateur!V151*Calculateur!X151*VLOOKUP('Données projet'!$B$9,Paramètres!$A$1:$I$89,3,0)*0.475*44/12</f>
        <v>0.60670666828536413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7.4300414910033217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0</v>
      </c>
      <c r="AJ151" s="14">
        <f>AI151*VLOOKUP('Données projet'!$B$10,Paramètres!$A$1:$I$89,3,0)*VLOOKUP('Données projet'!$B$10,Paramètres!$A$1:$I$89,5,0)</f>
        <v>0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60.374143206158408</v>
      </c>
      <c r="AO151" s="62">
        <f t="shared" si="144"/>
        <v>338.95520219048694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6.6750014570066947</v>
      </c>
      <c r="AV151" s="23">
        <f>EXP(-LN(2)/25)*AV150+(1-EXP(-LN(2)/25))/(LN(2)/25)*Calculateur!AQ151*Calculateur!AS151*VLOOKUP('Données projet'!$B$10,Paramètres!$A$1:$I$89,3,0)*0.475*44/12</f>
        <v>0.5935173928878561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7.2685188498945505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76.240319999999812</v>
      </c>
      <c r="D152" s="12">
        <f t="shared" si="140"/>
        <v>21.215363390717592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10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752.28948582308192</v>
      </c>
      <c r="H152" s="70">
        <f t="shared" si="110"/>
        <v>463.06864857216613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61.920120153277935</v>
      </c>
      <c r="T152" s="62">
        <f t="shared" si="142"/>
        <v>346.77984765566453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6.6895333886677548</v>
      </c>
      <c r="AA152" s="23">
        <f>EXP(-LN(2)/25)*AA151+(1-EXP(-LN(2)/25))/(LN(2)/25)*Calculateur!V152*Calculateur!X152*VLOOKUP('Données projet'!$B$9,Paramètres!$A$1:$I$89,3,0)*0.475*44/12</f>
        <v>0.59011624253578376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7.2796496312035384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0</v>
      </c>
      <c r="AJ152" s="14">
        <f>AI152*VLOOKUP('Données projet'!$B$10,Paramètres!$A$1:$I$89,3,0)*VLOOKUP('Données projet'!$B$10,Paramètres!$A$1:$I$89,5,0)</f>
        <v>0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60.374143206158408</v>
      </c>
      <c r="AO152" s="62">
        <f t="shared" si="144"/>
        <v>338.95520219048694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6.5441087497836694</v>
      </c>
      <c r="AV152" s="23">
        <f>EXP(-LN(2)/25)*AV151+(1-EXP(-LN(2)/25))/(LN(2)/25)*Calculateur!AQ152*Calculateur!AS152*VLOOKUP('Données projet'!$B$10,Paramètres!$A$1:$I$89,3,0)*0.475*44/12</f>
        <v>0.57728762856761451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7.1213963783512835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76.751999999999811</v>
      </c>
      <c r="D153" s="12">
        <f t="shared" si="140"/>
        <v>21.341125747045069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10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757.21009348596044</v>
      </c>
      <c r="H153" s="70">
        <f t="shared" si="110"/>
        <v>464.17886067610311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61.920120153277935</v>
      </c>
      <c r="T153" s="62">
        <f t="shared" si="142"/>
        <v>346.77984765566453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6.5583557191284596</v>
      </c>
      <c r="AA153" s="23">
        <f>EXP(-LN(2)/25)*AA152+(1-EXP(-LN(2)/25))/(LN(2)/25)*Calculateur!V153*Calculateur!X153*VLOOKUP('Données projet'!$B$9,Paramètres!$A$1:$I$89,3,0)*0.475*44/12</f>
        <v>0.57397948285077827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7.1323352019792381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0</v>
      </c>
      <c r="AJ153" s="14">
        <f>AI153*VLOOKUP('Données projet'!$B$10,Paramètres!$A$1:$I$89,3,0)*VLOOKUP('Données projet'!$B$10,Paramètres!$A$1:$I$89,5,0)</f>
        <v>0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60.374143206158408</v>
      </c>
      <c r="AO153" s="62">
        <f t="shared" si="144"/>
        <v>338.95520219048694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6.4157827687126199</v>
      </c>
      <c r="AV153" s="23">
        <f>EXP(-LN(2)/25)*AV152+(1-EXP(-LN(2)/25))/(LN(2)/25)*Calculateur!AQ153*Calculateur!AS153*VLOOKUP('Données projet'!$B$10,Paramètres!$A$1:$I$89,3,0)*0.475*44/12</f>
        <v>0.56150166800619616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6.9772844367188158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77.263679999999809</v>
      </c>
      <c r="D154" s="12">
        <f t="shared" si="140"/>
        <v>21.466790548875405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10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762.12994809658073</v>
      </c>
      <c r="H154" s="70">
        <f t="shared" si="110"/>
        <v>465.28890287262431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61.920120153277935</v>
      </c>
      <c r="T154" s="62">
        <f t="shared" si="142"/>
        <v>346.77984765566453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6.4297503636783517</v>
      </c>
      <c r="AA154" s="23">
        <f>EXP(-LN(2)/25)*AA153+(1-EXP(-LN(2)/25))/(LN(2)/25)*Calculateur!V154*Calculateur!X154*VLOOKUP('Données projet'!$B$9,Paramètres!$A$1:$I$89,3,0)*0.475*44/12</f>
        <v>0.55828398370795462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6.9880343473863062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0</v>
      </c>
      <c r="AJ154" s="14">
        <f>AI154*VLOOKUP('Données projet'!$B$10,Paramètres!$A$1:$I$89,3,0)*VLOOKUP('Données projet'!$B$10,Paramètres!$A$1:$I$89,5,0)</f>
        <v>0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60.374143206158408</v>
      </c>
      <c r="AO154" s="62">
        <f t="shared" si="144"/>
        <v>338.95520219048694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6.2899731818592537</v>
      </c>
      <c r="AV154" s="23">
        <f>EXP(-LN(2)/25)*AV153+(1-EXP(-LN(2)/25))/(LN(2)/25)*Calculateur!AQ154*Calculateur!AS154*VLOOKUP('Données projet'!$B$10,Paramètres!$A$1:$I$89,3,0)*0.475*44/12</f>
        <v>0.54614737536647739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6.8361205572257315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77.775359999999807</v>
      </c>
      <c r="D155" s="12">
        <f t="shared" si="140"/>
        <v>21.592358517198448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10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767.04905522047773</v>
      </c>
      <c r="H155" s="70">
        <f t="shared" si="110"/>
        <v>466.39877641745363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61.920120153277935</v>
      </c>
      <c r="T155" s="62">
        <f t="shared" si="142"/>
        <v>346.77984765566453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6.303666880807099</v>
      </c>
      <c r="AA155" s="23">
        <f>EXP(-LN(2)/25)*AA154+(1-EXP(-LN(2)/25))/(LN(2)/25)*Calculateur!V155*Calculateur!X155*VLOOKUP('Données projet'!$B$9,Paramètres!$A$1:$I$89,3,0)*0.475*44/12</f>
        <v>0.54301767881458185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6.8466845596216812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0</v>
      </c>
      <c r="AJ155" s="14">
        <f>AI155*VLOOKUP('Données projet'!$B$10,Paramètres!$A$1:$I$89,3,0)*VLOOKUP('Données projet'!$B$10,Paramètres!$A$1:$I$89,5,0)</f>
        <v>0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60.374143206158408</v>
      </c>
      <c r="AO155" s="62">
        <f t="shared" si="144"/>
        <v>338.95520219048694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6.1666306442678112</v>
      </c>
      <c r="AV155" s="23">
        <f>EXP(-LN(2)/25)*AV154+(1-EXP(-LN(2)/25))/(LN(2)/25)*Calculateur!AQ155*Calculateur!AS155*VLOOKUP('Données projet'!$B$10,Paramètres!$A$1:$I$89,3,0)*0.475*44/12</f>
        <v>0.53121294666643881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6.6978435909342497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78.287039999999806</v>
      </c>
      <c r="D156" s="12">
        <f t="shared" si="140"/>
        <v>21.717830362968854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10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771.96742034572299</v>
      </c>
      <c r="H156" s="70">
        <f t="shared" si="110"/>
        <v>467.50848254883704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61.920120153277935</v>
      </c>
      <c r="T156" s="62">
        <f t="shared" si="142"/>
        <v>346.77984765566453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6.1800558181316214</v>
      </c>
      <c r="AA156" s="23">
        <f>EXP(-LN(2)/25)*AA155+(1-EXP(-LN(2)/25))/(LN(2)/25)*Calculateur!V156*Calculateur!X156*VLOOKUP('Données projet'!$B$9,Paramètres!$A$1:$I$89,3,0)*0.475*44/12</f>
        <v>0.52816883183133845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6.7082246499629594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0</v>
      </c>
      <c r="AJ156" s="14">
        <f>AI156*VLOOKUP('Données projet'!$B$10,Paramètres!$A$1:$I$89,3,0)*VLOOKUP('Données projet'!$B$10,Paramètres!$A$1:$I$89,5,0)</f>
        <v>0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60.374143206158408</v>
      </c>
      <c r="AO156" s="62">
        <f t="shared" si="144"/>
        <v>338.95520219048694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6.0457067786070171</v>
      </c>
      <c r="AV156" s="23">
        <f>EXP(-LN(2)/25)*AV155+(1-EXP(-LN(2)/25))/(LN(2)/25)*Calculateur!AQ156*Calculateur!AS156*VLOOKUP('Données projet'!$B$10,Paramètres!$A$1:$I$89,3,0)*0.475*44/12</f>
        <v>0.51668690070457024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6.5623936793115876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78.798719999999804</v>
      </c>
      <c r="D157" s="12">
        <f t="shared" si="140"/>
        <v>21.843206787310443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10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776.88504888450007</v>
      </c>
      <c r="H157" s="70">
        <f t="shared" si="110"/>
        <v>468.61802248789866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61.920120153277935</v>
      </c>
      <c r="T157" s="62">
        <f t="shared" si="142"/>
        <v>346.77984765566453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6.0588686929999058</v>
      </c>
      <c r="AA157" s="23">
        <f>EXP(-LN(2)/25)*AA156+(1-EXP(-LN(2)/25))/(LN(2)/25)*Calculateur!V157*Calculateur!X157*VLOOKUP('Données projet'!$B$9,Paramètres!$A$1:$I$89,3,0)*0.475*44/12</f>
        <v>0.51372602734971873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6.5725947203496249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0</v>
      </c>
      <c r="AJ157" s="14">
        <f>AI157*VLOOKUP('Données projet'!$B$10,Paramètres!$A$1:$I$89,3,0)*VLOOKUP('Données projet'!$B$10,Paramètres!$A$1:$I$89,5,0)</f>
        <v>0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60.374143206158408</v>
      </c>
      <c r="AO157" s="62">
        <f t="shared" si="144"/>
        <v>338.95520219048694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5.9271541561955567</v>
      </c>
      <c r="AV157" s="23">
        <f>EXP(-LN(2)/25)*AV156+(1-EXP(-LN(2)/25))/(LN(2)/25)*Calculateur!AQ157*Calculateur!AS157*VLOOKUP('Données projet'!$B$10,Paramètres!$A$1:$I$89,3,0)*0.475*44/12</f>
        <v>0.50255807023342058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6.4297122264289772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79.310399999999802</v>
      </c>
      <c r="D158" s="12">
        <f t="shared" si="140"/>
        <v>21.968488481714964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10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781.80194617464042</v>
      </c>
      <c r="H158" s="70">
        <f t="shared" si="110"/>
        <v>469.72739743898654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61.920120153277935</v>
      </c>
      <c r="T158" s="62">
        <f t="shared" si="142"/>
        <v>346.77984765566453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5.9400579734751755</v>
      </c>
      <c r="AA158" s="23">
        <f>EXP(-LN(2)/25)*AA157+(1-EXP(-LN(2)/25))/(LN(2)/25)*Calculateur!V158*Calculateur!X158*VLOOKUP('Données projet'!$B$9,Paramètres!$A$1:$I$89,3,0)*0.475*44/12</f>
        <v>0.499678162116163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6.439736135591339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0</v>
      </c>
      <c r="AJ158" s="14">
        <f>AI158*VLOOKUP('Données projet'!$B$10,Paramètres!$A$1:$I$89,3,0)*VLOOKUP('Données projet'!$B$10,Paramètres!$A$1:$I$89,5,0)</f>
        <v>0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60.374143206158408</v>
      </c>
      <c r="AO158" s="62">
        <f t="shared" si="144"/>
        <v>338.95520219048694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5.8109262783996254</v>
      </c>
      <c r="AV158" s="23">
        <f>EXP(-LN(2)/25)*AV157+(1-EXP(-LN(2)/25))/(LN(2)/25)*Calculateur!AQ158*Calculateur!AS158*VLOOKUP('Données projet'!$B$10,Paramètres!$A$1:$I$89,3,0)*0.475*44/12</f>
        <v>0.48881559337450742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6.2997418717741329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79.822079999999801</v>
      </c>
      <c r="D159" s="12">
        <f t="shared" si="140"/>
        <v>22.09367612823581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10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786.71811748111713</v>
      </c>
      <c r="H159" s="70">
        <f t="shared" si="110"/>
        <v>470.83660859001031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61.920120153277935</v>
      </c>
      <c r="T159" s="62">
        <f t="shared" si="142"/>
        <v>346.77984765566453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5.8235770596929424</v>
      </c>
      <c r="AA159" s="23">
        <f>EXP(-LN(2)/25)*AA158+(1-EXP(-LN(2)/25))/(LN(2)/25)*Calculateur!V159*Calculateur!X159*VLOOKUP('Données projet'!$B$9,Paramètres!$A$1:$I$89,3,0)*0.475*44/12</f>
        <v>0.48601443649616399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6.309591496189106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0</v>
      </c>
      <c r="AJ159" s="14">
        <f>AI159*VLOOKUP('Données projet'!$B$10,Paramètres!$A$1:$I$89,3,0)*VLOOKUP('Données projet'!$B$10,Paramètres!$A$1:$I$89,5,0)</f>
        <v>0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60.374143206158408</v>
      </c>
      <c r="AO159" s="62">
        <f t="shared" si="144"/>
        <v>338.95520219048694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5.6969775583952664</v>
      </c>
      <c r="AV159" s="23">
        <f>EXP(-LN(2)/25)*AV158+(1-EXP(-LN(2)/25))/(LN(2)/25)*Calculateur!AQ159*Calculateur!AS159*VLOOKUP('Données projet'!$B$10,Paramètres!$A$1:$I$89,3,0)*0.475*44/12</f>
        <v>0.47544890526798667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6.1724264636632533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80.333759999999799</v>
      </c>
      <c r="D160" s="12">
        <f t="shared" si="140"/>
        <v>22.218770399676412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10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791.63356799750056</v>
      </c>
      <c r="H160" s="70">
        <f t="shared" si="110"/>
        <v>471.94565711276937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61.920120153277935</v>
      </c>
      <c r="T160" s="62">
        <f t="shared" si="142"/>
        <v>346.77984765566453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5.7093802655836363</v>
      </c>
      <c r="AA160" s="23">
        <f>EXP(-LN(2)/25)*AA159+(1-EXP(-LN(2)/25))/(LN(2)/25)*Calculateur!V160*Calculateur!X160*VLOOKUP('Données projet'!$B$9,Paramètres!$A$1:$I$89,3,0)*0.475*44/12</f>
        <v>0.47272434617178799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6.1821046117554239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0</v>
      </c>
      <c r="AJ160" s="14">
        <f>AI160*VLOOKUP('Données projet'!$B$10,Paramètres!$A$1:$I$89,3,0)*VLOOKUP('Données projet'!$B$10,Paramètres!$A$1:$I$89,5,0)</f>
        <v>0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60.374143206158408</v>
      </c>
      <c r="AO160" s="62">
        <f t="shared" si="144"/>
        <v>338.95520219048694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5.585263303288337</v>
      </c>
      <c r="AV160" s="23">
        <f>EXP(-LN(2)/25)*AV159+(1-EXP(-LN(2)/25))/(LN(2)/25)*Calculateur!AQ160*Calculateur!AS160*VLOOKUP('Données projet'!$B$10,Paramètres!$A$1:$I$89,3,0)*0.475*44/12</f>
        <v>0.4624477299506623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6.0477110332389996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80.845439999999797</v>
      </c>
      <c r="D161" s="12">
        <f t="shared" si="140"/>
        <v>22.343771959773868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10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796.54830284737579</v>
      </c>
      <c r="H161" s="70">
        <f t="shared" si="110"/>
        <v>473.05454416327245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61.920120153277935</v>
      </c>
      <c r="T161" s="62">
        <f t="shared" si="142"/>
        <v>346.77984765566453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5.5974228009536473</v>
      </c>
      <c r="AA161" s="23">
        <f>EXP(-LN(2)/25)*AA160+(1-EXP(-LN(2)/25))/(LN(2)/25)*Calculateur!V161*Calculateur!X161*VLOOKUP('Données projet'!$B$9,Paramètres!$A$1:$I$89,3,0)*0.475*44/12</f>
        <v>0.45979767406622751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6.057220475019875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0</v>
      </c>
      <c r="AJ161" s="14">
        <f>AI161*VLOOKUP('Données projet'!$B$10,Paramètres!$A$1:$I$89,3,0)*VLOOKUP('Données projet'!$B$10,Paramètres!$A$1:$I$89,5,0)</f>
        <v>0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60.374143206158408</v>
      </c>
      <c r="AO161" s="62">
        <f t="shared" si="144"/>
        <v>338.95520219048694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5.4757396965850864</v>
      </c>
      <c r="AV161" s="23">
        <f>EXP(-LN(2)/25)*AV160+(1-EXP(-LN(2)/25))/(LN(2)/25)*Calculateur!AQ161*Calculateur!AS161*VLOOKUP('Données projet'!$B$10,Paramètres!$A$1:$I$89,3,0)*0.475*44/12</f>
        <v>0.44980207245609227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5.9255417690411782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81.357119999999796</v>
      </c>
      <c r="D162" s="12">
        <f t="shared" si="140"/>
        <v>22.468681463377592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10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801.46232708572018</v>
      </c>
      <c r="H162" s="70">
        <f t="shared" si="110"/>
        <v>474.16327088204889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61.920120153277935</v>
      </c>
      <c r="T162" s="62">
        <f t="shared" si="142"/>
        <v>346.77984765566453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5.4876607539177416</v>
      </c>
      <c r="AA162" s="23">
        <f>EXP(-LN(2)/25)*AA161+(1-EXP(-LN(2)/25))/(LN(2)/25)*Calculateur!V162*Calculateur!X162*VLOOKUP('Données projet'!$B$9,Paramètres!$A$1:$I$89,3,0)*0.475*44/12</f>
        <v>0.44722448248917773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5.9348852364069193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0</v>
      </c>
      <c r="AJ162" s="14">
        <f>AI162*VLOOKUP('Données projet'!$B$10,Paramètres!$A$1:$I$89,3,0)*VLOOKUP('Données projet'!$B$10,Paramètres!$A$1:$I$89,5,0)</f>
        <v>0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60.374143206158408</v>
      </c>
      <c r="AO162" s="62">
        <f t="shared" si="144"/>
        <v>338.95520219048694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5.368363781006483</v>
      </c>
      <c r="AV162" s="23">
        <f>EXP(-LN(2)/25)*AV161+(1-EXP(-LN(2)/25))/(LN(2)/25)*Calculateur!AQ162*Calculateur!AS162*VLOOKUP('Données projet'!$B$10,Paramètres!$A$1:$I$89,3,0)*0.475*44/12</f>
        <v>0.43750221113071747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5.8058659921372007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81.868799999999794</v>
      </c>
      <c r="D163" s="12">
        <f t="shared" si="140"/>
        <v>22.593499556623552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10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806.37564570025052</v>
      </c>
      <c r="H163" s="70">
        <f t="shared" si="110"/>
        <v>475.27183839445229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61.920120153277935</v>
      </c>
      <c r="T163" s="62">
        <f t="shared" si="142"/>
        <v>346.77984765566453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5.3800510736759719</v>
      </c>
      <c r="AA163" s="23">
        <f>EXP(-LN(2)/25)*AA162+(1-EXP(-LN(2)/25))/(LN(2)/25)*Calculateur!V163*Calculateur!X163*VLOOKUP('Données projet'!$B$9,Paramètres!$A$1:$I$89,3,0)*0.475*44/12</f>
        <v>0.43499510549699777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5.8150461791729695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0</v>
      </c>
      <c r="AJ163" s="14">
        <f>AI163*VLOOKUP('Données projet'!$B$10,Paramètres!$A$1:$I$89,3,0)*VLOOKUP('Données projet'!$B$10,Paramètres!$A$1:$I$89,5,0)</f>
        <v>0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60.374143206158408</v>
      </c>
      <c r="AO163" s="62">
        <f t="shared" si="144"/>
        <v>338.95520219048694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5.2630934416395343</v>
      </c>
      <c r="AV163" s="23">
        <f>EXP(-LN(2)/25)*AV162+(1-EXP(-LN(2)/25))/(LN(2)/25)*Calculateur!AQ163*Calculateur!AS163*VLOOKUP('Données projet'!$B$10,Paramètres!$A$1:$I$89,3,0)*0.475*44/12</f>
        <v>0.42553869016010665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5.6886321317996407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82.380479999999793</v>
      </c>
      <c r="D164" s="12">
        <f t="shared" si="140"/>
        <v>22.718226877103923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10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811.28826361273059</v>
      </c>
      <c r="H164" s="70">
        <f t="shared" si="110"/>
        <v>476.38024781095561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61.920120153277935</v>
      </c>
      <c r="T164" s="62">
        <f t="shared" si="142"/>
        <v>346.77984765566453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5.274551553628319</v>
      </c>
      <c r="AA164" s="23">
        <f>EXP(-LN(2)/25)*AA163+(1-EXP(-LN(2)/25))/(LN(2)/25)*Calculateur!V164*Calculateur!X164*VLOOKUP('Données projet'!$B$9,Paramètres!$A$1:$I$89,3,0)*0.475*44/12</f>
        <v>0.42310014146178399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5.6976516950901033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0</v>
      </c>
      <c r="AJ164" s="14">
        <f>AI164*VLOOKUP('Données projet'!$B$10,Paramètres!$A$1:$I$89,3,0)*VLOOKUP('Données projet'!$B$10,Paramètres!$A$1:$I$89,5,0)</f>
        <v>0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60.374143206158408</v>
      </c>
      <c r="AO164" s="62">
        <f t="shared" si="144"/>
        <v>338.95520219048694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5.159887389419004</v>
      </c>
      <c r="AV164" s="23">
        <f>EXP(-LN(2)/25)*AV163+(1-EXP(-LN(2)/25))/(LN(2)/25)*Calculateur!AQ164*Calculateur!AS164*VLOOKUP('Données projet'!$B$10,Paramètres!$A$1:$I$89,3,0)*0.475*44/12</f>
        <v>0.41390231229957142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5.5737897017185754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82.892159999999791</v>
      </c>
      <c r="D165" s="12">
        <f t="shared" si="140"/>
        <v>22.842864054032304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10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816.20018568024773</v>
      </c>
      <c r="H165" s="70">
        <f t="shared" si="110"/>
        <v>477.4885002274392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61.920120153277935</v>
      </c>
      <c r="T165" s="62">
        <f t="shared" si="142"/>
        <v>346.77984765566453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5.1711208148204477</v>
      </c>
      <c r="AA165" s="23">
        <f>EXP(-LN(2)/25)*AA164+(1-EXP(-LN(2)/25))/(LN(2)/25)*Calculateur!V165*Calculateur!X165*VLOOKUP('Données projet'!$B$9,Paramètres!$A$1:$I$89,3,0)*0.475*44/12</f>
        <v>0.41153044584364207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5.5826512606640897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0</v>
      </c>
      <c r="AJ165" s="14">
        <f>AI165*VLOOKUP('Données projet'!$B$10,Paramètres!$A$1:$I$89,3,0)*VLOOKUP('Données projet'!$B$10,Paramètres!$A$1:$I$89,5,0)</f>
        <v>0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60.374143206158408</v>
      </c>
      <c r="AO165" s="62">
        <f t="shared" si="144"/>
        <v>338.95520219048694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5.0587051449330431</v>
      </c>
      <c r="AV165" s="23">
        <f>EXP(-LN(2)/25)*AV164+(1-EXP(-LN(2)/25))/(LN(2)/25)*Calculateur!AQ165*Calculateur!AS165*VLOOKUP('Données projet'!$B$10,Paramètres!$A$1:$I$89,3,0)*0.475*44/12</f>
        <v>0.40258413180356301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5.4612892767366059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83.403839999999789</v>
      </c>
      <c r="D166" s="12">
        <f t="shared" si="140"/>
        <v>22.967411708405042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10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821.11141669645838</v>
      </c>
      <c r="H166" s="70">
        <f t="shared" si="110"/>
        <v>478.59659672547173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61.920120153277935</v>
      </c>
      <c r="T166" s="62">
        <f t="shared" si="142"/>
        <v>346.77984765566453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5.0697182897140767</v>
      </c>
      <c r="AA166" s="23">
        <f>EXP(-LN(2)/25)*AA165+(1-EXP(-LN(2)/25))/(LN(2)/25)*Calculateur!V166*Calculateur!X166*VLOOKUP('Données projet'!$B$9,Paramètres!$A$1:$I$89,3,0)*0.475*44/12</f>
        <v>0.40027712416060207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5.4699954138746785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0</v>
      </c>
      <c r="AJ166" s="14">
        <f>AI166*VLOOKUP('Données projet'!$B$10,Paramètres!$A$1:$I$89,3,0)*VLOOKUP('Données projet'!$B$10,Paramètres!$A$1:$I$89,5,0)</f>
        <v>0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60.374143206158408</v>
      </c>
      <c r="AO166" s="62">
        <f t="shared" si="144"/>
        <v>338.95520219048694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4.9595070225463758</v>
      </c>
      <c r="AV166" s="23">
        <f>EXP(-LN(2)/25)*AV165+(1-EXP(-LN(2)/25))/(LN(2)/25)*Calculateur!AQ166*Calculateur!AS166*VLOOKUP('Données projet'!$B$10,Paramètres!$A$1:$I$89,3,0)*0.475*44/12</f>
        <v>0.39157544754841522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5.3510824700947914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83.915519999999788</v>
      </c>
      <c r="D167" s="12">
        <f t="shared" si="140"/>
        <v>23.09187045315802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10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826.02196139279715</v>
      </c>
      <c r="H167" s="70">
        <f t="shared" si="110"/>
        <v>479.70453837258316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61.920120153277935</v>
      </c>
      <c r="T167" s="62">
        <f t="shared" si="142"/>
        <v>346.77984765566453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4.9703042062756086</v>
      </c>
      <c r="AA167" s="23">
        <f>EXP(-LN(2)/25)*AA166+(1-EXP(-LN(2)/25))/(LN(2)/25)*Calculateur!V167*Calculateur!X167*VLOOKUP('Données projet'!$B$9,Paramètres!$A$1:$I$89,3,0)*0.475*44/12</f>
        <v>0.3893315251507713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5.3596357314263798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0</v>
      </c>
      <c r="AJ167" s="14">
        <f>AI167*VLOOKUP('Données projet'!$B$10,Paramètres!$A$1:$I$89,3,0)*VLOOKUP('Données projet'!$B$10,Paramètres!$A$1:$I$89,5,0)</f>
        <v>0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60.374143206158408</v>
      </c>
      <c r="AO167" s="62">
        <f t="shared" si="144"/>
        <v>338.95520219048694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4.8622541148348315</v>
      </c>
      <c r="AV167" s="23">
        <f>EXP(-LN(2)/25)*AV166+(1-EXP(-LN(2)/25))/(LN(2)/25)*Calculateur!AQ167*Calculateur!AS167*VLOOKUP('Données projet'!$B$10,Paramètres!$A$1:$I$89,3,0)*0.475*44/12</f>
        <v>0.38086779634314599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5.2431219111779779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84.427199999999786</v>
      </c>
      <c r="D168" s="12">
        <f t="shared" si="140"/>
        <v>23.216240893320059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10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830.93182443966214</v>
      </c>
      <c r="H168" s="70">
        <f t="shared" si="110"/>
        <v>480.81232622253208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61.920120153277935</v>
      </c>
      <c r="T168" s="62">
        <f t="shared" si="142"/>
        <v>346.77984765566453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4.8728395723767655</v>
      </c>
      <c r="AA168" s="23">
        <f>EXP(-LN(2)/25)*AA167+(1-EXP(-LN(2)/25))/(LN(2)/25)*Calculateur!V168*Calculateur!X168*VLOOKUP('Données projet'!$B$9,Paramètres!$A$1:$I$89,3,0)*0.475*44/12</f>
        <v>0.37868523412146837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5.2515248064982334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0</v>
      </c>
      <c r="AJ168" s="14">
        <f>AI168*VLOOKUP('Données projet'!$B$10,Paramètres!$A$1:$I$89,3,0)*VLOOKUP('Données projet'!$B$10,Paramètres!$A$1:$I$89,5,0)</f>
        <v>0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60.374143206158408</v>
      </c>
      <c r="AO168" s="62">
        <f t="shared" si="144"/>
        <v>338.95520219048694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4.7669082773250935</v>
      </c>
      <c r="AV168" s="23">
        <f>EXP(-LN(2)/25)*AV167+(1-EXP(-LN(2)/25))/(LN(2)/25)*Calculateur!AQ168*Calculateur!AS168*VLOOKUP('Données projet'!$B$10,Paramètres!$A$1:$I$89,3,0)*0.475*44/12</f>
        <v>0.37045294642317572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5.1373612237482691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84.938879999999784</v>
      </c>
      <c r="D169" s="12">
        <f t="shared" si="140"/>
        <v>23.340523626161978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10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835.8410104475646</v>
      </c>
      <c r="H169" s="70">
        <f t="shared" si="110"/>
        <v>481.91996131556505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61.920120153277935</v>
      </c>
      <c r="T169" s="62">
        <f t="shared" si="142"/>
        <v>346.77984765566453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4.7772861605011219</v>
      </c>
      <c r="AA169" s="23">
        <f>EXP(-LN(2)/25)*AA168+(1-EXP(-LN(2)/25))/(LN(2)/25)*Calculateur!V169*Calculateur!X169*VLOOKUP('Données projet'!$B$9,Paramètres!$A$1:$I$89,3,0)*0.475*44/12</f>
        <v>0.36833006648022587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5.1456162269813479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0</v>
      </c>
      <c r="AJ169" s="14">
        <f>AI169*VLOOKUP('Données projet'!$B$10,Paramètres!$A$1:$I$89,3,0)*VLOOKUP('Données projet'!$B$10,Paramètres!$A$1:$I$89,5,0)</f>
        <v>0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60.374143206158408</v>
      </c>
      <c r="AO169" s="62">
        <f t="shared" si="144"/>
        <v>338.95520219048694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4.6734321135337034</v>
      </c>
      <c r="AV169" s="23">
        <f>EXP(-LN(2)/25)*AV168+(1-EXP(-LN(2)/25))/(LN(2)/25)*Calculateur!AQ169*Calculateur!AS169*VLOOKUP('Données projet'!$B$10,Paramètres!$A$1:$I$89,3,0)*0.475*44/12</f>
        <v>0.3603228911219602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5.0337550046556636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85.450559999999783</v>
      </c>
      <c r="D170" s="12">
        <f t="shared" si="140"/>
        <v>23.464719241342319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10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840.74952396825495</v>
      </c>
      <c r="H170" s="70">
        <f t="shared" si="110"/>
        <v>483.0274446786708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61.920120153277935</v>
      </c>
      <c r="T170" s="62">
        <f t="shared" si="142"/>
        <v>346.77984765566453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4.683606492750533</v>
      </c>
      <c r="AA170" s="23">
        <f>EXP(-LN(2)/25)*AA169+(1-EXP(-LN(2)/25))/(LN(2)/25)*Calculateur!V170*Calculateur!X170*VLOOKUP('Données projet'!$B$9,Paramètres!$A$1:$I$89,3,0)*0.475*44/12</f>
        <v>0.35825806144268774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5.0418645541932205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0</v>
      </c>
      <c r="AJ170" s="14">
        <f>AI170*VLOOKUP('Données projet'!$B$10,Paramètres!$A$1:$I$89,3,0)*VLOOKUP('Données projet'!$B$10,Paramètres!$A$1:$I$89,5,0)</f>
        <v>0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60.374143206158408</v>
      </c>
      <c r="AO170" s="62">
        <f t="shared" si="144"/>
        <v>338.95520219048694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4.5817889602994324</v>
      </c>
      <c r="AV170" s="23">
        <f>EXP(-LN(2)/25)*AV169+(1-EXP(-LN(2)/25))/(LN(2)/25)*Calculateur!AQ170*Calculateur!AS170*VLOOKUP('Données projet'!$B$10,Paramètres!$A$1:$I$89,3,0)*0.475*44/12</f>
        <v>0.35046984271567289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4.9322588030151051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85.962239999999781</v>
      </c>
      <c r="D171" s="12">
        <f t="shared" si="140"/>
        <v>23.588828321049338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10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845.65736949581776</v>
      </c>
      <c r="H171" s="70">
        <f t="shared" si="110"/>
        <v>484.1347773258272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61.920120153277935</v>
      </c>
      <c r="T171" s="62">
        <f t="shared" si="142"/>
        <v>346.77984765566453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4.591763826145578</v>
      </c>
      <c r="AA171" s="23">
        <f>EXP(-LN(2)/25)*AA170+(1-EXP(-LN(2)/25))/(LN(2)/25)*Calculateur!V171*Calculateur!X171*VLOOKUP('Données projet'!$B$9,Paramètres!$A$1:$I$89,3,0)*0.475*44/12</f>
        <v>0.34846147591256482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4.9402253020581428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0</v>
      </c>
      <c r="AJ171" s="14">
        <f>AI171*VLOOKUP('Données projet'!$B$10,Paramètres!$A$1:$I$89,3,0)*VLOOKUP('Données projet'!$B$10,Paramètres!$A$1:$I$89,5,0)</f>
        <v>0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60.374143206158408</v>
      </c>
      <c r="AO171" s="62">
        <f t="shared" si="144"/>
        <v>338.95520219048694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4.4919428734032811</v>
      </c>
      <c r="AV171" s="23">
        <f>EXP(-LN(2)/25)*AV170+(1-EXP(-LN(2)/25))/(LN(2)/25)*Calculateur!AQ171*Calculateur!AS171*VLOOKUP('Données projet'!$B$10,Paramètres!$A$1:$I$89,3,0)*0.475*44/12</f>
        <v>0.34088622643620481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4.8328290998394863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86.473919999999779</v>
      </c>
      <c r="D172" s="12">
        <f t="shared" si="140"/>
        <v>23.71285144013947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10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850.56455146774169</v>
      </c>
      <c r="H172" s="70">
        <f t="shared" si="110"/>
        <v>485.2419602582425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61.920120153277935</v>
      </c>
      <c r="T172" s="62">
        <f t="shared" si="142"/>
        <v>346.77984765566453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4.5017221382142507</v>
      </c>
      <c r="AA172" s="23">
        <f>EXP(-LN(2)/25)*AA171+(1-EXP(-LN(2)/25))/(LN(2)/25)*Calculateur!V172*Calculateur!X172*VLOOKUP('Données projet'!$B$9,Paramètres!$A$1:$I$89,3,0)*0.475*44/12</f>
        <v>0.33893277852894316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4.840654916743194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0</v>
      </c>
      <c r="AJ172" s="14">
        <f>AI172*VLOOKUP('Données projet'!$B$10,Paramètres!$A$1:$I$89,3,0)*VLOOKUP('Données projet'!$B$10,Paramètres!$A$1:$I$89,5,0)</f>
        <v>0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60.374143206158408</v>
      </c>
      <c r="AO172" s="62">
        <f t="shared" si="144"/>
        <v>338.95520219048694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4.4038586134704616</v>
      </c>
      <c r="AV172" s="23">
        <f>EXP(-LN(2)/25)*AV171+(1-EXP(-LN(2)/25))/(LN(2)/25)*Calculateur!AQ172*Calculateur!AS172*VLOOKUP('Données projet'!$B$10,Paramètres!$A$1:$I$89,3,0)*0.475*44/12</f>
        <v>0.33156467464787925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4.7354232881183407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86.985599999999778</v>
      </c>
      <c r="D173" s="12">
        <f t="shared" si="140"/>
        <v>23.836789166272567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10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855.47107426596187</v>
      </c>
      <c r="H173" s="70">
        <f t="shared" si="110"/>
        <v>486.34899446459099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61.920120153277935</v>
      </c>
      <c r="T173" s="62">
        <f t="shared" si="142"/>
        <v>346.77984765566453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4.4134461128632507</v>
      </c>
      <c r="AA173" s="23">
        <f>EXP(-LN(2)/25)*AA172+(1-EXP(-LN(2)/25))/(LN(2)/25)*Calculateur!V173*Calculateur!X173*VLOOKUP('Données projet'!$B$9,Paramètres!$A$1:$I$89,3,0)*0.475*44/12</f>
        <v>0.32966464387636901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4.74311075673962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0</v>
      </c>
      <c r="AJ173" s="14">
        <f>AI173*VLOOKUP('Données projet'!$B$10,Paramètres!$A$1:$I$89,3,0)*VLOOKUP('Données projet'!$B$10,Paramètres!$A$1:$I$89,5,0)</f>
        <v>0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60.374143206158408</v>
      </c>
      <c r="AO173" s="62">
        <f t="shared" si="144"/>
        <v>338.95520219048694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4.3175016321488311</v>
      </c>
      <c r="AV173" s="23">
        <f>EXP(-LN(2)/25)*AV172+(1-EXP(-LN(2)/25))/(LN(2)/25)*Calculateur!AQ173*Calculateur!AS173*VLOOKUP('Données projet'!$B$10,Paramètres!$A$1:$I$89,3,0)*0.475*44/12</f>
        <v>0.32249802118340454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4.6399996533322359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87.497279999999776</v>
      </c>
      <c r="D174" s="12">
        <f t="shared" si="140"/>
        <v>23.960642060043764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10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860.3769422178799</v>
      </c>
      <c r="H174" s="70">
        <f t="shared" si="110"/>
        <v>487.45588092124251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61.920120153277935</v>
      </c>
      <c r="T174" s="62">
        <f t="shared" si="142"/>
        <v>346.77984765566453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4.3269011265263249</v>
      </c>
      <c r="AA174" s="23">
        <f>EXP(-LN(2)/25)*AA173+(1-EXP(-LN(2)/25))/(LN(2)/25)*Calculateur!V174*Calculateur!X174*VLOOKUP('Données projet'!$B$9,Paramètres!$A$1:$I$89,3,0)*0.475*44/12</f>
        <v>0.32064994685325954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4.6475510733795842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0</v>
      </c>
      <c r="AJ174" s="14">
        <f>AI174*VLOOKUP('Données projet'!$B$10,Paramètres!$A$1:$I$89,3,0)*VLOOKUP('Données projet'!$B$10,Paramètres!$A$1:$I$89,5,0)</f>
        <v>0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60.374143206158408</v>
      </c>
      <c r="AO174" s="62">
        <f t="shared" si="144"/>
        <v>338.95520219048694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4.23283805855836</v>
      </c>
      <c r="AV174" s="23">
        <f>EXP(-LN(2)/25)*AV173+(1-EXP(-LN(2)/25))/(LN(2)/25)*Calculateur!AQ174*Calculateur!AS174*VLOOKUP('Données projet'!$B$10,Paramètres!$A$1:$I$89,3,0)*0.475*44/12</f>
        <v>0.31367929583471049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4.5465173543930701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88.008959999999774</v>
      </c>
      <c r="D175" s="12">
        <f t="shared" si="140"/>
        <v>24.084410675112149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10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865.28215959735519</v>
      </c>
      <c r="H175" s="70">
        <f t="shared" si="110"/>
        <v>488.56262059248661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61.920120153277935</v>
      </c>
      <c r="T175" s="62">
        <f t="shared" si="142"/>
        <v>346.77984765566453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4.2420532345842368</v>
      </c>
      <c r="AA175" s="23">
        <f>EXP(-LN(2)/25)*AA174+(1-EXP(-LN(2)/25))/(LN(2)/25)*Calculateur!V175*Calculateur!X175*VLOOKUP('Données projet'!$B$9,Paramètres!$A$1:$I$89,3,0)*0.475*44/12</f>
        <v>0.31188175719430933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4.5539349917785463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0</v>
      </c>
      <c r="AJ175" s="14">
        <f>AI175*VLOOKUP('Données projet'!$B$10,Paramètres!$A$1:$I$89,3,0)*VLOOKUP('Données projet'!$B$10,Paramètres!$A$1:$I$89,5,0)</f>
        <v>0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60.374143206158408</v>
      </c>
      <c r="AO175" s="62">
        <f t="shared" si="144"/>
        <v>338.95520219048694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4.1498346860063169</v>
      </c>
      <c r="AV175" s="23">
        <f>EXP(-LN(2)/25)*AV174+(1-EXP(-LN(2)/25))/(LN(2)/25)*Calculateur!AQ175*Calculateur!AS175*VLOOKUP('Données projet'!$B$10,Paramètres!$A$1:$I$89,3,0)*0.475*44/12</f>
        <v>0.30510171899443311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4.4549364050007503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88.520639999999773</v>
      </c>
      <c r="D176" s="12">
        <f t="shared" si="140"/>
        <v>24.208095558326399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10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870.18673062567586</v>
      </c>
      <c r="H176" s="70">
        <f t="shared" si="110"/>
        <v>489.66921443075137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61.920120153277935</v>
      </c>
      <c r="T176" s="62">
        <f t="shared" si="142"/>
        <v>346.77984765566453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4.1588691580510284</v>
      </c>
      <c r="AA176" s="23">
        <f>EXP(-LN(2)/25)*AA175+(1-EXP(-LN(2)/25))/(LN(2)/25)*Calculateur!V176*Calculateur!X176*VLOOKUP('Données projet'!$B$9,Paramètres!$A$1:$I$89,3,0)*0.475*44/12</f>
        <v>0.30335333414268212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4.4622224921937104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0</v>
      </c>
      <c r="AJ176" s="14">
        <f>AI176*VLOOKUP('Données projet'!$B$10,Paramètres!$A$1:$I$89,3,0)*VLOOKUP('Données projet'!$B$10,Paramètres!$A$1:$I$89,5,0)</f>
        <v>0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60.374143206158408</v>
      </c>
      <c r="AO176" s="62">
        <f t="shared" si="144"/>
        <v>338.95520219048694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4.0684589589629612</v>
      </c>
      <c r="AV176" s="23">
        <f>EXP(-LN(2)/25)*AV175+(1-EXP(-LN(2)/25))/(LN(2)/25)*Calculateur!AQ176*Calculateur!AS176*VLOOKUP('Données projet'!$B$10,Paramètres!$A$1:$I$89,3,0)*0.475*44/12</f>
        <v>0.29675869644392827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4.3652176554068891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89.032319999999771</v>
      </c>
      <c r="D177" s="12">
        <f t="shared" si="140"/>
        <v>24.331697249847494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10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875.09065947250531</v>
      </c>
      <c r="H177" s="70">
        <f t="shared" si="110"/>
        <v>490.77566337681731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61.920120153277935</v>
      </c>
      <c r="T177" s="62">
        <f t="shared" si="142"/>
        <v>346.77984765566453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4.0773162705213597</v>
      </c>
      <c r="AA177" s="23">
        <f>EXP(-LN(2)/25)*AA176+(1-EXP(-LN(2)/25))/(LN(2)/25)*Calculateur!V177*Calculateur!X177*VLOOKUP('Données projet'!$B$9,Paramètres!$A$1:$I$89,3,0)*0.475*44/12</f>
        <v>0.29505812126789194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4.3723743917892515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0</v>
      </c>
      <c r="AJ177" s="14">
        <f>AI177*VLOOKUP('Données projet'!$B$10,Paramètres!$A$1:$I$89,3,0)*VLOOKUP('Données projet'!$B$10,Paramètres!$A$1:$I$89,5,0)</f>
        <v>0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60.374143206158408</v>
      </c>
      <c r="AO177" s="62">
        <f t="shared" si="144"/>
        <v>338.95520219048694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3.9886789602926331</v>
      </c>
      <c r="AV177" s="23">
        <f>EXP(-LN(2)/25)*AV176+(1-EXP(-LN(2)/25))/(LN(2)/25)*Calculateur!AQ177*Calculateur!AS177*VLOOKUP('Données projet'!$B$10,Paramètres!$A$1:$I$89,3,0)*0.475*44/12</f>
        <v>0.28864381428380748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4.2773227745764402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89.54399999999977</v>
      </c>
      <c r="D178" s="12">
        <f t="shared" si="140"/>
        <v>24.455216283268346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10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879.99395025680644</v>
      </c>
      <c r="H178" s="70">
        <f t="shared" si="110"/>
        <v>491.88196836002527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61.920120153277935</v>
      </c>
      <c r="T178" s="62">
        <f t="shared" si="142"/>
        <v>346.77984765566453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3.9973625853737982</v>
      </c>
      <c r="AA178" s="23">
        <f>EXP(-LN(2)/25)*AA177+(1-EXP(-LN(2)/25))/(LN(2)/25)*Calculateur!V178*Calculateur!X178*VLOOKUP('Données projet'!$B$9,Paramètres!$A$1:$I$89,3,0)*0.475*44/12</f>
        <v>0.28698974142538919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4.284352326799187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0</v>
      </c>
      <c r="AJ178" s="14">
        <f>AI178*VLOOKUP('Données projet'!$B$10,Paramètres!$A$1:$I$89,3,0)*VLOOKUP('Données projet'!$B$10,Paramètres!$A$1:$I$89,5,0)</f>
        <v>0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60.374143206158408</v>
      </c>
      <c r="AO178" s="62">
        <f t="shared" si="144"/>
        <v>338.95520219048694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3.910463398735236</v>
      </c>
      <c r="AV178" s="23">
        <f>EXP(-LN(2)/25)*AV177+(1-EXP(-LN(2)/25))/(LN(2)/25)*Calculateur!AQ178*Calculateur!AS178*VLOOKUP('Données projet'!$B$10,Paramètres!$A$1:$I$89,3,0)*0.475*44/12</f>
        <v>0.28075083400309825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4.1912142327383339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90.055679999999768</v>
      </c>
      <c r="D179" s="12">
        <f t="shared" si="140"/>
        <v>24.578653185730865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10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884.89660704774531</v>
      </c>
      <c r="H179" s="70">
        <f t="shared" si="110"/>
        <v>492.98813029848083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61.920120153277935</v>
      </c>
      <c r="T179" s="62">
        <f t="shared" si="142"/>
        <v>346.77984765566453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3.9189767432250475</v>
      </c>
      <c r="AA179" s="23">
        <f>EXP(-LN(2)/25)*AA178+(1-EXP(-LN(2)/25))/(LN(2)/25)*Calculateur!V179*Calculateur!X179*VLOOKUP('Données projet'!$B$9,Paramètres!$A$1:$I$89,3,0)*0.475*44/12</f>
        <v>0.27914199185397737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4.1981187350790252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0</v>
      </c>
      <c r="AJ179" s="14">
        <f>AI179*VLOOKUP('Données projet'!$B$10,Paramètres!$A$1:$I$89,3,0)*VLOOKUP('Données projet'!$B$10,Paramètres!$A$1:$I$89,5,0)</f>
        <v>0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60.374143206158408</v>
      </c>
      <c r="AO179" s="62">
        <f t="shared" si="144"/>
        <v>338.95520219048694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3.8337815966331976</v>
      </c>
      <c r="AV179" s="23">
        <f>EXP(-LN(2)/25)*AV178+(1-EXP(-LN(2)/25))/(LN(2)/25)*Calculateur!AQ179*Calculateur!AS179*VLOOKUP('Données projet'!$B$10,Paramètres!$A$1:$I$89,3,0)*0.475*44/12</f>
        <v>0.27307368768323881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4.1068552843164365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90.567359999999766</v>
      </c>
      <c r="D180" s="12">
        <f t="shared" si="140"/>
        <v>24.702008478040018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10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889.7986338655702</v>
      </c>
      <c r="H180" s="70">
        <f t="shared" si="110"/>
        <v>494.0941500992526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61.920120153277935</v>
      </c>
      <c r="T180" s="62">
        <f t="shared" si="142"/>
        <v>346.77984765566453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3.8421279996301911</v>
      </c>
      <c r="AA180" s="23">
        <f>EXP(-LN(2)/25)*AA179+(1-EXP(-LN(2)/25))/(LN(2)/25)*Calculateur!V180*Calculateur!X180*VLOOKUP('Données projet'!$B$9,Paramètres!$A$1:$I$89,3,0)*0.475*44/12</f>
        <v>0.27150883940729098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4.1136368390374818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0</v>
      </c>
      <c r="AJ180" s="14">
        <f>AI180*VLOOKUP('Données projet'!$B$10,Paramètres!$A$1:$I$89,3,0)*VLOOKUP('Données projet'!$B$10,Paramètres!$A$1:$I$89,5,0)</f>
        <v>0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60.374143206158408</v>
      </c>
      <c r="AO180" s="62">
        <f t="shared" si="144"/>
        <v>338.95520219048694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3.7586034778990993</v>
      </c>
      <c r="AV180" s="23">
        <f>EXP(-LN(2)/25)*AV179+(1-EXP(-LN(2)/25))/(LN(2)/25)*Calculateur!AQ180*Calculateur!AS180*VLOOKUP('Données projet'!$B$10,Paramètres!$A$1:$I$89,3,0)*0.475*44/12</f>
        <v>0.26560647333321952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4.0242099512323186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91.079039999999765</v>
      </c>
      <c r="D181" s="12">
        <f t="shared" si="140"/>
        <v>24.82528267477543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10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894.70003468247523</v>
      </c>
      <c r="H181" s="70">
        <f t="shared" si="110"/>
        <v>495.20002865856679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61.920120153277935</v>
      </c>
      <c r="T181" s="62">
        <f t="shared" si="142"/>
        <v>346.77984765566453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3.7667862130241248</v>
      </c>
      <c r="AA181" s="23">
        <f>EXP(-LN(2)/25)*AA180+(1-EXP(-LN(2)/25))/(LN(2)/25)*Calculateur!V181*Calculateur!X181*VLOOKUP('Données projet'!$B$9,Paramètres!$A$1:$I$89,3,0)*0.475*44/12</f>
        <v>0.26408441591566928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4.0308706289397938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0</v>
      </c>
      <c r="AJ181" s="14">
        <f>AI181*VLOOKUP('Données projet'!$B$10,Paramètres!$A$1:$I$89,3,0)*VLOOKUP('Données projet'!$B$10,Paramètres!$A$1:$I$89,5,0)</f>
        <v>0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60.374143206158408</v>
      </c>
      <c r="AO181" s="62">
        <f t="shared" si="144"/>
        <v>338.95520219048694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3.6848995562192517</v>
      </c>
      <c r="AV181" s="23">
        <f>EXP(-LN(2)/25)*AV180+(1-EXP(-LN(2)/25))/(LN(2)/25)*Calculateur!AQ181*Calculateur!AS181*VLOOKUP('Données projet'!$B$10,Paramètres!$A$1:$I$89,3,0)*0.475*44/12</f>
        <v>0.25834345035228523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3.9432430065715369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91.590719999999763</v>
      </c>
      <c r="D182" s="12">
        <f t="shared" si="140"/>
        <v>24.94847628440035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10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899.60081342343949</v>
      </c>
      <c r="H182" s="70">
        <f t="shared" si="110"/>
        <v>496.30576686199686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61.920120153277935</v>
      </c>
      <c r="T182" s="62">
        <f t="shared" si="142"/>
        <v>346.77984765566453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3.6929218328994509</v>
      </c>
      <c r="AA182" s="23">
        <f>EXP(-LN(2)/25)*AA181+(1-EXP(-LN(2)/25))/(LN(2)/25)*Calculateur!V182*Calculateur!X182*VLOOKUP('Données projet'!$B$9,Paramètres!$A$1:$I$89,3,0)*0.475*44/12</f>
        <v>0.25686301367485942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3.9497848465743104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0</v>
      </c>
      <c r="AJ182" s="14">
        <f>AI182*VLOOKUP('Données projet'!$B$10,Paramètres!$A$1:$I$89,3,0)*VLOOKUP('Données projet'!$B$10,Paramètres!$A$1:$I$89,5,0)</f>
        <v>0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60.374143206158408</v>
      </c>
      <c r="AO182" s="62">
        <f t="shared" si="144"/>
        <v>338.95520219048694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3.6126409234885926</v>
      </c>
      <c r="AV182" s="23">
        <f>EXP(-LN(2)/25)*AV181+(1-EXP(-LN(2)/25))/(LN(2)/25)*Calculateur!AQ182*Calculateur!AS182*VLOOKUP('Données projet'!$B$10,Paramètres!$A$1:$I$89,3,0)*0.475*44/12</f>
        <v>0.2512790351167104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3.8639199586053028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92.102399999999761</v>
      </c>
      <c r="D183" s="12">
        <f t="shared" si="140"/>
        <v>25.071589809368088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10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904.50097396705007</v>
      </c>
      <c r="H183" s="70">
        <f t="shared" si="110"/>
        <v>497.41136558464899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61.920120153277935</v>
      </c>
      <c r="T183" s="62">
        <f t="shared" si="142"/>
        <v>346.77984765566453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3.6205058882161989</v>
      </c>
      <c r="AA183" s="23">
        <f>EXP(-LN(2)/25)*AA182+(1-EXP(-LN(2)/25))/(LN(2)/25)*Calculateur!V183*Calculateur!X183*VLOOKUP('Données projet'!$B$9,Paramètres!$A$1:$I$89,3,0)*0.475*44/12</f>
        <v>0.24983908105808156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3.8703449692742806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0</v>
      </c>
      <c r="AJ183" s="14">
        <f>AI183*VLOOKUP('Données projet'!$B$10,Paramètres!$A$1:$I$89,3,0)*VLOOKUP('Données projet'!$B$10,Paramètres!$A$1:$I$89,5,0)</f>
        <v>0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60.374143206158408</v>
      </c>
      <c r="AO183" s="62">
        <f t="shared" si="144"/>
        <v>338.95520219048694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3.5417992384723678</v>
      </c>
      <c r="AV183" s="23">
        <f>EXP(-LN(2)/25)*AV182+(1-EXP(-LN(2)/25))/(LN(2)/25)*Calculateur!AQ183*Calculateur!AS183*VLOOKUP('Données projet'!$B$10,Paramètres!$A$1:$I$89,3,0)*0.475*44/12</f>
        <v>0.24440779668725382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3.7862070351596215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92.61407999999976</v>
      </c>
      <c r="D184" s="12">
        <f t="shared" si="140"/>
        <v>25.194623746226039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10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909.40052014630453</v>
      </c>
      <c r="H184" s="70">
        <f t="shared" si="110"/>
        <v>498.51682569134323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61.920120153277935</v>
      </c>
      <c r="T184" s="62">
        <f t="shared" si="142"/>
        <v>346.77984765566453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3.5495099760388205</v>
      </c>
      <c r="AA184" s="23">
        <f>EXP(-LN(2)/25)*AA183+(1-EXP(-LN(2)/25))/(LN(2)/25)*Calculateur!V184*Calculateur!X184*VLOOKUP('Données projet'!$B$9,Paramètres!$A$1:$I$89,3,0)*0.475*44/12</f>
        <v>0.24300721824808205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3.7925171942869027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0</v>
      </c>
      <c r="AJ184" s="14">
        <f>AI184*VLOOKUP('Données projet'!$B$10,Paramètres!$A$1:$I$89,3,0)*VLOOKUP('Données projet'!$B$10,Paramètres!$A$1:$I$89,5,0)</f>
        <v>0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60.374143206158408</v>
      </c>
      <c r="AO184" s="62">
        <f t="shared" si="144"/>
        <v>338.95520219048694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3.4723467156901497</v>
      </c>
      <c r="AV184" s="23">
        <f>EXP(-LN(2)/25)*AV183+(1-EXP(-LN(2)/25))/(LN(2)/25)*Calculateur!AQ184*Calculateur!AS184*VLOOKUP('Données projet'!$B$10,Paramètres!$A$1:$I$89,3,0)*0.475*44/12</f>
        <v>0.23772445263399344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3.7100711683241432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93.125759999999758</v>
      </c>
      <c r="D185" s="12">
        <f t="shared" si="140"/>
        <v>25.31757858571736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10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914.29945574939529</v>
      </c>
      <c r="H185" s="70">
        <f t="shared" si="110"/>
        <v>499.62214803679058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61.920120153277935</v>
      </c>
      <c r="T185" s="62">
        <f t="shared" si="142"/>
        <v>346.77984765566453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3.4799062503960099</v>
      </c>
      <c r="AA185" s="23">
        <f>EXP(-LN(2)/25)*AA184+(1-EXP(-LN(2)/25))/(LN(2)/25)*Calculateur!V185*Calculateur!X185*VLOOKUP('Données projet'!$B$9,Paramètres!$A$1:$I$89,3,0)*0.475*44/12</f>
        <v>0.23636217308589405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3.7162684234819041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0</v>
      </c>
      <c r="AJ185" s="14">
        <f>AI185*VLOOKUP('Données projet'!$B$10,Paramètres!$A$1:$I$89,3,0)*VLOOKUP('Données projet'!$B$10,Paramètres!$A$1:$I$89,5,0)</f>
        <v>0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60.374143206158408</v>
      </c>
      <c r="AO185" s="62">
        <f t="shared" si="144"/>
        <v>338.95520219048694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3.4042561145178349</v>
      </c>
      <c r="AV185" s="23">
        <f>EXP(-LN(2)/25)*AV184+(1-EXP(-LN(2)/25))/(LN(2)/25)*Calculateur!AQ185*Calculateur!AS185*VLOOKUP('Données projet'!$B$10,Paramètres!$A$1:$I$89,3,0)*0.475*44/12</f>
        <v>0.23122386497533126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3.6354799794931663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93.637439999999756</v>
      </c>
      <c r="D186" s="12">
        <f t="shared" si="140"/>
        <v>25.440454812880237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10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919.19778452047728</v>
      </c>
      <c r="H186" s="70">
        <f t="shared" si="110"/>
        <v>500.72733346576592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61.920120153277935</v>
      </c>
      <c r="T186" s="62">
        <f t="shared" si="142"/>
        <v>346.77984765566453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3.411667411358974</v>
      </c>
      <c r="AA186" s="23">
        <f>EXP(-LN(2)/25)*AA185+(1-EXP(-LN(2)/25))/(LN(2)/25)*Calculateur!V186*Calculateur!X186*VLOOKUP('Données projet'!$B$9,Paramètres!$A$1:$I$89,3,0)*0.475*44/12</f>
        <v>0.22989883703311381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3.6415662483920879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0</v>
      </c>
      <c r="AJ186" s="14">
        <f>AI186*VLOOKUP('Données projet'!$B$10,Paramètres!$A$1:$I$89,3,0)*VLOOKUP('Données projet'!$B$10,Paramètres!$A$1:$I$89,5,0)</f>
        <v>0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60.374143206158408</v>
      </c>
      <c r="AO186" s="62">
        <f t="shared" si="144"/>
        <v>338.95520219048694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3.3375007285033433</v>
      </c>
      <c r="AV186" s="23">
        <f>EXP(-LN(2)/25)*AV185+(1-EXP(-LN(2)/25))/(LN(2)/25)*Calculateur!AQ186*Calculateur!AS186*VLOOKUP('Données projet'!$B$10,Paramètres!$A$1:$I$89,3,0)*0.475*44/12</f>
        <v>0.22490103622804625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3.5624017647313897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94.149119999999755</v>
      </c>
      <c r="D187" s="12">
        <f t="shared" si="140"/>
        <v>25.563252907145174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10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924.09551016041712</v>
      </c>
      <c r="H187" s="70">
        <f t="shared" si="110"/>
        <v>501.83238281327738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61.920120153277935</v>
      </c>
      <c r="T187" s="62">
        <f t="shared" si="142"/>
        <v>346.77984765566453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3.3447666943338725</v>
      </c>
      <c r="AA187" s="23">
        <f>EXP(-LN(2)/25)*AA186+(1-EXP(-LN(2)/25))/(LN(2)/25)*Calculateur!V187*Calculateur!X187*VLOOKUP('Données projet'!$B$9,Paramètres!$A$1:$I$89,3,0)*0.475*44/12</f>
        <v>0.22361224124458892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3.5683789355784614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0</v>
      </c>
      <c r="AJ187" s="14">
        <f>AI187*VLOOKUP('Données projet'!$B$10,Paramètres!$A$1:$I$89,3,0)*VLOOKUP('Données projet'!$B$10,Paramètres!$A$1:$I$89,5,0)</f>
        <v>0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60.374143206158408</v>
      </c>
      <c r="AO187" s="62">
        <f t="shared" si="144"/>
        <v>338.95520219048694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3.2720543748918312</v>
      </c>
      <c r="AV187" s="23">
        <f>EXP(-LN(2)/25)*AV186+(1-EXP(-LN(2)/25))/(LN(2)/25)*Calculateur!AQ187*Calculateur!AS187*VLOOKUP('Données projet'!$B$10,Paramètres!$A$1:$I$89,3,0)*0.475*44/12</f>
        <v>0.21875110556535884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3.49080548045719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94.660799999999753</v>
      </c>
      <c r="D188" s="12">
        <f t="shared" si="140"/>
        <v>25.685973342429772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10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928.99263632752627</v>
      </c>
      <c r="H188" s="70">
        <f t="shared" si="110"/>
        <v>502.9372969047314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61.920120153277935</v>
      </c>
      <c r="T188" s="62">
        <f t="shared" si="142"/>
        <v>346.77984765566453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3.2791778595642249</v>
      </c>
      <c r="AA188" s="23">
        <f>EXP(-LN(2)/25)*AA187+(1-EXP(-LN(2)/25))/(LN(2)/25)*Calculateur!V188*Calculateur!X188*VLOOKUP('Données projet'!$B$9,Paramètres!$A$1:$I$89,3,0)*0.475*44/12</f>
        <v>0.21749755274849894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3.4966754123127237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0</v>
      </c>
      <c r="AJ188" s="14">
        <f>AI188*VLOOKUP('Données projet'!$B$10,Paramètres!$A$1:$I$89,3,0)*VLOOKUP('Données projet'!$B$10,Paramètres!$A$1:$I$89,5,0)</f>
        <v>0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60.374143206158408</v>
      </c>
      <c r="AO188" s="62">
        <f t="shared" si="144"/>
        <v>338.95520219048694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3.2078913843563064</v>
      </c>
      <c r="AV188" s="23">
        <f>EXP(-LN(2)/25)*AV187+(1-EXP(-LN(2)/25))/(LN(2)/25)*Calculateur!AQ188*Calculateur!AS188*VLOOKUP('Données projet'!$B$10,Paramètres!$A$1:$I$89,3,0)*0.475*44/12</f>
        <v>0.21276934508005343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3.42066072943636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95.172479999999751</v>
      </c>
      <c r="D189" s="12">
        <f t="shared" si="140"/>
        <v>25.808616587231686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10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933.88916663827786</v>
      </c>
      <c r="H189" s="70">
        <f t="shared" si="110"/>
        <v>504.04207655609468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61.920120153277935</v>
      </c>
      <c r="T189" s="62">
        <f t="shared" si="142"/>
        <v>346.77984765566453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3.2148751818391714</v>
      </c>
      <c r="AA189" s="23">
        <f>EXP(-LN(2)/25)*AA188+(1-EXP(-LN(2)/25))/(LN(2)/25)*Calculateur!V189*Calculateur!X189*VLOOKUP('Données projet'!$B$9,Paramètres!$A$1:$I$89,3,0)*0.475*44/12</f>
        <v>0.21155007073089205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3.4264252525700636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0</v>
      </c>
      <c r="AJ189" s="14">
        <f>AI189*VLOOKUP('Données projet'!$B$10,Paramètres!$A$1:$I$89,3,0)*VLOOKUP('Données projet'!$B$10,Paramètres!$A$1:$I$89,5,0)</f>
        <v>0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60.374143206158408</v>
      </c>
      <c r="AO189" s="62">
        <f t="shared" si="144"/>
        <v>338.95520219048694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3.1449865909296233</v>
      </c>
      <c r="AV189" s="23">
        <f>EXP(-LN(2)/25)*AV188+(1-EXP(-LN(2)/25))/(LN(2)/25)*Calculateur!AQ189*Calculateur!AS189*VLOOKUP('Données projet'!$B$10,Paramètres!$A$1:$I$89,3,0)*0.475*44/12</f>
        <v>0.20695115614978582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3.3519377470794089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95.68415999999975</v>
      </c>
      <c r="D190" s="12">
        <f t="shared" si="140"/>
        <v>25.931183104719359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10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938.78510466800708</v>
      </c>
      <c r="H190" s="70">
        <f t="shared" si="110"/>
        <v>505.14672257405243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61.920120153277935</v>
      </c>
      <c r="T190" s="62">
        <f t="shared" si="142"/>
        <v>346.77984765566453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3.1518334404035455</v>
      </c>
      <c r="AA190" s="23">
        <f>EXP(-LN(2)/25)*AA189+(1-EXP(-LN(2)/25))/(LN(2)/25)*Calculateur!V190*Calculateur!X190*VLOOKUP('Données projet'!$B$9,Paramètres!$A$1:$I$89,3,0)*0.475*44/12</f>
        <v>0.20576522292182109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3.3575986633253665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0</v>
      </c>
      <c r="AJ190" s="14">
        <f>AI190*VLOOKUP('Données projet'!$B$10,Paramètres!$A$1:$I$89,3,0)*VLOOKUP('Données projet'!$B$10,Paramètres!$A$1:$I$89,5,0)</f>
        <v>0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60.374143206158408</v>
      </c>
      <c r="AO190" s="62">
        <f t="shared" si="144"/>
        <v>338.95520219048694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3.083315322133902</v>
      </c>
      <c r="AV190" s="23">
        <f>EXP(-LN(2)/25)*AV189+(1-EXP(-LN(2)/25))/(LN(2)/25)*Calculateur!AQ190*Calculateur!AS190*VLOOKUP('Données projet'!$B$10,Paramètres!$A$1:$I$89,3,0)*0.475*44/12</f>
        <v>0.20129206590178161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3.2846073880356839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96.195839999999748</v>
      </c>
      <c r="D191" s="12">
        <f t="shared" si="140"/>
        <v>26.053673352820741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10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943.68045395159686</v>
      </c>
      <c r="H191" s="70">
        <f t="shared" si="110"/>
        <v>506.25123575616232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61.920120153277935</v>
      </c>
      <c r="T191" s="62">
        <f t="shared" si="142"/>
        <v>346.77984765566453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3.0900279090658067</v>
      </c>
      <c r="AA191" s="23">
        <f>EXP(-LN(2)/25)*AA190+(1-EXP(-LN(2)/25))/(LN(2)/25)*Calculateur!V191*Calculateur!X191*VLOOKUP('Données projet'!$B$9,Paramètres!$A$1:$I$89,3,0)*0.475*44/12</f>
        <v>0.20013856208030109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3.2901664711461076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0</v>
      </c>
      <c r="AJ191" s="14">
        <f>AI191*VLOOKUP('Données projet'!$B$10,Paramètres!$A$1:$I$89,3,0)*VLOOKUP('Données projet'!$B$10,Paramètres!$A$1:$I$89,5,0)</f>
        <v>0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60.374143206158408</v>
      </c>
      <c r="AO191" s="62">
        <f t="shared" si="144"/>
        <v>338.95520219048694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3.0228533893035054</v>
      </c>
      <c r="AV191" s="23">
        <f>EXP(-LN(2)/25)*AV190+(1-EXP(-LN(2)/25))/(LN(2)/25)*Calculateur!AQ191*Calculateur!AS191*VLOOKUP('Données projet'!$B$10,Paramètres!$A$1:$I$89,3,0)*0.475*44/12</f>
        <v>0.19578772377420772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3.2186411130777133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96.707519999999747</v>
      </c>
      <c r="D192" s="12">
        <f t="shared" si="140"/>
        <v>26.176087784310297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10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948.5752179841478</v>
      </c>
      <c r="H192" s="70">
        <f t="shared" si="110"/>
        <v>507.35561689100666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61.920120153277935</v>
      </c>
      <c r="T192" s="62">
        <f t="shared" si="142"/>
        <v>346.77984765566453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3.0294343464999489</v>
      </c>
      <c r="AA192" s="23">
        <f>EXP(-LN(2)/25)*AA191+(1-EXP(-LN(2)/25))/(LN(2)/25)*Calculateur!V192*Calculateur!X192*VLOOKUP('Données projet'!$B$9,Paramètres!$A$1:$I$89,3,0)*0.475*44/12</f>
        <v>0.1946657625753857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3.2241001090753345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0</v>
      </c>
      <c r="AJ192" s="14">
        <f>AI192*VLOOKUP('Données projet'!$B$10,Paramètres!$A$1:$I$89,3,0)*VLOOKUP('Données projet'!$B$10,Paramètres!$A$1:$I$89,5,0)</f>
        <v>0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60.374143206158408</v>
      </c>
      <c r="AO192" s="62">
        <f t="shared" si="144"/>
        <v>338.95520219048694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2.9635770780977753</v>
      </c>
      <c r="AV192" s="23">
        <f>EXP(-LN(2)/25)*AV191+(1-EXP(-LN(2)/25))/(LN(2)/25)*Calculateur!AQ192*Calculateur!AS192*VLOOKUP('Données projet'!$B$10,Paramètres!$A$1:$I$89,3,0)*0.475*44/12</f>
        <v>0.19043389817157311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3.1540109762693485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97.219199999999745</v>
      </c>
      <c r="D193" s="12">
        <f t="shared" si="140"/>
        <v>26.298426846893861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10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953.46940022163483</v>
      </c>
      <c r="H193" s="70">
        <f t="shared" si="110"/>
        <v>508.45986675833967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61.920120153277935</v>
      </c>
      <c r="T193" s="62">
        <f t="shared" si="142"/>
        <v>346.77984765566453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2.9700289867375838</v>
      </c>
      <c r="AA193" s="23">
        <f>EXP(-LN(2)/25)*AA192+(1-EXP(-LN(2)/25))/(LN(2)/25)*Calculateur!V193*Calculateur!X193*VLOOKUP('Données projet'!$B$9,Paramètres!$A$1:$I$89,3,0)*0.475*44/12</f>
        <v>0.18934261706073424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3.1593716037983182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0</v>
      </c>
      <c r="AJ193" s="14">
        <f>AI193*VLOOKUP('Données projet'!$B$10,Paramètres!$A$1:$I$89,3,0)*VLOOKUP('Données projet'!$B$10,Paramètres!$A$1:$I$89,5,0)</f>
        <v>0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60.374143206158408</v>
      </c>
      <c r="AO193" s="62">
        <f t="shared" si="144"/>
        <v>338.95520219048694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2.9054631391998096</v>
      </c>
      <c r="AV193" s="23">
        <f>EXP(-LN(2)/25)*AV192+(1-EXP(-LN(2)/25))/(LN(2)/25)*Calculateur!AQ193*Calculateur!AS193*VLOOKUP('Données projet'!$B$10,Paramètres!$A$1:$I$89,3,0)*0.475*44/12</f>
        <v>0.18522647321158797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3.0906896124113974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97.730879999999743</v>
      </c>
      <c r="D194" s="12">
        <f t="shared" si="140"/>
        <v>26.420690983291692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10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958.36300408154796</v>
      </c>
      <c r="H194" s="70">
        <f t="shared" si="110"/>
        <v>509.56398612923255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61.920120153277935</v>
      </c>
      <c r="T194" s="62">
        <f t="shared" si="142"/>
        <v>346.77984765566453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2.9117885298464672</v>
      </c>
      <c r="AA194" s="23">
        <f>EXP(-LN(2)/25)*AA193+(1-EXP(-LN(2)/25))/(LN(2)/25)*Calculateur!V194*Calculateur!X194*VLOOKUP('Données projet'!$B$9,Paramètres!$A$1:$I$89,3,0)*0.475*44/12</f>
        <v>0.18416503324011299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3.0959535630865802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0</v>
      </c>
      <c r="AJ194" s="14">
        <f>AI194*VLOOKUP('Données projet'!$B$10,Paramètres!$A$1:$I$89,3,0)*VLOOKUP('Données projet'!$B$10,Paramètres!$A$1:$I$89,5,0)</f>
        <v>0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60.374143206158408</v>
      </c>
      <c r="AO194" s="62">
        <f t="shared" si="144"/>
        <v>338.95520219048694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2.8484887791976301</v>
      </c>
      <c r="AV194" s="23">
        <f>EXP(-LN(2)/25)*AV193+(1-EXP(-LN(2)/25))/(LN(2)/25)*Calculateur!AQ194*Calculateur!AS194*VLOOKUP('Données projet'!$B$10,Paramètres!$A$1:$I$89,3,0)*0.475*44/12</f>
        <v>0.18016144556098021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3.0286502247586102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98.242559999999742</v>
      </c>
      <c r="D195" s="12">
        <f t="shared" si="140"/>
        <v>26.542880631319921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10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963.25603294352015</v>
      </c>
      <c r="H195" s="70">
        <f t="shared" si="110"/>
        <v>510.66797576621502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61.920120153277935</v>
      </c>
      <c r="T195" s="62">
        <f t="shared" si="142"/>
        <v>346.77984765566453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2.8546901327918142</v>
      </c>
      <c r="AA195" s="23">
        <f>EXP(-LN(2)/25)*AA194+(1-EXP(-LN(2)/25))/(LN(2)/25)*Calculateur!V195*Calculateur!X195*VLOOKUP('Données projet'!$B$9,Paramètres!$A$1:$I$89,3,0)*0.475*44/12</f>
        <v>0.17912903072134392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3.0338191635131579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0</v>
      </c>
      <c r="AJ195" s="14">
        <f>AI195*VLOOKUP('Données projet'!$B$10,Paramètres!$A$1:$I$89,3,0)*VLOOKUP('Données projet'!$B$10,Paramètres!$A$1:$I$89,5,0)</f>
        <v>0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60.374143206158408</v>
      </c>
      <c r="AO195" s="62">
        <f t="shared" si="144"/>
        <v>338.95520219048694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2.7926316516441654</v>
      </c>
      <c r="AV195" s="23">
        <f>EXP(-LN(2)/25)*AV194+(1-EXP(-LN(2)/25))/(LN(2)/25)*Calculateur!AQ195*Calculateur!AS195*VLOOKUP('Données projet'!$B$10,Paramètres!$A$1:$I$89,3,0)*0.475*44/12</f>
        <v>0.17523492135783655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2.9678665730020017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98.75423999999974</v>
      </c>
      <c r="D196" s="12">
        <f t="shared" si="140"/>
        <v>26.664996223970032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10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968.14849014994218</v>
      </c>
      <c r="H196" s="70">
        <f t="shared" ref="H196:H203" si="192">(B196+E196+F196)*44/12+(C196+D196)*0.475*44/12</f>
        <v>511.77183642341402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61.920120153277935</v>
      </c>
      <c r="T196" s="62">
        <f t="shared" si="142"/>
        <v>346.77984765566453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2.7987114004768197</v>
      </c>
      <c r="AA196" s="23">
        <f>EXP(-LN(2)/25)*AA195+(1-EXP(-LN(2)/25))/(LN(2)/25)*Calculateur!V196*Calculateur!X196*VLOOKUP('Données projet'!$B$9,Paramètres!$A$1:$I$89,3,0)*0.475*44/12</f>
        <v>0.17423073795628247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2.9729421384331021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0</v>
      </c>
      <c r="AJ196" s="14">
        <f>AI196*VLOOKUP('Données projet'!$B$10,Paramètres!$A$1:$I$89,3,0)*VLOOKUP('Données projet'!$B$10,Paramètres!$A$1:$I$89,5,0)</f>
        <v>0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60.374143206158408</v>
      </c>
      <c r="AO196" s="62">
        <f t="shared" si="144"/>
        <v>338.95520219048694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2.7378698482925401</v>
      </c>
      <c r="AV196" s="23">
        <f>EXP(-LN(2)/25)*AV195+(1-EXP(-LN(2)/25))/(LN(2)/25)*Calculateur!AQ196*Calculateur!AS196*VLOOKUP('Données projet'!$B$10,Paramètres!$A$1:$I$89,3,0)*0.475*44/12</f>
        <v>0.17044311321810252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2.9083129615106427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99.265919999999738</v>
      </c>
      <c r="D197" s="12">
        <f t="shared" ref="D197:D203" si="202">IFERROR(EXP(-1.0587+0.8836*LN(C197)+0.284),0)</f>
        <v>26.787038189486797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10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973.0403790065626</v>
      </c>
      <c r="H197" s="70">
        <f t="shared" si="192"/>
        <v>512.87556884668902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61.920120153277935</v>
      </c>
      <c r="T197" s="62">
        <f t="shared" ref="T197:T203" si="204">$T$3</f>
        <v>346.77984765566453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2.7438303769588668</v>
      </c>
      <c r="AA197" s="23">
        <f>EXP(-LN(2)/25)*AA196+(1-EXP(-LN(2)/25))/(LN(2)/25)*Calculateur!V197*Calculateur!X197*VLOOKUP('Données projet'!$B$9,Paramètres!$A$1:$I$89,3,0)*0.475*44/12</f>
        <v>0.16946638926447163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2.9132967662233384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0</v>
      </c>
      <c r="AJ197" s="14">
        <f>AI197*VLOOKUP('Données projet'!$B$10,Paramètres!$A$1:$I$89,3,0)*VLOOKUP('Données projet'!$B$10,Paramètres!$A$1:$I$89,5,0)</f>
        <v>0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60.374143206158408</v>
      </c>
      <c r="AO197" s="62">
        <f t="shared" ref="AO197:AO203" si="205">$AO$3</f>
        <v>338.95520219048694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2.6841818905032384</v>
      </c>
      <c r="AV197" s="23">
        <f>EXP(-LN(2)/25)*AV196+(1-EXP(-LN(2)/25))/(LN(2)/25)*Calculateur!AQ197*Calculateur!AS197*VLOOKUP('Données projet'!$B$10,Paramètres!$A$1:$I$89,3,0)*0.475*44/12</f>
        <v>0.16578233732393974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2.849964227827178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99.777599999999737</v>
      </c>
      <c r="D198" s="12">
        <f t="shared" si="202"/>
        <v>26.909006951444486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10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977.93170278307832</v>
      </c>
      <c r="H198" s="70">
        <f t="shared" si="192"/>
        <v>513.9791737737653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61.920120153277935</v>
      </c>
      <c r="T198" s="62">
        <f t="shared" si="204"/>
        <v>346.77984765566453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2.690025536837982</v>
      </c>
      <c r="AA198" s="23">
        <f>EXP(-LN(2)/25)*AA197+(1-EXP(-LN(2)/25))/(LN(2)/25)*Calculateur!V198*Calculateur!X198*VLOOKUP('Données projet'!$B$9,Paramètres!$A$1:$I$89,3,0)*0.475*44/12</f>
        <v>0.16483232193818456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2.8548578587761666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0</v>
      </c>
      <c r="AJ198" s="14">
        <f>AI198*VLOOKUP('Données projet'!$B$10,Paramètres!$A$1:$I$89,3,0)*VLOOKUP('Données projet'!$B$10,Paramètres!$A$1:$I$89,5,0)</f>
        <v>0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60.374143206158408</v>
      </c>
      <c r="AO198" s="62">
        <f t="shared" si="205"/>
        <v>338.95520219048694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2.631546720819764</v>
      </c>
      <c r="AV198" s="23">
        <f>EXP(-LN(2)/25)*AV197+(1-EXP(-LN(2)/25))/(LN(2)/25)*Calculateur!AQ198*Calculateur!AS198*VLOOKUP('Données projet'!$B$10,Paramètres!$A$1:$I$89,3,0)*0.475*44/12</f>
        <v>0.16124901059170238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2.7927957314114664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100.28927999999974</v>
      </c>
      <c r="D199" s="12">
        <f t="shared" si="202"/>
        <v>27.030902928821437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10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982.82246471370729</v>
      </c>
      <c r="H199" s="70">
        <f t="shared" si="192"/>
        <v>515.08265193436353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61.920120153277935</v>
      </c>
      <c r="T199" s="62">
        <f t="shared" si="204"/>
        <v>346.77984765566453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2.6372757768141555</v>
      </c>
      <c r="AA199" s="23">
        <f>EXP(-LN(2)/25)*AA198+(1-EXP(-LN(2)/25))/(LN(2)/25)*Calculateur!V199*Calculateur!X199*VLOOKUP('Données projet'!$B$9,Paramètres!$A$1:$I$89,3,0)*0.475*44/12</f>
        <v>0.16032497342662982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2.7976007502407851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0</v>
      </c>
      <c r="AJ199" s="14">
        <f>AI199*VLOOKUP('Données projet'!$B$10,Paramètres!$A$1:$I$89,3,0)*VLOOKUP('Données projet'!$B$10,Paramètres!$A$1:$I$89,5,0)</f>
        <v>0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60.374143206158408</v>
      </c>
      <c r="AO199" s="62">
        <f t="shared" si="205"/>
        <v>338.95520219048694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2.5799436947094994</v>
      </c>
      <c r="AV199" s="23">
        <f>EXP(-LN(2)/25)*AV198+(1-EXP(-LN(2)/25))/(LN(2)/25)*Calculateur!AQ199*Calculateur!AS199*VLOOKUP('Données projet'!$B$10,Paramètres!$A$1:$I$89,3,0)*0.475*44/12</f>
        <v>0.15683964791735536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2.7367833426268549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100.80095999999973</v>
      </c>
      <c r="D200" s="12">
        <f t="shared" si="202"/>
        <v>27.152726536073256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10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987.71266799775651</v>
      </c>
      <c r="H200" s="70">
        <f t="shared" si="192"/>
        <v>516.18600405032703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61.920120153277935</v>
      </c>
      <c r="T200" s="62">
        <f t="shared" si="204"/>
        <v>346.77984765566453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2.5855604074102199</v>
      </c>
      <c r="AA200" s="23">
        <f>EXP(-LN(2)/25)*AA199+(1-EXP(-LN(2)/25))/(LN(2)/25)*Calculateur!V200*Calculateur!X200*VLOOKUP('Données projet'!$B$9,Paramètres!$A$1:$I$89,3,0)*0.475*44/12</f>
        <v>0.15594087859715472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2.7415012860073746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0</v>
      </c>
      <c r="AJ200" s="14">
        <f>AI200*VLOOKUP('Données projet'!$B$10,Paramètres!$A$1:$I$89,3,0)*VLOOKUP('Données projet'!$B$10,Paramètres!$A$1:$I$89,5,0)</f>
        <v>0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60.374143206158408</v>
      </c>
      <c r="AO200" s="62">
        <f t="shared" si="205"/>
        <v>338.95520219048694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2.5293525724665189</v>
      </c>
      <c r="AV200" s="23">
        <f>EXP(-LN(2)/25)*AV199+(1-EXP(-LN(2)/25))/(LN(2)/25)*Calculateur!AQ200*Calculateur!AS200*VLOOKUP('Données projet'!$B$10,Paramètres!$A$1:$I$89,3,0)*0.475*44/12</f>
        <v>0.15255085949721664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2.6819034319637356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101.31263999999973</v>
      </c>
      <c r="D201" s="12">
        <f t="shared" si="202"/>
        <v>27.274478183204195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10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992.60231580017069</v>
      </c>
      <c r="H201" s="70">
        <f t="shared" si="192"/>
        <v>517.28923083574682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61.920120153277935</v>
      </c>
      <c r="T201" s="62">
        <f t="shared" si="204"/>
        <v>346.77984765566453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2.5348591448570348</v>
      </c>
      <c r="AA201" s="23">
        <f>EXP(-LN(2)/25)*AA200+(1-EXP(-LN(2)/25))/(LN(2)/25)*Calculateur!V201*Calculateur!X201*VLOOKUP('Données projet'!$B$9,Paramètres!$A$1:$I$89,3,0)*0.475*44/12</f>
        <v>0.15167666707134111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2.6865358119283758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0</v>
      </c>
      <c r="AJ201" s="14">
        <f>AI201*VLOOKUP('Données projet'!$B$10,Paramètres!$A$1:$I$89,3,0)*VLOOKUP('Données projet'!$B$10,Paramètres!$A$1:$I$89,5,0)</f>
        <v>0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60.374143206158408</v>
      </c>
      <c r="AO201" s="62">
        <f t="shared" si="205"/>
        <v>338.95520219048694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2.4797535112731857</v>
      </c>
      <c r="AV201" s="23">
        <f>EXP(-LN(2)/25)*AV200+(1-EXP(-LN(2)/25))/(LN(2)/25)*Calculateur!AQ201*Calculateur!AS201*VLOOKUP('Données projet'!$B$10,Paramètres!$A$1:$I$89,3,0)*0.475*44/12</f>
        <v>0.14837934822196422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2.6281328594951501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101.82431999999973</v>
      </c>
      <c r="D202" s="12">
        <f t="shared" si="202"/>
        <v>27.396158275837223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10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997.49141125207495</v>
      </c>
      <c r="H202" s="70">
        <f t="shared" si="192"/>
        <v>518.39233299708269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61.920120153277935</v>
      </c>
      <c r="T202" s="62">
        <f t="shared" si="204"/>
        <v>346.77984765566453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2.4851521031378008</v>
      </c>
      <c r="AA202" s="23">
        <f>EXP(-LN(2)/25)*AA201+(1-EXP(-LN(2)/25))/(LN(2)/25)*Calculateur!V202*Calculateur!X202*VLOOKUP('Données projet'!$B$9,Paramètres!$A$1:$I$89,3,0)*0.475*44/12</f>
        <v>0.14752906063394602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2.6326811637717467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0</v>
      </c>
      <c r="AJ202" s="14">
        <f>AI202*VLOOKUP('Données projet'!$B$10,Paramètres!$A$1:$I$89,3,0)*VLOOKUP('Données projet'!$B$10,Paramètres!$A$1:$I$89,5,0)</f>
        <v>0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60.374143206158408</v>
      </c>
      <c r="AO202" s="62">
        <f t="shared" si="205"/>
        <v>338.95520219048694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2.4311270574174135</v>
      </c>
      <c r="AV202" s="23">
        <f>EXP(-LN(2)/25)*AV201+(1-EXP(-LN(2)/25))/(LN(2)/25)*Calculateur!AQ202*Calculateur!AS202*VLOOKUP('Données projet'!$B$10,Paramètres!$A$1:$I$89,3,0)*0.475*44/12</f>
        <v>0.14432190714190382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2.5754489645593175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102.33599999999973</v>
      </c>
      <c r="D203" s="12">
        <f t="shared" si="202"/>
        <v>27.517767215282685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10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1002.3799574513027</v>
      </c>
      <c r="H203" s="70">
        <f t="shared" si="192"/>
        <v>519.49531123328347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61.920120153277935</v>
      </c>
      <c r="T203" s="62">
        <f t="shared" si="204"/>
        <v>346.77984765566453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2.4364197861883792</v>
      </c>
      <c r="AA203" s="23">
        <f>EXP(-LN(2)/25)*AA202+(1-EXP(-LN(2)/25))/(LN(2)/25)*Calculateur!V203*Calculateur!X203*VLOOKUP('Données projet'!$B$9,Paramètres!$A$1:$I$89,3,0)*0.475*44/12</f>
        <v>0.14349487071269465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2.579914656901074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0</v>
      </c>
      <c r="AJ203" s="14">
        <f>AI203*VLOOKUP('Données projet'!$B$10,Paramètres!$A$1:$I$89,3,0)*VLOOKUP('Données projet'!$B$10,Paramètres!$A$1:$I$89,5,0)</f>
        <v>0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60.374143206158408</v>
      </c>
      <c r="AO203" s="62">
        <f t="shared" si="205"/>
        <v>338.95520219048694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2.3834541386625445</v>
      </c>
      <c r="AV203" s="23">
        <f>EXP(-LN(2)/25)*AV202+(1-EXP(-LN(2)/25))/(LN(2)/25)*Calculateur!AQ203*Calculateur!AS203*VLOOKUP('Données projet'!$B$10,Paramètres!$A$1:$I$89,3,0)*0.475*44/12</f>
        <v>0.14037541700154921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2.5238295556640935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1.3712934678213495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1.3712934678213495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38" workbookViewId="0">
      <selection activeCell="C59" sqref="C59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8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9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8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0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0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9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8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9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workbookViewId="0">
      <selection activeCell="I10" sqref="I10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9" t="s">
        <v>271</v>
      </c>
      <c r="B2" s="310"/>
      <c r="C2" s="310"/>
      <c r="D2" s="310"/>
      <c r="E2" s="310"/>
      <c r="F2" s="310"/>
      <c r="G2" s="310"/>
      <c r="H2" s="310"/>
      <c r="I2" s="310"/>
      <c r="J2" s="310"/>
      <c r="K2" s="310"/>
      <c r="L2" s="311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Peuplier Taro</v>
      </c>
      <c r="B6" s="155">
        <f>'Données projet'!D9</f>
        <v>1.79</v>
      </c>
      <c r="C6" s="156">
        <f ca="1">IF(OR('Données projet'!B9="",'Données projet'!C9="",'Données projet'!C9=0%),0,Calculateur!S3)</f>
        <v>61.920120153277935</v>
      </c>
      <c r="D6" s="156">
        <f>IF(OR('Données projet'!B9="",'Données projet'!C9="",'Données projet'!C9=0%),0,Calculateur!T3)</f>
        <v>346.77984765566453</v>
      </c>
      <c r="E6" s="156">
        <f ca="1">MIN(C6,D6)</f>
        <v>61.920120153277935</v>
      </c>
      <c r="F6" s="156">
        <f ca="1">E6*B6</f>
        <v>110.8370150743675</v>
      </c>
      <c r="G6" s="156">
        <f ca="1">F6*(100%-'Données projet'!$C$24)*(100%-'Données projet'!$C$25)*(100%-'Données projet'!$C$26)*(100%-'Données projet'!$C$27)</f>
        <v>75.812518310867375</v>
      </c>
      <c r="H6" s="157">
        <f>IF(OR('Données projet'!B9="",'Données projet'!C9="",'Données projet'!C9=0%),0,AVERAGE(Calculateur!$AC$3:$AC$33)*B6)</f>
        <v>74.110351765112853</v>
      </c>
      <c r="I6" s="158">
        <f>H6*(100%-'Données projet'!$C$24)*(100%-'Données projet'!$C$25)*(100%-'Données projet'!$C$26)*(100%-'Données projet'!$C$27)</f>
        <v>50.691480607337198</v>
      </c>
      <c r="J6" s="159">
        <f>IF(OR('Données projet'!B9="",'Données projet'!C9="",'Données projet'!C9=0%),0,SUM(Calculateur!$V$3:$V$33)*VLOOKUP('Données projet'!$B$9,Paramètres!$A$1:$I$89,9,0)*B6)</f>
        <v>542.04780000000005</v>
      </c>
      <c r="K6" s="160">
        <f>J6*(100%-'Données projet'!$C$24)*(100%-'Données projet'!$C$25)*(100%-'Données projet'!$C$26)*(100%-'Données projet'!$C$27)</f>
        <v>370.76069519999999</v>
      </c>
      <c r="L6" s="161">
        <f ca="1">G6+I6+K6</f>
        <v>497.26469411820455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Peuplier Soligo</v>
      </c>
      <c r="B7" s="163">
        <f>'Données projet'!D10</f>
        <v>1.79</v>
      </c>
      <c r="C7" s="156">
        <f ca="1">IF(OR('Données projet'!B10="",'Données projet'!C10="",'Données projet'!C10=0%),0,Calculateur!AN3)</f>
        <v>60.374143206158408</v>
      </c>
      <c r="D7" s="156">
        <f>IF(OR('Données projet'!B10="",'Données projet'!C10="",'Données projet'!C10=0%),0,Calculateur!AO3)</f>
        <v>338.95520219048694</v>
      </c>
      <c r="E7" s="156">
        <f t="shared" ref="E7:E15" ca="1" si="0">MIN(C7,D7)</f>
        <v>60.374143206158408</v>
      </c>
      <c r="F7" s="156">
        <f t="shared" ref="F7:F15" ca="1" si="1">E7*B7</f>
        <v>108.06971633902356</v>
      </c>
      <c r="G7" s="156">
        <f ca="1">F7*(100%-'Données projet'!$C$24)*(100%-'Données projet'!$C$25)*(100%-'Données projet'!$C$26)*(100%-'Données projet'!$C$27)</f>
        <v>73.919685975892122</v>
      </c>
      <c r="H7" s="164">
        <f>IF(OR('Données projet'!B10="",'Données projet'!C10="",'Données projet'!C10=0%),0,AVERAGE(Calculateur!$AX$3:$AX$33)*B7)</f>
        <v>72.499257161523417</v>
      </c>
      <c r="I7" s="158">
        <f>H7*(100%-'Données projet'!$C$24)*(100%-'Données projet'!$C$25)*(100%-'Données projet'!$C$26)*(100%-'Données projet'!$C$27)</f>
        <v>49.589491898482024</v>
      </c>
      <c r="J7" s="159">
        <f>IF(OR('Données projet'!B10="",'Données projet'!C10="",'Données projet'!C10=0%),0,SUM(Calculateur!$AQ$3:$AQ$33)*VLOOKUP('Données projet'!$B$10,Paramètres!$A$1:$I$89,9,0)*B7)</f>
        <v>542.04780000000005</v>
      </c>
      <c r="K7" s="160">
        <f>J7*(100%-'Données projet'!$C$24)*(100%-'Données projet'!$C$25)*(100%-'Données projet'!$C$26)*(100%-'Données projet'!$C$27)</f>
        <v>370.76069519999999</v>
      </c>
      <c r="L7" s="161">
        <f t="shared" ref="L7:L15" ca="1" si="2">G7+I7+K7</f>
        <v>494.26987307437412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218.90673141339107</v>
      </c>
      <c r="G16" s="175">
        <f t="shared" ca="1" si="3"/>
        <v>149.7322042867595</v>
      </c>
      <c r="H16" s="176">
        <f t="shared" si="3"/>
        <v>146.60960892663627</v>
      </c>
      <c r="I16" s="176">
        <f t="shared" si="3"/>
        <v>100.28097250581922</v>
      </c>
      <c r="J16" s="177">
        <f t="shared" si="3"/>
        <v>1084.0956000000001</v>
      </c>
      <c r="K16" s="177">
        <f t="shared" si="3"/>
        <v>741.52139039999997</v>
      </c>
      <c r="L16" s="178">
        <f t="shared" ca="1" si="3"/>
        <v>991.53456719257861</v>
      </c>
      <c r="M16" s="25">
        <f ca="1">L16/3.58</f>
        <v>276.96496290295494</v>
      </c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1" t="s">
        <v>246</v>
      </c>
      <c r="G17" s="322"/>
      <c r="H17" s="322"/>
      <c r="I17" s="322"/>
      <c r="J17" s="322"/>
      <c r="K17" s="322"/>
      <c r="L17" s="322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3"/>
      <c r="G18" s="323"/>
      <c r="H18" s="323"/>
      <c r="I18" s="323"/>
      <c r="J18" s="323"/>
      <c r="K18" s="323"/>
      <c r="L18" s="323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Peuplier Taro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Peuplier Soligo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zoomScale="90" zoomScaleNormal="90" workbookViewId="0">
      <selection activeCell="C54" sqref="C54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9" t="s">
        <v>272</v>
      </c>
      <c r="C2" s="310"/>
      <c r="D2" s="310"/>
      <c r="E2" s="310"/>
      <c r="F2" s="310"/>
      <c r="G2" s="310"/>
      <c r="H2" s="310"/>
      <c r="I2" s="310"/>
      <c r="J2" s="310"/>
      <c r="K2" s="310"/>
      <c r="L2" s="310"/>
      <c r="M2" s="310"/>
      <c r="N2" s="310"/>
      <c r="O2" s="310"/>
      <c r="P2" s="311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1" t="s">
        <v>315</v>
      </c>
      <c r="I4" s="341"/>
      <c r="K4" s="338" t="s">
        <v>253</v>
      </c>
      <c r="L4" s="339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0" t="s">
        <v>310</v>
      </c>
      <c r="S7" s="331"/>
      <c r="T7" s="331"/>
      <c r="U7" s="331"/>
      <c r="V7" s="332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Peuplier Taro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90">
        <f>'Données projet'!D9</f>
        <v>1.79</v>
      </c>
      <c r="V10" s="189">
        <f>U10*T10</f>
        <v>0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Peuplier Soligo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90">
        <f>'Données projet'!D10</f>
        <v>1.79</v>
      </c>
      <c r="V11" s="189">
        <f t="shared" ref="V11" si="0">U11*T11</f>
        <v>0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Peuplier Taro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2" t="s">
        <v>318</v>
      </c>
      <c r="H15" s="203">
        <v>0</v>
      </c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2"/>
      <c r="H16" s="203"/>
      <c r="I16" s="204"/>
      <c r="J16" s="216"/>
      <c r="K16" s="225"/>
      <c r="L16" s="338" t="s">
        <v>254</v>
      </c>
      <c r="M16" s="339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2"/>
      <c r="J17" s="216"/>
      <c r="K17" s="225"/>
      <c r="L17" s="296" t="s">
        <v>289</v>
      </c>
      <c r="M17" s="298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2"/>
      <c r="J18" s="216"/>
      <c r="K18" s="225"/>
      <c r="L18" s="296" t="s">
        <v>255</v>
      </c>
      <c r="M18" s="298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2"/>
      <c r="H19" s="232" t="s">
        <v>178</v>
      </c>
      <c r="I19" s="232" t="s">
        <v>287</v>
      </c>
      <c r="J19" s="260"/>
      <c r="K19" s="183"/>
      <c r="L19" s="338" t="s">
        <v>288</v>
      </c>
      <c r="M19" s="339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2"/>
      <c r="H20" s="203"/>
      <c r="I20" s="204"/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/>
      <c r="I21" s="204"/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/>
      <c r="I22" s="204"/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18</v>
      </c>
      <c r="B23" s="193">
        <f>'Données projet'!D36</f>
        <v>294</v>
      </c>
      <c r="C23" s="206"/>
      <c r="D23" s="194">
        <f>B23*C23</f>
        <v>0</v>
      </c>
      <c r="E23" s="206"/>
      <c r="F23" s="261"/>
      <c r="H23" s="203"/>
      <c r="I23" s="204"/>
      <c r="K23" s="225"/>
      <c r="L23" s="340" t="s">
        <v>260</v>
      </c>
      <c r="M23" s="340"/>
      <c r="N23" s="340"/>
      <c r="O23" s="25"/>
      <c r="P23" s="25"/>
      <c r="Q23" s="265"/>
      <c r="R23" s="25"/>
      <c r="S23" s="185" t="s">
        <v>264</v>
      </c>
      <c r="T23" s="335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35"/>
      <c r="V23" s="33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0</v>
      </c>
      <c r="B24" s="193">
        <f>'Données projet'!D37</f>
        <v>0</v>
      </c>
      <c r="C24" s="206"/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6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6"/>
      <c r="V24" s="336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0</v>
      </c>
      <c r="B25" s="193">
        <f>'Données projet'!D38</f>
        <v>0</v>
      </c>
      <c r="C25" s="206"/>
      <c r="D25" s="194">
        <f t="shared" si="2"/>
        <v>0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7">
        <f ca="1">T23-T24</f>
        <v>0</v>
      </c>
      <c r="U25" s="337"/>
      <c r="V25" s="337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0</v>
      </c>
      <c r="B26" s="193">
        <f>'Données projet'!D39</f>
        <v>0</v>
      </c>
      <c r="C26" s="206"/>
      <c r="D26" s="194">
        <f t="shared" si="2"/>
        <v>0</v>
      </c>
      <c r="E26" s="206"/>
      <c r="F26" s="264"/>
      <c r="G26" s="259"/>
      <c r="H26" s="203"/>
      <c r="I26" s="204"/>
      <c r="K26" s="225"/>
      <c r="L26" s="324" t="s">
        <v>258</v>
      </c>
      <c r="M26" s="325"/>
      <c r="N26" s="325"/>
      <c r="O26" s="325"/>
      <c r="P26" s="326"/>
      <c r="Q26" s="265"/>
      <c r="R26" s="25"/>
      <c r="S26" s="198" t="s">
        <v>265</v>
      </c>
      <c r="T26" s="334" t="str">
        <f ca="1">IF(T25&lt;0,"Votre projet est additionnel","Votre projet n'est pas additionnel")</f>
        <v>Votre projet n'est pas additionnel</v>
      </c>
      <c r="U26" s="334"/>
      <c r="V26" s="334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0</v>
      </c>
      <c r="B27" s="193">
        <f>'Données projet'!D40</f>
        <v>0</v>
      </c>
      <c r="C27" s="206"/>
      <c r="D27" s="194">
        <f t="shared" si="2"/>
        <v>0</v>
      </c>
      <c r="E27" s="206"/>
      <c r="F27" s="264"/>
      <c r="G27" s="259"/>
      <c r="H27" s="203"/>
      <c r="I27" s="204"/>
      <c r="K27" s="225"/>
      <c r="L27" s="327"/>
      <c r="M27" s="328"/>
      <c r="N27" s="328"/>
      <c r="O27" s="328"/>
      <c r="P27" s="329"/>
      <c r="Q27" s="265"/>
      <c r="R27" s="25"/>
      <c r="S27" s="333" t="s">
        <v>267</v>
      </c>
      <c r="T27" s="333"/>
      <c r="U27" s="333"/>
      <c r="V27" s="333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0</v>
      </c>
      <c r="B28" s="193">
        <f>'Données projet'!D41</f>
        <v>0</v>
      </c>
      <c r="C28" s="206"/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0</v>
      </c>
      <c r="B29" s="193">
        <f>'Données projet'!D42</f>
        <v>0</v>
      </c>
      <c r="C29" s="206"/>
      <c r="D29" s="194">
        <f t="shared" si="2"/>
        <v>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0</v>
      </c>
      <c r="B30" s="193">
        <f>'Données projet'!D43</f>
        <v>0</v>
      </c>
      <c r="C30" s="206"/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0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0</v>
      </c>
      <c r="B32" s="193">
        <f>'Données projet'!D45</f>
        <v>0</v>
      </c>
      <c r="C32" s="206"/>
      <c r="D32" s="194">
        <f t="shared" si="2"/>
        <v>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0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Peuplier Soligo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 t="str">
        <f>IF(O51+1&lt;=MIN('Données projet'!$E$9:$E$18),O51+1,"STOP")</f>
        <v>STOP</v>
      </c>
      <c r="P52" s="197" t="e">
        <f t="shared" si="3"/>
        <v>#VALUE!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 t="e">
        <f>IF(O52+1&lt;=MIN('Données projet'!$E$9:$E$18),O52+1,"STOP")</f>
        <v>#VALUE!</v>
      </c>
      <c r="P53" s="197" t="e">
        <f t="shared" si="3"/>
        <v>#VALUE!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18</v>
      </c>
      <c r="B54" s="193">
        <f>'Données projet'!D62</f>
        <v>294</v>
      </c>
      <c r="C54" s="206"/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 t="e">
        <f>IF(O53+1&lt;=MIN('Données projet'!$E$9:$E$18),O53+1,"STOP")</f>
        <v>#VALUE!</v>
      </c>
      <c r="P54" s="197" t="e">
        <f t="shared" si="3"/>
        <v>#VALUE!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0</v>
      </c>
      <c r="B55" s="193">
        <f>'Données projet'!D63</f>
        <v>0</v>
      </c>
      <c r="C55" s="292"/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 t="e">
        <f>IF(O54+1&lt;=MIN('Données projet'!$E$9:$E$18),O54+1,"STOP")</f>
        <v>#VALUE!</v>
      </c>
      <c r="P55" s="197" t="e">
        <f t="shared" si="3"/>
        <v>#VALUE!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0</v>
      </c>
      <c r="B56" s="193">
        <f>'Données projet'!D64</f>
        <v>0</v>
      </c>
      <c r="C56" s="292"/>
      <c r="D56" s="191">
        <f t="shared" si="4"/>
        <v>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 t="e">
        <f>IF(O55+1&lt;=MIN('Données projet'!$E$9:$E$18),O55+1,"STOP")</f>
        <v>#VALUE!</v>
      </c>
      <c r="P56" s="197" t="e">
        <f t="shared" si="3"/>
        <v>#VALUE!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0</v>
      </c>
      <c r="B57" s="193">
        <f>'Données projet'!D65</f>
        <v>0</v>
      </c>
      <c r="C57" s="292"/>
      <c r="D57" s="191">
        <f t="shared" si="4"/>
        <v>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 t="e">
        <f>IF(O56+1&lt;=MIN('Données projet'!$E$9:$E$18),O56+1,"STOP")</f>
        <v>#VALUE!</v>
      </c>
      <c r="P57" s="197" t="e">
        <f t="shared" si="3"/>
        <v>#VALUE!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0</v>
      </c>
      <c r="B58" s="193">
        <f>'Données projet'!D66</f>
        <v>0</v>
      </c>
      <c r="C58" s="292"/>
      <c r="D58" s="191">
        <f t="shared" si="4"/>
        <v>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 t="e">
        <f>IF(O57+1&lt;=MIN('Données projet'!$E$9:$E$18),O57+1,"STOP")</f>
        <v>#VALUE!</v>
      </c>
      <c r="P58" s="197" t="e">
        <f t="shared" si="3"/>
        <v>#VALUE!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92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 t="e">
        <f>IF(O58+1&lt;=MIN('Données projet'!$E$9:$E$18),O58+1,"STOP")</f>
        <v>#VALUE!</v>
      </c>
      <c r="P59" s="197" t="e">
        <f t="shared" si="3"/>
        <v>#VALUE!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92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 t="e">
        <f>IF(O59+1&lt;=MIN('Données projet'!$E$9:$E$18),O59+1,"STOP")</f>
        <v>#VALUE!</v>
      </c>
      <c r="P60" s="197" t="e">
        <f t="shared" si="3"/>
        <v>#VALUE!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 t="e">
        <f>IF(O60+1&lt;=MIN('Données projet'!$E$9:$E$18),O60+1,"STOP")</f>
        <v>#VALUE!</v>
      </c>
      <c r="P61" s="197" t="e">
        <f t="shared" si="3"/>
        <v>#VALUE!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 t="e">
        <f>IF(O61+1&lt;=MIN('Données projet'!$E$9:$E$18),O61+1,"STOP")</f>
        <v>#VALUE!</v>
      </c>
      <c r="P62" s="197" t="e">
        <f t="shared" si="3"/>
        <v>#VALUE!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 t="e">
        <f>IF(O62+1&lt;=MIN('Données projet'!$E$9:$E$18),O62+1,"STOP")</f>
        <v>#VALUE!</v>
      </c>
      <c r="P63" s="197" t="e">
        <f t="shared" si="3"/>
        <v>#VALUE!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 t="e">
        <f>IF(O63+1&lt;=MIN('Données projet'!$E$9:$E$18),O63+1,"STOP")</f>
        <v>#VALUE!</v>
      </c>
      <c r="P64" s="197" t="e">
        <f t="shared" si="3"/>
        <v>#VALUE!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 t="e">
        <f>IF(O64+1&lt;=MIN('Données projet'!$E$9:$E$18),O64+1,"STOP")</f>
        <v>#VALUE!</v>
      </c>
      <c r="P65" s="197" t="e">
        <f t="shared" ref="P65:P96" si="5">$P$25/(1+$M$4)^O65</f>
        <v>#VALUE!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 t="e">
        <f>IF(O65+1&lt;=MIN('Données projet'!$E$9:$E$18),O65+1,"STOP")</f>
        <v>#VALUE!</v>
      </c>
      <c r="P66" s="197" t="e">
        <f t="shared" si="5"/>
        <v>#VALUE!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 t="e">
        <f>IF(O66+1&lt;=MIN('Données projet'!$E$9:$E$18),O66+1,"STOP")</f>
        <v>#VALUE!</v>
      </c>
      <c r="P67" s="197" t="e">
        <f t="shared" si="5"/>
        <v>#VALUE!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 t="e">
        <f>IF(O67+1&lt;=MIN('Données projet'!$E$9:$E$18),O67+1,"STOP")</f>
        <v>#VALUE!</v>
      </c>
      <c r="P68" s="197" t="e">
        <f t="shared" si="5"/>
        <v>#VALUE!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 t="e">
        <f>IF(O68+1&lt;=MIN('Données projet'!$E$9:$E$18),O68+1,"STOP")</f>
        <v>#VALUE!</v>
      </c>
      <c r="P69" s="197" t="e">
        <f t="shared" si="5"/>
        <v>#VALUE!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 t="e">
        <f>IF(O69+1&lt;=MIN('Données projet'!$E$9:$E$18),O69+1,"STOP")</f>
        <v>#VALUE!</v>
      </c>
      <c r="P70" s="197" t="e">
        <f t="shared" si="5"/>
        <v>#VALUE!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 t="e">
        <f>IF(O70+1&lt;=MIN('Données projet'!$E$9:$E$18),O70+1,"STOP")</f>
        <v>#VALUE!</v>
      </c>
      <c r="P71" s="197" t="e">
        <f t="shared" si="5"/>
        <v>#VALUE!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 t="e">
        <f>IF(O71+1&lt;=MIN('Données projet'!$E$9:$E$18),O71+1,"STOP")</f>
        <v>#VALUE!</v>
      </c>
      <c r="P72" s="197" t="e">
        <f t="shared" si="5"/>
        <v>#VALUE!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 t="e">
        <f>IF(O72+1&lt;=MIN('Données projet'!$E$9:$E$18),O72+1,"STOP")</f>
        <v>#VALUE!</v>
      </c>
      <c r="P73" s="197" t="e">
        <f t="shared" si="5"/>
        <v>#VALUE!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 t="e">
        <f>IF(O73+1&lt;=MIN('Données projet'!$E$9:$E$18),O73+1,"STOP")</f>
        <v>#VALUE!</v>
      </c>
      <c r="P74" s="197" t="e">
        <f t="shared" si="5"/>
        <v>#VALUE!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 t="e">
        <f>IF(O74+1&lt;=MIN('Données projet'!$E$9:$E$18),O74+1,"STOP")</f>
        <v>#VALUE!</v>
      </c>
      <c r="P75" s="197" t="e">
        <f t="shared" si="5"/>
        <v>#VALUE!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 t="e">
        <f>IF(O75+1&lt;=MIN('Données projet'!$E$9:$E$18),O75+1,"STOP")</f>
        <v>#VALUE!</v>
      </c>
      <c r="P76" s="197" t="e">
        <f t="shared" si="5"/>
        <v>#VALUE!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 t="e">
        <f>IF(O76+1&lt;=MIN('Données projet'!$E$9:$E$18),O76+1,"STOP")</f>
        <v>#VALUE!</v>
      </c>
      <c r="P77" s="197" t="e">
        <f t="shared" si="5"/>
        <v>#VALUE!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 t="e">
        <f>IF(O77+1&lt;=MIN('Données projet'!$E$9:$E$18),O77+1,"STOP")</f>
        <v>#VALUE!</v>
      </c>
      <c r="P78" s="197" t="e">
        <f t="shared" si="5"/>
        <v>#VALUE!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e">
        <f>IF(O78+1&lt;=MIN('Données projet'!$E$9:$E$18),O78+1,"STOP")</f>
        <v>#VALUE!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2025-01-21T15:55:31Z</dcterms:modified>
</cp:coreProperties>
</file>