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77-R-GEDEFOR55-GES(55)-CHEVAL-GFMallet-NeuvilleSurOrnain-28ha/"/>
    </mc:Choice>
  </mc:AlternateContent>
  <xr:revisionPtr revIDLastSave="0" documentId="13_ncr:1_{CA2D434D-E4E3-9E4B-BE00-8593A9DB57B0}" xr6:coauthVersionLast="47" xr6:coauthVersionMax="47" xr10:uidLastSave="{00000000-0000-0000-0000-000000000000}"/>
  <bookViews>
    <workbookView xWindow="0" yWindow="760" windowWidth="30240" windowHeight="188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65" i="2" a="1"/>
  <c r="BC65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1" i="2" l="1" a="1"/>
  <c r="BC181" i="2" s="1"/>
  <c r="BC34" i="2" a="1"/>
  <c r="BC34" i="2" s="1"/>
  <c r="BC192" i="2" a="1"/>
  <c r="BC192" i="2" s="1"/>
  <c r="BC114" i="2" a="1"/>
  <c r="BC11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BP203" i="2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<sst xmlns="http://schemas.openxmlformats.org/spreadsheetml/2006/main" count="1188" uniqueCount="330">
  <si>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</si>
  <si>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</si>
  <si>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</si>
  <si>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</si>
  <si>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</si>
  <si>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</si>
  <si>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</si>
  <si>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</si>
  <si>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</si>
  <si>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</si>
  <si>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</si>
  <si>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</si>
  <si>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</si>
  <si>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</si>
  <si>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</si>
  <si>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</si>
  <si>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</si>
  <si>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</si>
  <si>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</si>
  <si>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</si>
  <si>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</si>
  <si>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</si>
  <si>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</si>
  <si>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</si>
  <si>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</si>
  <si>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</si>
  <si>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</si>
  <si>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</si>
  <si>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</si>
  <si>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</si>
  <si>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</si>
  <si>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</si>
  <si>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</si>
  <si>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</si>
  <si>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</si>
  <si>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</si>
  <si>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</si>
  <si>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</si>
  <si>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</si>
  <si>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</si>
  <si>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</si>
  <si>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</si>
  <si>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</si>
  <si>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</si>
  <si>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</si>
  <si>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</si>
  <si>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</si>
  <si>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</si>
  <si>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</si>
  <si>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</si>
  <si>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</si>
  <si>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</si>
  <si>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</si>
  <si>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</si>
  <si>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</si>
  <si>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</si>
  <si>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</si>
  <si>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</si>
  <si>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</si>
  <si>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</si>
  <si>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</si>
  <si>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</si>
  <si>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</si>
  <si>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</si>
  <si>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</si>
  <si>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</si>
  <si>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</si>
  <si>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</si>
  <si>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</si>
  <si>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</si>
  <si>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</si>
  <si>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</si>
  <si>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</si>
  <si>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</si>
  <si>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</si>
  <si>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</si>
  <si>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</si>
  <si>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</si>
  <si>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</si>
  <si>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</si>
  <si>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</si>
  <si>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</si>
  <si>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</si>
  <si>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</si>
  <si>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</si>
  <si>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</si>
  <si>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</si>
  <si>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</si>
  <si>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</si>
  <si>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</si>
  <si>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</si>
  <si>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</si>
  <si>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</si>
  <si>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</si>
  <si>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</si>
  <si>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</si>
  <si>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</si>
  <si>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</si>
  <si>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</si>
  <si>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</si>
  <si>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</si>
  <si>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</si>
  <si>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</si>
  <si>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</si>
  <si>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</si>
  <si>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</si>
  <si>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</si>
  <si>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</si>
  <si>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</si>
  <si>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</si>
  <si>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</si>
  <si>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</si>
  <si>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</si>
  <si>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</si>
  <si>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</si>
  <si>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</si>
  <si>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</si>
  <si>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</si>
  <si>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</si>
  <si>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</si>
  <si>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</si>
  <si>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</si>
  <si>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</si>
  <si>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</si>
  <si>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</si>
  <si>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</si>
  <si>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</si>
  <si>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</si>
  <si>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</si>
  <si>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</si>
  <si>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</si>
  <si>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</si>
  <si>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</si>
  <si>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</si>
  <si>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</si>
  <si>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</si>
  <si>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</si>
  <si>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</si>
  <si>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</si>
  <si>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</si>
  <si>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</si>
  <si>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</si>
  <si>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</si>
  <si>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</si>
  <si>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</si>
  <si>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</si>
  <si>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</si>
  <si>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</si>
  <si>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</si>
  <si>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</si>
  <si>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</si>
  <si>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</si>
  <si>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</si>
  <si>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</si>
  <si>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</si>
  <si>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</si>
  <si>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</si>
  <si>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</si>
  <si>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</si>
  <si>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</si>
  <si>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</si>
  <si>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</si>
  <si>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</si>
  <si>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</si>
  <si>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</si>
  <si>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</si>
  <si>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</si>
  <si>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</si>
  <si>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</si>
  <si>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</si>
  <si>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</si>
  <si>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</si>
  <si>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</si>
  <si>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</si>
  <si>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</si>
  <si>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</si>
  <si>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</si>
  <si>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</si>
  <si>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</si>
  <si>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</si>
  <si>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</si>
  <si>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</si>
  <si>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</si>
  <si>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</si>
  <si>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</si>
  <si>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</si>
  <si>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</si>
  <si>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</si>
  <si>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</si>
  <si>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</si>
  <si>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</si>
  <si>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</si>
  <si>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</si>
  <si>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</si>
  <si>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</si>
  <si>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</si>
  <si>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</si>
  <si>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</si>
  <si>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</si>
  <si>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</si>
  <si>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</si>
  <si>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</si>
  <si>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</si>
  <si>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</si>
  <si>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</si>
  <si>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</si>
  <si>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</si>
  <si>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</si>
  <si>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</si>
  <si>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</si>
  <si>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</si>
  <si>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</si>
  <si>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</si>
  <si>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</si>
  <si>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</si>
  <si>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</si>
  <si>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</si>
  <si>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</si>
  <si>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</si>
  <si>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</si>
  <si>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</si>
  <si>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</si>
  <si>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</si>
  <si>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</si>
  <si>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</si>
  <si>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</si>
  <si>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</si>
  <si>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</si>
  <si>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</si>
  <si>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</si>
  <si>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</si>
  <si>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</si>
  <si>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</si>
  <si>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</si>
  <si>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</si>
  <si>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</si>
  <si>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</si>
  <si>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</si>
  <si>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</si>
  <si>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</si>
  <si>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</si>
  <si>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</si>
  <si>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</si>
  <si>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</si>
  <si>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</si>
  <si>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</si>
  <si>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</si>
  <si>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</si>
  <si>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</si>
  <si>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</si>
  <si>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</si>
  <si>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</si>
  <si>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</si>
  <si>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</si>
  <si>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</si>
  <si>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</si>
  <si>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</si>
  <si>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</si>
  <si>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</si>
  <si>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</si>
  <si>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</si>
  <si>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</si>
  <si>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</si>
  <si>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</si>
  <si>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</si>
  <si>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</si>
  <si>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</si>
  <si>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</si>
  <si>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</si>
  <si>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</si>
  <si>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</si>
  <si>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</si>
  <si>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</si>
  <si>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</si>
  <si>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</si>
  <si>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</si>
  <si>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</si>
  <si>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</si>
  <si>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</si>
  <si>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</si>
  <si>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</si>
  <si>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</si>
  <si>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</si>
  <si>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</si>
  <si>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</si>
  <si>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</si>
  <si>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</si>
  <si>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</si>
  <si>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</si>
  <si>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</si>
  <si>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</si>
  <si>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</si>
  <si>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</si>
  <si>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</si>
  <si>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</si>
  <si>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</si>
  <si>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</si>
  <si>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</si>
  <si>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</si>
  <si>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</si>
  <si>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</si>
  <si>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</si>
  <si>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</si>
  <si>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</si>
  <si>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</si>
  <si>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</si>
  <si>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</si>
  <si>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</si>
  <si>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</si>
  <si>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</si>
  <si>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</si>
  <si>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</si>
  <si>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</si>
  <si>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</si>
  <si>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</si>
  <si>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</si>
  <si>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</si>
  <si>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</si>
  <si>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</si>
  <si>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</si>
  <si>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</si>
  <si>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</si>
  <si>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</si>
  <si>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</si>
  <si>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PEUPLIER DIVA</t>
  </si>
  <si>
    <t>PEUPLIER RONA</t>
  </si>
  <si>
    <t>PEUPLIER TUCANO</t>
  </si>
  <si>
    <t>PEUPLIER KOSTER</t>
  </si>
  <si>
    <t>PEUPLIER KOSTER (Station Riche Fraiche)</t>
  </si>
  <si>
    <t>PEUPLIER MONCALVO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</si>
</sst>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34.340499100461251</c:v>
                </c:pt>
                <c:pt idx="8">
                  <c:v>69.596399363316891</c:v>
                </c:pt>
                <c:pt idx="9">
                  <c:v>111.06781871657756</c:v>
                </c:pt>
                <c:pt idx="10">
                  <c:v>151.04486212599508</c:v>
                </c:pt>
                <c:pt idx="11">
                  <c:v>197.36812151889237</c:v>
                </c:pt>
                <c:pt idx="12">
                  <c:v>240.1539339323198</c:v>
                </c:pt>
                <c:pt idx="13">
                  <c:v>286.03728369813439</c:v>
                </c:pt>
                <c:pt idx="14">
                  <c:v>325.23346359087509</c:v>
                </c:pt>
                <c:pt idx="15">
                  <c:v>365.40973944635829</c:v>
                </c:pt>
                <c:pt idx="16">
                  <c:v>402.24312155367915</c:v>
                </c:pt>
                <c:pt idx="17">
                  <c:v>439.00354443929672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2.1626669056767374</c:v>
                </c:pt>
                <c:pt idx="2">
                  <c:v>3.5263217033093466</c:v>
                </c:pt>
                <c:pt idx="3">
                  <c:v>5.7540884729535877</c:v>
                </c:pt>
                <c:pt idx="4">
                  <c:v>9.3960637765936017</c:v>
                </c:pt>
                <c:pt idx="5">
                  <c:v>15.354031504066725</c:v>
                </c:pt>
                <c:pt idx="6">
                  <c:v>25.107180972777723</c:v>
                </c:pt>
                <c:pt idx="7">
                  <c:v>63.950216647155997</c:v>
                </c:pt>
                <c:pt idx="8">
                  <c:v>104.37366396443853</c:v>
                </c:pt>
                <c:pt idx="9">
                  <c:v>145.50949477852396</c:v>
                </c:pt>
                <c:pt idx="10">
                  <c:v>188.56636773017456</c:v>
                </c:pt>
                <c:pt idx="11">
                  <c:v>225.91314603873357</c:v>
                </c:pt>
                <c:pt idx="12">
                  <c:v>263.11821789263303</c:v>
                </c:pt>
                <c:pt idx="13">
                  <c:v>296.93645704405805</c:v>
                </c:pt>
                <c:pt idx="14">
                  <c:v>328.49490068546294</c:v>
                </c:pt>
                <c:pt idx="15">
                  <c:v>354.56131798092298</c:v>
                </c:pt>
                <c:pt idx="16">
                  <c:v>376.25112806295652</c:v>
                </c:pt>
                <c:pt idx="17">
                  <c:v>398.99616396792339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1.6396346497619587</c:v>
                </c:pt>
                <c:pt idx="2">
                  <c:v>2.025675450836824</c:v>
                </c:pt>
                <c:pt idx="3">
                  <c:v>2.5029640040197534</c:v>
                </c:pt>
                <c:pt idx="4">
                  <c:v>3.0931482279171214</c:v>
                </c:pt>
                <c:pt idx="5">
                  <c:v>3.8230296538027093</c:v>
                </c:pt>
                <c:pt idx="6">
                  <c:v>34.340499100461251</c:v>
                </c:pt>
                <c:pt idx="7">
                  <c:v>66.210173786911767</c:v>
                </c:pt>
                <c:pt idx="8">
                  <c:v>102.13995424455409</c:v>
                </c:pt>
                <c:pt idx="9">
                  <c:v>136.64231946228742</c:v>
                </c:pt>
                <c:pt idx="10">
                  <c:v>170.93352467622933</c:v>
                </c:pt>
                <c:pt idx="11">
                  <c:v>206.16076609416587</c:v>
                </c:pt>
                <c:pt idx="12">
                  <c:v>237.96432737707607</c:v>
                </c:pt>
                <c:pt idx="13">
                  <c:v>266.39503398781363</c:v>
                </c:pt>
                <c:pt idx="14">
                  <c:v>291.48800866312695</c:v>
                </c:pt>
                <c:pt idx="15">
                  <c:v>314.35673738028549</c:v>
                </c:pt>
                <c:pt idx="16">
                  <c:v>333.92904467751276</c:v>
                </c:pt>
                <c:pt idx="17">
                  <c:v>354.56131798092298</c:v>
                </c:pt>
                <c:pt idx="18">
                  <c:v>368.66288367281578</c:v>
                </c:pt>
                <c:pt idx="19">
                  <c:v>382.75268227452921</c:v>
                </c:pt>
                <c:pt idx="20">
                  <c:v>393.58329351124252</c:v>
                </c:pt>
                <c:pt idx="21">
                  <c:v>405.48951209335405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2.1626669056767374</c:v>
                </c:pt>
                <c:pt idx="2">
                  <c:v>3.5263217033093466</c:v>
                </c:pt>
                <c:pt idx="3">
                  <c:v>5.7540884729535877</c:v>
                </c:pt>
                <c:pt idx="4">
                  <c:v>9.3960637765936017</c:v>
                </c:pt>
                <c:pt idx="5">
                  <c:v>15.354031504066725</c:v>
                </c:pt>
                <c:pt idx="6">
                  <c:v>25.107180972777723</c:v>
                </c:pt>
                <c:pt idx="7">
                  <c:v>63.950216647155997</c:v>
                </c:pt>
                <c:pt idx="8">
                  <c:v>104.37366396443853</c:v>
                </c:pt>
                <c:pt idx="9">
                  <c:v>145.50949477852396</c:v>
                </c:pt>
                <c:pt idx="10">
                  <c:v>188.56636773017456</c:v>
                </c:pt>
                <c:pt idx="11">
                  <c:v>225.91314603873357</c:v>
                </c:pt>
                <c:pt idx="12">
                  <c:v>263.11821789263303</c:v>
                </c:pt>
                <c:pt idx="13">
                  <c:v>296.93645704405805</c:v>
                </c:pt>
                <c:pt idx="14">
                  <c:v>328.49490068546294</c:v>
                </c:pt>
                <c:pt idx="15">
                  <c:v>354.56131798092298</c:v>
                </c:pt>
                <c:pt idx="16">
                  <c:v>376.25112806295652</c:v>
                </c:pt>
                <c:pt idx="17">
                  <c:v>398.99616396792339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10" sqref="E10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27.869399999999999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112</v>
      </c>
      <c r="C9" s="35">
        <v>0.25117200000000001</v>
      </c>
      <c r="D9" s="36">
        <f t="shared" ref="D9:D18" si="0">C9*$C$5</f>
        <v>7.0000129368000001</v>
      </c>
      <c r="E9" s="37">
        <v>17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112</v>
      </c>
      <c r="C10" s="35">
        <v>0.26911200000000002</v>
      </c>
      <c r="D10" s="36">
        <f t="shared" si="0"/>
        <v>7.4999899727999999</v>
      </c>
      <c r="E10" s="37">
        <v>17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324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112</v>
      </c>
      <c r="C11" s="35">
        <v>0.26911200000000002</v>
      </c>
      <c r="D11" s="36">
        <f t="shared" si="0"/>
        <v>7.4999899727999999</v>
      </c>
      <c r="E11" s="37">
        <v>21</v>
      </c>
      <c r="F11" s="38" t="str">
        <f t="array" ref="F11">IF(E11="","",IF(INDEX(A:A,MAX(IF(ISNUMBER($A$88:$A$107),ROW($A$88:$A$107),"")))&lt;&gt;E11,"Corrigez : révolution incorrecte","OK"))</f>
        <v>OK</v>
      </c>
      <c r="G11" s="25" t="s">
        <v>325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112</v>
      </c>
      <c r="C12" s="35">
        <v>0.21060400000000001</v>
      </c>
      <c r="D12" s="36">
        <f t="shared" si="0"/>
        <v>5.8694071175999998</v>
      </c>
      <c r="E12" s="37">
        <v>17</v>
      </c>
      <c r="F12" s="38" t="str">
        <f t="array" ref="F12">IF(E12="","",IF(INDEX(A:A,MAX(IF(ISNUMBER($A$114:$A$133),ROW($A$114:$A$133),"")))&lt;&gt;E12,"Corrigez : révolution incorrecte","OK"))</f>
        <v>OK</v>
      </c>
      <c r="G12" s="25" t="s">
        <v>326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27.869399999999999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Peuplier Koster</v>
      </c>
      <c r="C32" s="25" t="s">
        <v>327</v>
      </c>
      <c r="D32" s="258" t="s">
        <v>307</v>
      </c>
      <c r="J32" s="25" t="s">
        <v>328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6</v>
      </c>
      <c r="B36" s="63">
        <v>5</v>
      </c>
      <c r="C36" s="63"/>
      <c r="D36" s="63"/>
      <c r="E36" s="54">
        <v>0.47</v>
      </c>
      <c r="F36" s="54">
        <v>0.21</v>
      </c>
      <c r="G36" s="54"/>
      <c r="H36" s="54">
        <v>0.31</v>
      </c>
      <c r="I36" s="52">
        <f>IFERROR(B36/A36,"")</f>
        <v>0.83333333333333337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7</v>
      </c>
      <c r="B37" s="63">
        <v>29</v>
      </c>
      <c r="C37" s="63"/>
      <c r="D37" s="63"/>
      <c r="E37" s="54">
        <v>0.47</v>
      </c>
      <c r="F37" s="54">
        <v>0.21</v>
      </c>
      <c r="G37" s="54"/>
      <c r="H37" s="54">
        <v>0.31</v>
      </c>
      <c r="I37" s="56">
        <f t="shared" ref="I37:I55" si="1">IF(A37&lt;&gt;0,(B37-(B36-D36))/(A37-A36),"")</f>
        <v>24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8</v>
      </c>
      <c r="B38" s="63">
        <v>60</v>
      </c>
      <c r="C38" s="63"/>
      <c r="D38" s="63"/>
      <c r="E38" s="54">
        <v>0.47</v>
      </c>
      <c r="F38" s="54">
        <v>0.21</v>
      </c>
      <c r="G38" s="54"/>
      <c r="H38" s="54">
        <v>0.31</v>
      </c>
      <c r="I38" s="56">
        <f t="shared" si="1"/>
        <v>31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9</v>
      </c>
      <c r="B39" s="63">
        <v>97</v>
      </c>
      <c r="C39" s="63"/>
      <c r="D39" s="63"/>
      <c r="E39" s="54">
        <v>0.47</v>
      </c>
      <c r="F39" s="54">
        <v>0.21</v>
      </c>
      <c r="G39" s="54"/>
      <c r="H39" s="54">
        <v>0.31</v>
      </c>
      <c r="I39" s="52">
        <f t="shared" si="1"/>
        <v>37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10</v>
      </c>
      <c r="B40" s="63">
        <v>133</v>
      </c>
      <c r="C40" s="63"/>
      <c r="D40" s="63"/>
      <c r="E40" s="54">
        <v>0.47</v>
      </c>
      <c r="F40" s="54">
        <v>0.21</v>
      </c>
      <c r="G40" s="54"/>
      <c r="H40" s="54">
        <v>0.31</v>
      </c>
      <c r="I40" s="52">
        <f t="shared" si="1"/>
        <v>36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11</v>
      </c>
      <c r="B41" s="63">
        <v>175</v>
      </c>
      <c r="C41" s="63"/>
      <c r="D41" s="63"/>
      <c r="E41" s="54">
        <v>0.47</v>
      </c>
      <c r="F41" s="54">
        <v>0.21</v>
      </c>
      <c r="G41" s="54"/>
      <c r="H41" s="54">
        <v>0.31</v>
      </c>
      <c r="I41" s="56">
        <f t="shared" si="1"/>
        <v>42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12</v>
      </c>
      <c r="B42" s="63">
        <v>214</v>
      </c>
      <c r="C42" s="63"/>
      <c r="D42" s="63"/>
      <c r="E42" s="54">
        <v>0.47</v>
      </c>
      <c r="F42" s="54">
        <v>0.21</v>
      </c>
      <c r="G42" s="54"/>
      <c r="H42" s="54">
        <v>0.31</v>
      </c>
      <c r="I42" s="56">
        <f t="shared" si="1"/>
        <v>39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53">
        <v>13</v>
      </c>
      <c r="B43" s="53">
        <v>256</v>
      </c>
      <c r="C43" s="53"/>
      <c r="D43" s="53"/>
      <c r="E43" s="54">
        <v>0.47</v>
      </c>
      <c r="F43" s="54">
        <v>0.21</v>
      </c>
      <c r="G43" s="54"/>
      <c r="H43" s="54">
        <v>0.31</v>
      </c>
      <c r="I43" s="52">
        <f t="shared" si="1"/>
        <v>42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53">
        <v>14</v>
      </c>
      <c r="B44" s="53">
        <v>292</v>
      </c>
      <c r="C44" s="53"/>
      <c r="D44" s="53"/>
      <c r="E44" s="54">
        <v>0.47</v>
      </c>
      <c r="F44" s="54">
        <v>0.21</v>
      </c>
      <c r="G44" s="54"/>
      <c r="H44" s="54">
        <v>0.31</v>
      </c>
      <c r="I44" s="52">
        <f t="shared" si="1"/>
        <v>36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53">
        <v>15</v>
      </c>
      <c r="B45" s="53">
        <v>329</v>
      </c>
      <c r="C45" s="53"/>
      <c r="D45" s="53"/>
      <c r="E45" s="54">
        <v>0.47</v>
      </c>
      <c r="F45" s="54">
        <v>0.21</v>
      </c>
      <c r="G45" s="54"/>
      <c r="H45" s="54">
        <v>0.31</v>
      </c>
      <c r="I45" s="52">
        <f t="shared" si="1"/>
        <v>37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53">
        <v>16</v>
      </c>
      <c r="B46" s="53">
        <v>363</v>
      </c>
      <c r="C46" s="53"/>
      <c r="D46" s="53"/>
      <c r="E46" s="54">
        <v>0.47</v>
      </c>
      <c r="F46" s="54">
        <v>0.21</v>
      </c>
      <c r="G46" s="54"/>
      <c r="H46" s="54">
        <v>0.31</v>
      </c>
      <c r="I46" s="52">
        <f t="shared" si="1"/>
        <v>34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53">
        <v>17</v>
      </c>
      <c r="B47" s="53">
        <v>397</v>
      </c>
      <c r="C47" s="53">
        <v>1</v>
      </c>
      <c r="D47" s="53">
        <v>397</v>
      </c>
      <c r="E47" s="54">
        <v>0.47</v>
      </c>
      <c r="F47" s="54">
        <v>0.21</v>
      </c>
      <c r="G47" s="54"/>
      <c r="H47" s="54">
        <v>0.31</v>
      </c>
      <c r="I47" s="52">
        <f t="shared" si="1"/>
        <v>34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Peuplier Koster</v>
      </c>
      <c r="C58" s="25" t="s">
        <v>324</v>
      </c>
      <c r="D58" s="258" t="s">
        <v>307</v>
      </c>
      <c r="J58" s="25" t="s">
        <v>324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6</v>
      </c>
      <c r="B62" s="63">
        <v>21</v>
      </c>
      <c r="C62" s="63"/>
      <c r="D62" s="63"/>
      <c r="E62" s="54">
        <v>0.47</v>
      </c>
      <c r="F62" s="54">
        <v>0.21</v>
      </c>
      <c r="G62" s="54"/>
      <c r="H62" s="54">
        <v>0.31</v>
      </c>
      <c r="I62" s="56">
        <f>IFERROR(B62/A62,"")</f>
        <v>3.5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7</v>
      </c>
      <c r="B63" s="63">
        <v>55</v>
      </c>
      <c r="C63" s="63"/>
      <c r="D63" s="63"/>
      <c r="E63" s="54">
        <v>0.47</v>
      </c>
      <c r="F63" s="54">
        <v>0.21</v>
      </c>
      <c r="G63" s="54"/>
      <c r="H63" s="54">
        <v>0.31</v>
      </c>
      <c r="I63" s="52">
        <f>IF(A63&lt;&gt;0,(B63-(B62-D62))/(A63-A62),"")</f>
        <v>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8</v>
      </c>
      <c r="B64" s="63">
        <v>91</v>
      </c>
      <c r="C64" s="63"/>
      <c r="D64" s="63"/>
      <c r="E64" s="54">
        <v>0.47</v>
      </c>
      <c r="F64" s="54">
        <v>0.21</v>
      </c>
      <c r="G64" s="54"/>
      <c r="H64" s="54">
        <v>0.31</v>
      </c>
      <c r="I64" s="52">
        <f>IF(A64&lt;&gt;0,(B64-(B63-D63))/(A64-A63),"")</f>
        <v>36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9</v>
      </c>
      <c r="B65" s="63">
        <v>128</v>
      </c>
      <c r="C65" s="63"/>
      <c r="D65" s="63"/>
      <c r="E65" s="54">
        <v>0.47</v>
      </c>
      <c r="F65" s="54">
        <v>0.21</v>
      </c>
      <c r="G65" s="54"/>
      <c r="H65" s="54">
        <v>0.31</v>
      </c>
      <c r="I65" s="52">
        <f>IF(A65&lt;&gt;0,(B65-(B64-D64))/(A65-A64),"")</f>
        <v>37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10</v>
      </c>
      <c r="B66" s="63">
        <v>167</v>
      </c>
      <c r="C66" s="63"/>
      <c r="D66" s="63"/>
      <c r="E66" s="54">
        <v>0.47</v>
      </c>
      <c r="F66" s="54">
        <v>0.21</v>
      </c>
      <c r="G66" s="54"/>
      <c r="H66" s="54">
        <v>0.31</v>
      </c>
      <c r="I66" s="52">
        <f t="shared" ref="I66:I81" si="2">IF(A66&lt;&gt;0,(B66-(B65-D65))/(A66-A65),"")</f>
        <v>39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11</v>
      </c>
      <c r="B67" s="63">
        <v>201</v>
      </c>
      <c r="C67" s="63"/>
      <c r="D67" s="63"/>
      <c r="E67" s="54">
        <v>0.47</v>
      </c>
      <c r="F67" s="54">
        <v>0.21</v>
      </c>
      <c r="G67" s="54"/>
      <c r="H67" s="54">
        <v>0.31</v>
      </c>
      <c r="I67" s="52">
        <f t="shared" si="2"/>
        <v>34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12</v>
      </c>
      <c r="B68" s="63">
        <v>235</v>
      </c>
      <c r="C68" s="63"/>
      <c r="D68" s="63"/>
      <c r="E68" s="54">
        <v>0.47</v>
      </c>
      <c r="F68" s="54">
        <v>0.21</v>
      </c>
      <c r="G68" s="54"/>
      <c r="H68" s="54">
        <v>0.31</v>
      </c>
      <c r="I68" s="52">
        <f t="shared" si="2"/>
        <v>34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13</v>
      </c>
      <c r="B69" s="53">
        <v>266</v>
      </c>
      <c r="C69" s="53"/>
      <c r="D69" s="53"/>
      <c r="E69" s="54">
        <v>0.47</v>
      </c>
      <c r="F69" s="54">
        <v>0.21</v>
      </c>
      <c r="G69" s="54"/>
      <c r="H69" s="54">
        <v>0.31</v>
      </c>
      <c r="I69" s="52">
        <f t="shared" si="2"/>
        <v>31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14</v>
      </c>
      <c r="B70" s="53">
        <v>295</v>
      </c>
      <c r="C70" s="53"/>
      <c r="D70" s="53"/>
      <c r="E70" s="54">
        <v>0.47</v>
      </c>
      <c r="F70" s="54">
        <v>0.21</v>
      </c>
      <c r="G70" s="54"/>
      <c r="H70" s="54">
        <v>0.31</v>
      </c>
      <c r="I70" s="52">
        <f t="shared" si="2"/>
        <v>29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15</v>
      </c>
      <c r="B71" s="53">
        <v>319</v>
      </c>
      <c r="C71" s="53"/>
      <c r="D71" s="53"/>
      <c r="E71" s="54">
        <v>0.47</v>
      </c>
      <c r="F71" s="54">
        <v>0.21</v>
      </c>
      <c r="G71" s="54"/>
      <c r="H71" s="54">
        <v>0.31</v>
      </c>
      <c r="I71" s="52">
        <f t="shared" si="2"/>
        <v>24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16</v>
      </c>
      <c r="B72" s="53">
        <v>339</v>
      </c>
      <c r="C72" s="53"/>
      <c r="D72" s="53"/>
      <c r="E72" s="54">
        <v>0.47</v>
      </c>
      <c r="F72" s="54">
        <v>0.21</v>
      </c>
      <c r="G72" s="54"/>
      <c r="H72" s="54">
        <v>0.31</v>
      </c>
      <c r="I72" s="52">
        <f t="shared" si="2"/>
        <v>20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17</v>
      </c>
      <c r="B73" s="53">
        <v>360</v>
      </c>
      <c r="C73" s="53">
        <v>1</v>
      </c>
      <c r="D73" s="53">
        <v>360</v>
      </c>
      <c r="E73" s="54">
        <v>0.47</v>
      </c>
      <c r="F73" s="54">
        <v>0.21</v>
      </c>
      <c r="G73" s="54"/>
      <c r="H73" s="54">
        <v>0.31</v>
      </c>
      <c r="I73" s="52">
        <f t="shared" si="2"/>
        <v>21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Peuplier Koster</v>
      </c>
      <c r="C84" s="25" t="s">
        <v>329</v>
      </c>
      <c r="D84" s="258" t="s">
        <v>307</v>
      </c>
      <c r="J84" s="25" t="s">
        <v>329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5</v>
      </c>
      <c r="B88" s="63">
        <v>3</v>
      </c>
      <c r="C88" s="53"/>
      <c r="D88" s="63"/>
      <c r="E88" s="54">
        <v>0.47</v>
      </c>
      <c r="F88" s="54">
        <v>0.21</v>
      </c>
      <c r="G88" s="54"/>
      <c r="H88" s="54">
        <v>0.31</v>
      </c>
      <c r="I88" s="56">
        <f>IFERROR(B88/A88,"")</f>
        <v>0.6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6</v>
      </c>
      <c r="B89" s="63">
        <v>29</v>
      </c>
      <c r="C89" s="53"/>
      <c r="D89" s="63"/>
      <c r="E89" s="54">
        <v>0.47</v>
      </c>
      <c r="F89" s="54">
        <v>0.21</v>
      </c>
      <c r="G89" s="54"/>
      <c r="H89" s="54">
        <v>0.31</v>
      </c>
      <c r="I89" s="56">
        <f t="shared" ref="I89:I107" si="3">IF(A89&lt;&gt;0,(B89-(B88-D88))/(A89-A88),"")</f>
        <v>26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7</v>
      </c>
      <c r="B90" s="63">
        <v>57</v>
      </c>
      <c r="C90" s="53"/>
      <c r="D90" s="63"/>
      <c r="E90" s="54">
        <v>0.47</v>
      </c>
      <c r="F90" s="54">
        <v>0.21</v>
      </c>
      <c r="G90" s="54"/>
      <c r="H90" s="54">
        <v>0.31</v>
      </c>
      <c r="I90" s="56">
        <f t="shared" si="3"/>
        <v>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8</v>
      </c>
      <c r="B91" s="63">
        <v>89</v>
      </c>
      <c r="C91" s="53"/>
      <c r="D91" s="63"/>
      <c r="E91" s="54">
        <v>0.47</v>
      </c>
      <c r="F91" s="54">
        <v>0.21</v>
      </c>
      <c r="G91" s="54"/>
      <c r="H91" s="54">
        <v>0.31</v>
      </c>
      <c r="I91" s="56">
        <f t="shared" si="3"/>
        <v>32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9</v>
      </c>
      <c r="B92" s="63">
        <v>120</v>
      </c>
      <c r="C92" s="53"/>
      <c r="D92" s="63"/>
      <c r="E92" s="54">
        <v>0.47</v>
      </c>
      <c r="F92" s="54">
        <v>0.21</v>
      </c>
      <c r="G92" s="54"/>
      <c r="H92" s="54">
        <v>0.31</v>
      </c>
      <c r="I92" s="56">
        <f t="shared" si="3"/>
        <v>31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10</v>
      </c>
      <c r="B93" s="63">
        <v>151</v>
      </c>
      <c r="C93" s="53"/>
      <c r="D93" s="63"/>
      <c r="E93" s="54">
        <v>0.47</v>
      </c>
      <c r="F93" s="54">
        <v>0.21</v>
      </c>
      <c r="G93" s="54"/>
      <c r="H93" s="54">
        <v>0.31</v>
      </c>
      <c r="I93" s="56">
        <f t="shared" si="3"/>
        <v>31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63">
        <v>11</v>
      </c>
      <c r="B94" s="63">
        <v>183</v>
      </c>
      <c r="C94" s="63"/>
      <c r="D94" s="63"/>
      <c r="E94" s="93">
        <v>0.47</v>
      </c>
      <c r="F94" s="93">
        <v>0.21</v>
      </c>
      <c r="G94" s="93"/>
      <c r="H94" s="93">
        <v>0.31</v>
      </c>
      <c r="I94" s="56">
        <f t="shared" si="3"/>
        <v>32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12</v>
      </c>
      <c r="B95" s="63">
        <v>212</v>
      </c>
      <c r="C95" s="63"/>
      <c r="D95" s="63"/>
      <c r="E95" s="93">
        <v>0.47</v>
      </c>
      <c r="F95" s="93">
        <v>0.21</v>
      </c>
      <c r="G95" s="93"/>
      <c r="H95" s="93">
        <v>0.31</v>
      </c>
      <c r="I95" s="56">
        <f t="shared" si="3"/>
        <v>29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13</v>
      </c>
      <c r="B96" s="63">
        <v>238</v>
      </c>
      <c r="C96" s="63"/>
      <c r="D96" s="63"/>
      <c r="E96" s="93">
        <v>0.47</v>
      </c>
      <c r="F96" s="93">
        <v>0.21</v>
      </c>
      <c r="G96" s="93"/>
      <c r="H96" s="93">
        <v>0.31</v>
      </c>
      <c r="I96" s="56">
        <f t="shared" si="3"/>
        <v>26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14</v>
      </c>
      <c r="B97" s="63">
        <v>261</v>
      </c>
      <c r="C97" s="63"/>
      <c r="D97" s="63"/>
      <c r="E97" s="93">
        <v>0.47</v>
      </c>
      <c r="F97" s="93">
        <v>0.21</v>
      </c>
      <c r="G97" s="93"/>
      <c r="H97" s="93">
        <v>0.31</v>
      </c>
      <c r="I97" s="56">
        <f t="shared" si="3"/>
        <v>23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15</v>
      </c>
      <c r="B98" s="63">
        <v>282</v>
      </c>
      <c r="C98" s="63"/>
      <c r="D98" s="63"/>
      <c r="E98" s="93">
        <v>0.47</v>
      </c>
      <c r="F98" s="93">
        <v>0.21</v>
      </c>
      <c r="G98" s="93"/>
      <c r="H98" s="93">
        <v>0.31</v>
      </c>
      <c r="I98" s="56">
        <f t="shared" si="3"/>
        <v>21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16</v>
      </c>
      <c r="B99" s="63">
        <v>300</v>
      </c>
      <c r="C99" s="63"/>
      <c r="D99" s="63"/>
      <c r="E99" s="93">
        <v>0.47</v>
      </c>
      <c r="F99" s="93">
        <v>0.21</v>
      </c>
      <c r="G99" s="93"/>
      <c r="H99" s="93">
        <v>0.31</v>
      </c>
      <c r="I99" s="56">
        <f t="shared" si="3"/>
        <v>18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17</v>
      </c>
      <c r="B100" s="63">
        <v>319</v>
      </c>
      <c r="C100" s="63"/>
      <c r="D100" s="63"/>
      <c r="E100" s="68">
        <v>0.47</v>
      </c>
      <c r="F100" s="68">
        <v>0.21</v>
      </c>
      <c r="G100" s="68"/>
      <c r="H100" s="68">
        <v>0.31</v>
      </c>
      <c r="I100" s="56">
        <f t="shared" si="3"/>
        <v>19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18</v>
      </c>
      <c r="B101" s="63">
        <v>332</v>
      </c>
      <c r="C101" s="63"/>
      <c r="D101" s="63"/>
      <c r="E101" s="68">
        <v>0.47</v>
      </c>
      <c r="F101" s="68">
        <v>0.21</v>
      </c>
      <c r="G101" s="68"/>
      <c r="H101" s="68">
        <v>0.31</v>
      </c>
      <c r="I101" s="56">
        <f t="shared" si="3"/>
        <v>13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>
        <v>19</v>
      </c>
      <c r="B102" s="53">
        <v>345</v>
      </c>
      <c r="C102" s="63"/>
      <c r="D102" s="53"/>
      <c r="E102" s="57">
        <v>0.47</v>
      </c>
      <c r="F102" s="57">
        <v>0.21</v>
      </c>
      <c r="G102" s="57"/>
      <c r="H102" s="57">
        <v>0.31</v>
      </c>
      <c r="I102" s="56">
        <f t="shared" si="3"/>
        <v>13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>
        <v>20</v>
      </c>
      <c r="B103" s="53">
        <v>355</v>
      </c>
      <c r="C103" s="63"/>
      <c r="D103" s="53"/>
      <c r="E103" s="57">
        <v>0.47</v>
      </c>
      <c r="F103" s="57">
        <v>0.21</v>
      </c>
      <c r="G103" s="57"/>
      <c r="H103" s="57">
        <v>0.31</v>
      </c>
      <c r="I103" s="56">
        <f t="shared" si="3"/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>
        <v>21</v>
      </c>
      <c r="B104" s="53">
        <v>366</v>
      </c>
      <c r="C104" s="63">
        <v>1</v>
      </c>
      <c r="D104" s="53">
        <v>366</v>
      </c>
      <c r="E104" s="57">
        <v>0.47</v>
      </c>
      <c r="F104" s="57">
        <v>0.21</v>
      </c>
      <c r="G104" s="57"/>
      <c r="H104" s="57">
        <v>0.31</v>
      </c>
      <c r="I104" s="56">
        <f t="shared" si="3"/>
        <v>11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Peuplier Koster</v>
      </c>
      <c r="C110" s="25" t="s">
        <v>326</v>
      </c>
      <c r="D110" s="258" t="s">
        <v>307</v>
      </c>
      <c r="J110" s="25" t="s">
        <v>326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6</v>
      </c>
      <c r="B114" s="63">
        <v>21</v>
      </c>
      <c r="C114" s="53"/>
      <c r="D114" s="63"/>
      <c r="E114" s="54">
        <v>0.47</v>
      </c>
      <c r="F114" s="54">
        <v>0.21</v>
      </c>
      <c r="G114" s="54"/>
      <c r="H114" s="54">
        <v>0.31</v>
      </c>
      <c r="I114" s="56">
        <f>IFERROR(B114/A114,"")</f>
        <v>3.5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7</v>
      </c>
      <c r="B115" s="63">
        <v>55</v>
      </c>
      <c r="C115" s="53"/>
      <c r="D115" s="63"/>
      <c r="E115" s="54">
        <v>0.47</v>
      </c>
      <c r="F115" s="54">
        <v>0.21</v>
      </c>
      <c r="G115" s="54"/>
      <c r="H115" s="54">
        <v>0.31</v>
      </c>
      <c r="I115" s="56">
        <f t="shared" ref="I115:I133" si="4">IF(A115&lt;&gt;0,(B115-(B114-D114))/(A115-A114),"")</f>
        <v>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8</v>
      </c>
      <c r="B116" s="63">
        <v>91</v>
      </c>
      <c r="C116" s="53"/>
      <c r="D116" s="63"/>
      <c r="E116" s="54">
        <v>0.47</v>
      </c>
      <c r="F116" s="54">
        <v>0.21</v>
      </c>
      <c r="G116" s="54"/>
      <c r="H116" s="54">
        <v>0.31</v>
      </c>
      <c r="I116" s="56">
        <f t="shared" si="4"/>
        <v>36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9</v>
      </c>
      <c r="B117" s="63">
        <v>128</v>
      </c>
      <c r="C117" s="53"/>
      <c r="D117" s="63"/>
      <c r="E117" s="54">
        <v>0.47</v>
      </c>
      <c r="F117" s="54">
        <v>0.21</v>
      </c>
      <c r="G117" s="54"/>
      <c r="H117" s="54">
        <v>0.31</v>
      </c>
      <c r="I117" s="56">
        <f t="shared" si="4"/>
        <v>37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10</v>
      </c>
      <c r="B118" s="63">
        <v>167</v>
      </c>
      <c r="C118" s="53"/>
      <c r="D118" s="63"/>
      <c r="E118" s="54">
        <v>0.47</v>
      </c>
      <c r="F118" s="54">
        <v>0.21</v>
      </c>
      <c r="G118" s="54"/>
      <c r="H118" s="54">
        <v>0.31</v>
      </c>
      <c r="I118" s="56">
        <f t="shared" si="4"/>
        <v>39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11</v>
      </c>
      <c r="B119" s="63">
        <v>201</v>
      </c>
      <c r="C119" s="53"/>
      <c r="D119" s="63"/>
      <c r="E119" s="54">
        <v>0.47</v>
      </c>
      <c r="F119" s="54">
        <v>0.21</v>
      </c>
      <c r="G119" s="54"/>
      <c r="H119" s="54">
        <v>0.31</v>
      </c>
      <c r="I119" s="56">
        <f t="shared" si="4"/>
        <v>34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12</v>
      </c>
      <c r="B120" s="63">
        <v>235</v>
      </c>
      <c r="C120" s="63"/>
      <c r="D120" s="63"/>
      <c r="E120" s="93">
        <v>0.47</v>
      </c>
      <c r="F120" s="93">
        <v>0.21</v>
      </c>
      <c r="G120" s="93"/>
      <c r="H120" s="93">
        <v>0.31</v>
      </c>
      <c r="I120" s="56">
        <f t="shared" si="4"/>
        <v>34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13</v>
      </c>
      <c r="B121" s="63">
        <v>266</v>
      </c>
      <c r="C121" s="63"/>
      <c r="D121" s="63"/>
      <c r="E121" s="93">
        <v>0.47</v>
      </c>
      <c r="F121" s="93">
        <v>0.21</v>
      </c>
      <c r="G121" s="93"/>
      <c r="H121" s="93">
        <v>0.31</v>
      </c>
      <c r="I121" s="56">
        <f t="shared" si="4"/>
        <v>31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14</v>
      </c>
      <c r="B122" s="63">
        <v>295</v>
      </c>
      <c r="C122" s="63"/>
      <c r="D122" s="63"/>
      <c r="E122" s="93">
        <v>0.47</v>
      </c>
      <c r="F122" s="93">
        <v>0.21</v>
      </c>
      <c r="G122" s="93"/>
      <c r="H122" s="93">
        <v>0.31</v>
      </c>
      <c r="I122" s="56">
        <f t="shared" si="4"/>
        <v>29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15</v>
      </c>
      <c r="B123" s="63">
        <v>319</v>
      </c>
      <c r="C123" s="63"/>
      <c r="D123" s="63"/>
      <c r="E123" s="93">
        <v>0.47</v>
      </c>
      <c r="F123" s="93">
        <v>0.21</v>
      </c>
      <c r="G123" s="93"/>
      <c r="H123" s="93">
        <v>0.31</v>
      </c>
      <c r="I123" s="56">
        <f t="shared" si="4"/>
        <v>24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16</v>
      </c>
      <c r="B124" s="63">
        <v>339</v>
      </c>
      <c r="C124" s="63"/>
      <c r="D124" s="63"/>
      <c r="E124" s="93">
        <v>0.47</v>
      </c>
      <c r="F124" s="93">
        <v>0.21</v>
      </c>
      <c r="G124" s="93"/>
      <c r="H124" s="93">
        <v>0.31</v>
      </c>
      <c r="I124" s="56">
        <f t="shared" si="4"/>
        <v>20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17</v>
      </c>
      <c r="B125" s="63">
        <v>360</v>
      </c>
      <c r="C125" s="63">
        <v>1</v>
      </c>
      <c r="D125" s="63">
        <v>360</v>
      </c>
      <c r="E125" s="93">
        <v>0.47</v>
      </c>
      <c r="F125" s="93">
        <v>0.21</v>
      </c>
      <c r="G125" s="93"/>
      <c r="H125" s="93">
        <v>0.31</v>
      </c>
      <c r="I125" s="56">
        <f t="shared" si="4"/>
        <v>21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H23" sqref="H23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4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Peuplier Koster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Peuplier Koster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Peuplier Koster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Peuplier Koster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133.56954582136541</v>
      </c>
      <c r="T3" s="62">
        <f>IF('Données projet'!E9&gt;30,$R$33-$H$33,LOOKUP('Données projet'!$E$9,$A$3:$A$203,R3:R203)-LOOKUP('Données projet'!$E$9,$A$3:$A$203,$H$3:$H$203))</f>
        <v>412.851273435613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142.72679502162805</v>
      </c>
      <c r="AO3" s="62">
        <f>IF('Données projet'!E10&gt;30,$AM$33-$H$33,LOOKUP('Données projet'!$E$10,$A$3:$A$203,AM3:AM203)-LOOKUP('Données projet'!$E$10,$A$3:$A$203,$H$3:$H$203))</f>
        <v>372.84389296423961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169.10494041758477</v>
      </c>
      <c r="BJ3" s="62">
        <f>IF('Données projet'!E11&gt;30,$BH$33-$H$33,LOOKUP('Données projet'!$E$11,$A$3:$A$203,BH3:BH203)-LOOKUP('Données projet'!$E$11,$A$3:$A$203,$H$3:$H$203))</f>
        <v>373.38644103117821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142.72679502162805</v>
      </c>
      <c r="CE3" s="62">
        <f>IF('Données projet'!E12&gt;30,$CC$33-$H$33,LOOKUP('Données projet'!$E$12,$A$3:$A$203,CC3:CC203)-LOOKUP('Données projet'!$E$12,$A$3:$A$203,$H$3:$H$203))</f>
        <v>372.84389296423961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0.6552</v>
      </c>
      <c r="D4" s="12">
        <f>IFERROR(EXP(-1.0587+0.8836*LN(C4)+0.284),0)</f>
        <v>0.31717579198639134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7.506058745158108</v>
      </c>
      <c r="H4" s="70">
        <f t="shared" ref="H4:H67" si="1">(B4+E4+F4)*44/12+(C4+D4)*0.475*44/12</f>
        <v>295.02688783770964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0.83333333333333337</v>
      </c>
      <c r="N4" s="14">
        <f>IF('Données projet'!$A$36&gt;35,N3+M4-V3,IF(A4&lt;'Données projet'!$A$36,$K$205^A4,IF(A4='Données projet'!$A$36,'Données projet'!$B$36,N3+M4-V3)))</f>
        <v>1.3076604860118306</v>
      </c>
      <c r="O4" s="14">
        <f>N4*VLOOKUP('Données projet'!$B$9,Paramètres!$A$1:$I$89,3,0)*VLOOKUP('Données projet'!$B$9,Paramètres!$A$1:$I$89,5,0)</f>
        <v>0.66502381676617661</v>
      </c>
      <c r="P4" s="14">
        <f>EXP(-1.0587+0.8836*LN(O4)+0.284)</f>
        <v>0.32137420405179057</v>
      </c>
      <c r="Q4" s="22">
        <f t="shared" ref="Q4:Q34" si="2">(O4+P4)*0.475*44/12</f>
        <v>1.717976552924626</v>
      </c>
      <c r="R4" s="62">
        <f t="shared" si="0"/>
        <v>295.05130988625797</v>
      </c>
      <c r="S4" s="62">
        <f ca="1">AVERAGE(OFFSET($R$3,0,0,'Données projet'!$E$9+1,1))-AVERAGE(OFFSET($H$3,0,0,'Données projet'!$E$9+1,1))</f>
        <v>133.56954582136541</v>
      </c>
      <c r="T4" s="62">
        <f>$T$3</f>
        <v>412.851273435613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3.5</v>
      </c>
      <c r="AI4" s="14">
        <f>IF('Données projet'!$A$62&gt;35,AI3+AH4-AQ3,IF(A4&lt;'Données projet'!$A$62,$AF$205^A4,IF(A4='Données projet'!$A$62,'Données projet'!$B$62,AI3+AH4-AQ3)))</f>
        <v>1.661000956165023</v>
      </c>
      <c r="AJ4" s="14">
        <f>AI4*VLOOKUP('Données projet'!$B$10,Paramètres!$A$1:$I$89,3,0)*VLOOKUP('Données projet'!$B$10,Paramètres!$A$1:$I$89,5,0)</f>
        <v>0.84471864626728421</v>
      </c>
      <c r="AK4" s="14">
        <f>EXP(-1.0587+0.8836*LN(AJ4)+0.284)</f>
        <v>0.3970039790016559</v>
      </c>
      <c r="AL4" s="22">
        <f t="shared" ref="AL4:AL67" si="4">(AJ4+AK4)*0.475*44/12</f>
        <v>2.1626669056767374</v>
      </c>
      <c r="AM4" s="62">
        <f t="shared" ref="AM4:AM67" si="5">AL4+(AD4+AE4)*44/12</f>
        <v>295.49600023901007</v>
      </c>
      <c r="AN4" s="62">
        <f ca="1">AVERAGE(OFFSET($AM$3,0,0,'Données projet'!$E$10+1,1))-AVERAGE(OFFSET($H$3,0,0,'Données projet'!$E$10+1,1))</f>
        <v>142.72679502162805</v>
      </c>
      <c r="AO4" s="62">
        <f>$AO$3</f>
        <v>372.84389296423961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0.6</v>
      </c>
      <c r="BD4" s="13">
        <f>IF('Données projet'!$A$88&gt;35,BD3+BC4-BL3,IF(A4&lt;'Données projet'!$A$88,$BA$205^A4,IF(A4='Données projet'!$A$88,'Données projet'!$B$88,BD3+BC4-BL3)))</f>
        <v>1.2457309396155174</v>
      </c>
      <c r="BE4" s="14">
        <f>BD4*VLOOKUP('Données projet'!$B$11,Paramètres!$A$1:$I$89,3,0)*VLOOKUP('Données projet'!$B$11,Paramètres!$A$1:$I$89,5,0)</f>
        <v>0.63352892665086757</v>
      </c>
      <c r="BF4" s="14">
        <f>EXP(-1.0587+0.8836*LN(BE4)+0.284)</f>
        <v>0.30788809713590287</v>
      </c>
      <c r="BG4" s="22">
        <f t="shared" ref="BG4:BG67" si="7">(BE4+BF4)*0.475*44/12</f>
        <v>1.6396346497619587</v>
      </c>
      <c r="BH4" s="62">
        <f t="shared" ref="BH4:BH67" si="8">BG4+(AY4+AZ4)*44/12</f>
        <v>294.97296798309526</v>
      </c>
      <c r="BI4" s="62">
        <f ca="1">AVERAGE(OFFSET($BH$3,0,0,'Données projet'!$E$11+1,1))-AVERAGE(OFFSET($H$3,0,0,'Données projet'!$E$11+1,1))</f>
        <v>169.10494041758477</v>
      </c>
      <c r="BJ4" s="62">
        <f>$BJ$3</f>
        <v>373.38644103117821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3.5</v>
      </c>
      <c r="BY4" s="13">
        <f>IF('Données projet'!$A$114&gt;35,BY3+BX4-CG3,IF(A4&lt;'Données projet'!$A$114,$BV$205^A4,IF(A4='Données projet'!$A$114,'Données projet'!$B$114,BY3+BX4-CG3)))</f>
        <v>1.661000956165023</v>
      </c>
      <c r="BZ4" s="14">
        <f>BY4*VLOOKUP('Données projet'!$B$12,Paramètres!$A$1:$I$89,3,0)*VLOOKUP('Données projet'!$B$12,Paramètres!$A$1:$I$89,5,0)</f>
        <v>0.84471864626728421</v>
      </c>
      <c r="CA4" s="14">
        <f>EXP(-1.0587+0.8836*LN(BZ4)+0.284)</f>
        <v>0.3970039790016559</v>
      </c>
      <c r="CB4" s="22">
        <f t="shared" ref="CB4:CB67" si="10">(BZ4+CA4)*0.475*44/12</f>
        <v>2.1626669056767374</v>
      </c>
      <c r="CC4" s="62">
        <f t="shared" ref="CC4:CC67" si="11">CB4+(BT4+BU4)*44/12</f>
        <v>295.49600023901007</v>
      </c>
      <c r="CD4" s="62">
        <f ca="1">AVERAGE(OFFSET($CC$3,0,0,'Données projet'!$E$12+1,1))-AVERAGE(OFFSET($H$3,0,0,'Données projet'!$E$12+1,1))</f>
        <v>142.72679502162805</v>
      </c>
      <c r="CE4" s="62">
        <f>$CE$3</f>
        <v>372.84389296423961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1.3104</v>
      </c>
      <c r="D5" s="12">
        <f t="shared" ref="D5:D68" si="32">IFERROR(EXP(-1.0587+0.8836*LN(C5)+0.284),0)</f>
        <v>0.58518089272533402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14.632554259634157</v>
      </c>
      <c r="H5" s="70">
        <f t="shared" si="1"/>
        <v>296.63480338816328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0.83333333333333337</v>
      </c>
      <c r="N5" s="14">
        <f>IF('Données projet'!$A$36&gt;35,N4+M5-V4,IF(A5&lt;'Données projet'!$A$36,$K$205^A5,IF(A5='Données projet'!$A$36,'Données projet'!$B$36,N4+M5-V4)))</f>
        <v>1.7099759466766971</v>
      </c>
      <c r="O5" s="14">
        <f>N5*VLOOKUP('Données projet'!$B$9,Paramètres!$A$1:$I$89,3,0)*VLOOKUP('Données projet'!$B$9,Paramètres!$A$1:$I$89,5,0)</f>
        <v>0.86962536744190111</v>
      </c>
      <c r="P5" s="14">
        <f t="shared" ref="P5:P68" si="33">EXP(-1.0587+0.8836*LN(O5)+0.284)</f>
        <v>0.4073296243336133</v>
      </c>
      <c r="Q5" s="22">
        <f t="shared" si="2"/>
        <v>2.2240299440090214</v>
      </c>
      <c r="R5" s="62">
        <f t="shared" si="0"/>
        <v>295.55736327734235</v>
      </c>
      <c r="S5" s="62">
        <f ca="1">AVERAGE(OFFSET($R$3,0,0,'Données projet'!$E$9+1,1))-AVERAGE(OFFSET($H$3,0,0,'Données projet'!$E$9+1,1))</f>
        <v>133.56954582136541</v>
      </c>
      <c r="T5" s="62">
        <f t="shared" ref="T5:T68" si="34">$T$3</f>
        <v>412.851273435613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3.5</v>
      </c>
      <c r="AI5" s="14">
        <f>IF('Données projet'!$A$62&gt;35,AI4+AH5-AQ4,IF(A5&lt;'Données projet'!$A$62,$AF$205^A5,IF(A5='Données projet'!$A$62,'Données projet'!$B$62,AI4+AH5-AQ4)))</f>
        <v>2.7589241763811208</v>
      </c>
      <c r="AJ5" s="14">
        <f>AI5*VLOOKUP('Données projet'!$B$10,Paramètres!$A$1:$I$89,3,0)*VLOOKUP('Données projet'!$B$10,Paramètres!$A$1:$I$89,5,0)</f>
        <v>1.4030784791403828</v>
      </c>
      <c r="AK5" s="14">
        <f t="shared" ref="AK5:AK68" si="35">EXP(-1.0587+0.8836*LN(AJ5)+0.284)</f>
        <v>0.62160383854919443</v>
      </c>
      <c r="AL5" s="22">
        <f t="shared" si="4"/>
        <v>3.5263217033093466</v>
      </c>
      <c r="AM5" s="62">
        <f t="shared" si="5"/>
        <v>296.85965503664266</v>
      </c>
      <c r="AN5" s="62">
        <f ca="1">AVERAGE(OFFSET($AM$3,0,0,'Données projet'!$E$10+1,1))-AVERAGE(OFFSET($H$3,0,0,'Données projet'!$E$10+1,1))</f>
        <v>142.72679502162805</v>
      </c>
      <c r="AO5" s="62">
        <f t="shared" ref="AO5:AO68" si="36">$AO$3</f>
        <v>372.84389296423961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0.6</v>
      </c>
      <c r="BD5" s="13">
        <f>IF('Données projet'!$A$88&gt;35,BD4+BC5-BL4,IF(A5&lt;'Données projet'!$A$88,$BA$205^A5,IF(A5='Données projet'!$A$88,'Données projet'!$B$88,BD4+BC5-BL4)))</f>
        <v>1.5518455739153598</v>
      </c>
      <c r="BE5" s="14">
        <f>BD5*VLOOKUP('Données projet'!$B$11,Paramètres!$A$1:$I$89,3,0)*VLOOKUP('Données projet'!$B$11,Paramètres!$A$1:$I$89,5,0)</f>
        <v>0.78920658507039543</v>
      </c>
      <c r="BF5" s="14">
        <f t="shared" ref="BF5:BF68" si="37">EXP(-1.0587+0.8836*LN(BE5)+0.284)</f>
        <v>0.37386065942921631</v>
      </c>
      <c r="BG5" s="22">
        <f t="shared" si="7"/>
        <v>2.025675450836824</v>
      </c>
      <c r="BH5" s="62">
        <f t="shared" si="8"/>
        <v>295.35900878417016</v>
      </c>
      <c r="BI5" s="62">
        <f ca="1">AVERAGE(OFFSET($BH$3,0,0,'Données projet'!$E$11+1,1))-AVERAGE(OFFSET($H$3,0,0,'Données projet'!$E$11+1,1))</f>
        <v>169.10494041758477</v>
      </c>
      <c r="BJ5" s="62">
        <f t="shared" ref="BJ5:BJ68" si="38">$BJ$3</f>
        <v>373.38644103117821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3.5</v>
      </c>
      <c r="BY5" s="13">
        <f>IF('Données projet'!$A$114&gt;35,BY4+BX5-CG4,IF(A5&lt;'Données projet'!$A$114,$BV$205^A5,IF(A5='Données projet'!$A$114,'Données projet'!$B$114,BY4+BX5-CG4)))</f>
        <v>2.7589241763811208</v>
      </c>
      <c r="BZ5" s="14">
        <f>BY5*VLOOKUP('Données projet'!$B$12,Paramètres!$A$1:$I$89,3,0)*VLOOKUP('Données projet'!$B$12,Paramètres!$A$1:$I$89,5,0)</f>
        <v>1.4030784791403828</v>
      </c>
      <c r="CA5" s="14">
        <f t="shared" ref="CA5:CA68" si="39">EXP(-1.0587+0.8836*LN(BZ5)+0.284)</f>
        <v>0.62160383854919443</v>
      </c>
      <c r="CB5" s="22">
        <f t="shared" si="10"/>
        <v>3.5263217033093466</v>
      </c>
      <c r="CC5" s="62">
        <f t="shared" si="11"/>
        <v>296.85965503664266</v>
      </c>
      <c r="CD5" s="62">
        <f ca="1">AVERAGE(OFFSET($CC$3,0,0,'Données projet'!$E$12+1,1))-AVERAGE(OFFSET($H$3,0,0,'Données projet'!$E$12+1,1))</f>
        <v>142.72679502162805</v>
      </c>
      <c r="CE5" s="62">
        <f t="shared" ref="CE5:CE68" si="40">$CE$3</f>
        <v>372.84389296423961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1.9656</v>
      </c>
      <c r="D6" s="12">
        <f t="shared" si="32"/>
        <v>0.83730632840564967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21.636469903482208</v>
      </c>
      <c r="H6" s="70">
        <f t="shared" si="1"/>
        <v>298.21506185530649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0.83333333333333337</v>
      </c>
      <c r="N6" s="14">
        <f>IF('Données projet'!$A$36&gt;35,N5+M6-V5,IF(A6&lt;'Données projet'!$A$36,$K$205^A6,IF(A6='Données projet'!$A$36,'Données projet'!$B$36,N5+M6-V5)))</f>
        <v>2.2360679774997898</v>
      </c>
      <c r="O6" s="14">
        <f>N6*VLOOKUP('Données projet'!$B$9,Paramètres!$A$1:$I$89,3,0)*VLOOKUP('Données projet'!$B$9,Paramètres!$A$1:$I$89,5,0)</f>
        <v>1.137174730637293</v>
      </c>
      <c r="P6" s="14">
        <f t="shared" si="33"/>
        <v>0.51627486203909612</v>
      </c>
      <c r="Q6" s="22">
        <f t="shared" si="2"/>
        <v>2.8797580405780443</v>
      </c>
      <c r="R6" s="62">
        <f t="shared" si="0"/>
        <v>296.21309137391137</v>
      </c>
      <c r="S6" s="62">
        <f ca="1">AVERAGE(OFFSET($R$3,0,0,'Données projet'!$E$9+1,1))-AVERAGE(OFFSET($H$3,0,0,'Données projet'!$E$9+1,1))</f>
        <v>133.56954582136541</v>
      </c>
      <c r="T6" s="62">
        <f t="shared" si="34"/>
        <v>412.851273435613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3.5</v>
      </c>
      <c r="AI6" s="14">
        <f>IF('Données projet'!$A$62&gt;35,AI5+AH6-AQ5,IF(A6&lt;'Données projet'!$A$62,$AF$205^A6,IF(A6='Données projet'!$A$62,'Données projet'!$B$62,AI5+AH6-AQ5)))</f>
        <v>4.5825756949558398</v>
      </c>
      <c r="AJ6" s="14">
        <f>AI6*VLOOKUP('Données projet'!$B$10,Paramètres!$A$1:$I$89,3,0)*VLOOKUP('Données projet'!$B$10,Paramètres!$A$1:$I$89,5,0)</f>
        <v>2.3305146954267419</v>
      </c>
      <c r="AK6" s="14">
        <f t="shared" si="35"/>
        <v>0.97326815985761539</v>
      </c>
      <c r="AL6" s="22">
        <f t="shared" si="4"/>
        <v>5.7540884729535877</v>
      </c>
      <c r="AM6" s="62">
        <f t="shared" si="5"/>
        <v>299.0874218062869</v>
      </c>
      <c r="AN6" s="62">
        <f ca="1">AVERAGE(OFFSET($AM$3,0,0,'Données projet'!$E$10+1,1))-AVERAGE(OFFSET($H$3,0,0,'Données projet'!$E$10+1,1))</f>
        <v>142.72679502162805</v>
      </c>
      <c r="AO6" s="62">
        <f t="shared" si="36"/>
        <v>372.84389296423961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0.6</v>
      </c>
      <c r="BD6" s="13">
        <f>IF('Données projet'!$A$88&gt;35,BD5+BC6-BL5,IF(A6&lt;'Données projet'!$A$88,$BA$205^A6,IF(A6='Données projet'!$A$88,'Données projet'!$B$88,BD5+BC6-BL5)))</f>
        <v>1.9331820449317632</v>
      </c>
      <c r="BE6" s="14">
        <f>BD6*VLOOKUP('Données projet'!$B$11,Paramètres!$A$1:$I$89,3,0)*VLOOKUP('Données projet'!$B$11,Paramètres!$A$1:$I$89,5,0)</f>
        <v>0.98313906077049762</v>
      </c>
      <c r="BF6" s="14">
        <f t="shared" si="37"/>
        <v>0.45396945828390622</v>
      </c>
      <c r="BG6" s="22">
        <f t="shared" si="7"/>
        <v>2.5029640040197534</v>
      </c>
      <c r="BH6" s="62">
        <f t="shared" si="8"/>
        <v>295.83629733735307</v>
      </c>
      <c r="BI6" s="62">
        <f ca="1">AVERAGE(OFFSET($BH$3,0,0,'Données projet'!$E$11+1,1))-AVERAGE(OFFSET($H$3,0,0,'Données projet'!$E$11+1,1))</f>
        <v>169.10494041758477</v>
      </c>
      <c r="BJ6" s="62">
        <f t="shared" si="38"/>
        <v>373.38644103117821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3.5</v>
      </c>
      <c r="BY6" s="13">
        <f>IF('Données projet'!$A$114&gt;35,BY5+BX6-CG5,IF(A6&lt;'Données projet'!$A$114,$BV$205^A6,IF(A6='Données projet'!$A$114,'Données projet'!$B$114,BY5+BX6-CG5)))</f>
        <v>4.5825756949558398</v>
      </c>
      <c r="BZ6" s="14">
        <f>BY6*VLOOKUP('Données projet'!$B$12,Paramètres!$A$1:$I$89,3,0)*VLOOKUP('Données projet'!$B$12,Paramètres!$A$1:$I$89,5,0)</f>
        <v>2.3305146954267419</v>
      </c>
      <c r="CA6" s="14">
        <f t="shared" si="39"/>
        <v>0.97326815985761539</v>
      </c>
      <c r="CB6" s="22">
        <f t="shared" si="10"/>
        <v>5.7540884729535877</v>
      </c>
      <c r="CC6" s="62">
        <f t="shared" si="11"/>
        <v>299.0874218062869</v>
      </c>
      <c r="CD6" s="62">
        <f ca="1">AVERAGE(OFFSET($CC$3,0,0,'Données projet'!$E$12+1,1))-AVERAGE(OFFSET($H$3,0,0,'Données projet'!$E$12+1,1))</f>
        <v>142.72679502162805</v>
      </c>
      <c r="CE6" s="62">
        <f t="shared" si="40"/>
        <v>372.84389296423961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</v>
      </c>
      <c r="D7" s="12">
        <f t="shared" si="32"/>
        <v>1.0796431690647794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28.564824462956192</v>
      </c>
      <c r="H7" s="70">
        <f t="shared" si="1"/>
        <v>299.77827185278778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0.83333333333333337</v>
      </c>
      <c r="N7" s="14">
        <f>IF('Données projet'!$A$36&gt;35,N6+M7-V6,IF(A7&lt;'Données projet'!$A$36,$K$205^A7,IF(A7='Données projet'!$A$36,'Données projet'!$B$36,N6+M7-V6)))</f>
        <v>2.9240177382128665</v>
      </c>
      <c r="O7" s="14">
        <f>N7*VLOOKUP('Données projet'!$B$9,Paramètres!$A$1:$I$89,3,0)*VLOOKUP('Données projet'!$B$9,Paramètres!$A$1:$I$89,5,0)</f>
        <v>1.4870384609455356</v>
      </c>
      <c r="P7" s="14">
        <f t="shared" si="33"/>
        <v>0.65435882207080776</v>
      </c>
      <c r="Q7" s="22">
        <f t="shared" si="2"/>
        <v>3.7296002679201314</v>
      </c>
      <c r="R7" s="62">
        <f t="shared" si="0"/>
        <v>297.06293360125346</v>
      </c>
      <c r="S7" s="62">
        <f ca="1">AVERAGE(OFFSET($R$3,0,0,'Données projet'!$E$9+1,1))-AVERAGE(OFFSET($H$3,0,0,'Données projet'!$E$9+1,1))</f>
        <v>133.56954582136541</v>
      </c>
      <c r="T7" s="62">
        <f t="shared" si="34"/>
        <v>412.851273435613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3.5</v>
      </c>
      <c r="AI7" s="14">
        <f>IF('Données projet'!$A$62&gt;35,AI6+AH7-AQ6,IF(A7&lt;'Données projet'!$A$62,$AF$205^A7,IF(A7='Données projet'!$A$62,'Données projet'!$B$62,AI6+AH7-AQ6)))</f>
        <v>7.6116626110202459</v>
      </c>
      <c r="AJ7" s="14">
        <f>AI7*VLOOKUP('Données projet'!$B$10,Paramètres!$A$1:$I$89,3,0)*VLOOKUP('Données projet'!$B$10,Paramètres!$A$1:$I$89,5,0)</f>
        <v>3.8709871374604568</v>
      </c>
      <c r="AK7" s="14">
        <f t="shared" si="35"/>
        <v>1.5238820165645783</v>
      </c>
      <c r="AL7" s="22">
        <f t="shared" si="4"/>
        <v>9.3960637765936017</v>
      </c>
      <c r="AM7" s="62">
        <f t="shared" si="5"/>
        <v>302.72939710992694</v>
      </c>
      <c r="AN7" s="62">
        <f ca="1">AVERAGE(OFFSET($AM$3,0,0,'Données projet'!$E$10+1,1))-AVERAGE(OFFSET($H$3,0,0,'Données projet'!$E$10+1,1))</f>
        <v>142.72679502162805</v>
      </c>
      <c r="AO7" s="62">
        <f t="shared" si="36"/>
        <v>372.84389296423961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0.6</v>
      </c>
      <c r="BD7" s="13">
        <f>IF('Données projet'!$A$88&gt;35,BD6+BC7-BL6,IF(A7&lt;'Données projet'!$A$88,$BA$205^A7,IF(A7='Données projet'!$A$88,'Données projet'!$B$88,BD6+BC7-BL6)))</f>
        <v>2.4082246852806923</v>
      </c>
      <c r="BE7" s="14">
        <f>BD7*VLOOKUP('Données projet'!$B$11,Paramètres!$A$1:$I$89,3,0)*VLOOKUP('Données projet'!$B$11,Paramètres!$A$1:$I$89,5,0)</f>
        <v>1.2247267459463491</v>
      </c>
      <c r="BF7" s="14">
        <f t="shared" si="37"/>
        <v>0.55124352845582625</v>
      </c>
      <c r="BG7" s="22">
        <f t="shared" si="7"/>
        <v>3.0931482279171214</v>
      </c>
      <c r="BH7" s="62">
        <f t="shared" si="8"/>
        <v>296.42648156125045</v>
      </c>
      <c r="BI7" s="62">
        <f ca="1">AVERAGE(OFFSET($BH$3,0,0,'Données projet'!$E$11+1,1))-AVERAGE(OFFSET($H$3,0,0,'Données projet'!$E$11+1,1))</f>
        <v>169.10494041758477</v>
      </c>
      <c r="BJ7" s="62">
        <f t="shared" si="38"/>
        <v>373.38644103117821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3.5</v>
      </c>
      <c r="BY7" s="13">
        <f>IF('Données projet'!$A$114&gt;35,BY6+BX7-CG6,IF(A7&lt;'Données projet'!$A$114,$BV$205^A7,IF(A7='Données projet'!$A$114,'Données projet'!$B$114,BY6+BX7-CG6)))</f>
        <v>7.6116626110202459</v>
      </c>
      <c r="BZ7" s="14">
        <f>BY7*VLOOKUP('Données projet'!$B$12,Paramètres!$A$1:$I$89,3,0)*VLOOKUP('Données projet'!$B$12,Paramètres!$A$1:$I$89,5,0)</f>
        <v>3.8709871374604568</v>
      </c>
      <c r="CA7" s="14">
        <f t="shared" si="39"/>
        <v>1.5238820165645783</v>
      </c>
      <c r="CB7" s="22">
        <f t="shared" si="10"/>
        <v>9.3960637765936017</v>
      </c>
      <c r="CC7" s="62">
        <f t="shared" si="11"/>
        <v>302.72939710992694</v>
      </c>
      <c r="CD7" s="62">
        <f ca="1">AVERAGE(OFFSET($CC$3,0,0,'Données projet'!$E$12+1,1))-AVERAGE(OFFSET($H$3,0,0,'Données projet'!$E$12+1,1))</f>
        <v>142.72679502162805</v>
      </c>
      <c r="CE7" s="62">
        <f t="shared" si="40"/>
        <v>372.84389296423961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8" s="12">
        <f t="shared" si="32"/>
        <v>1.3149520873221709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35.438928393364129</v>
      </c>
      <c r="H8" s="70">
        <f t="shared" si="1"/>
        <v>301.3292415520861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0.83333333333333337</v>
      </c>
      <c r="N8" s="14">
        <f>IF('Données projet'!$A$36&gt;35,N7+M8-V7,IF(A8&lt;'Données projet'!$A$36,$K$205^A8,IF(A8='Données projet'!$A$36,'Données projet'!$B$36,N7+M8-V7)))</f>
        <v>3.8236224566586507</v>
      </c>
      <c r="O8" s="14">
        <f>N8*VLOOKUP('Données projet'!$B$9,Paramètres!$A$1:$I$89,3,0)*VLOOKUP('Données projet'!$B$9,Paramètres!$A$1:$I$89,5,0)</f>
        <v>1.9445414365583238</v>
      </c>
      <c r="P8" s="14">
        <f t="shared" si="33"/>
        <v>0.82937500836418721</v>
      </c>
      <c r="Q8" s="22">
        <f t="shared" si="2"/>
        <v>4.83123780824004</v>
      </c>
      <c r="R8" s="62">
        <f t="shared" si="0"/>
        <v>298.16457114157333</v>
      </c>
      <c r="S8" s="62">
        <f ca="1">AVERAGE(OFFSET($R$3,0,0,'Données projet'!$E$9+1,1))-AVERAGE(OFFSET($H$3,0,0,'Données projet'!$E$9+1,1))</f>
        <v>133.56954582136541</v>
      </c>
      <c r="T8" s="62">
        <f t="shared" si="34"/>
        <v>412.851273435613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3.5</v>
      </c>
      <c r="AI8" s="14">
        <f>IF('Données projet'!$A$62&gt;35,AI7+AH8-AQ7,IF(A8&lt;'Données projet'!$A$62,$AF$205^A8,IF(A8='Données projet'!$A$62,'Données projet'!$B$62,AI7+AH8-AQ7)))</f>
        <v>12.642978874910185</v>
      </c>
      <c r="AJ8" s="14">
        <f>AI8*VLOOKUP('Données projet'!$B$10,Paramètres!$A$1:$I$89,3,0)*VLOOKUP('Données projet'!$B$10,Paramètres!$A$1:$I$89,5,0)</f>
        <v>6.4297133366243244</v>
      </c>
      <c r="AK8" s="14">
        <f t="shared" si="35"/>
        <v>2.3859985317393466</v>
      </c>
      <c r="AL8" s="22">
        <f t="shared" si="4"/>
        <v>15.354031504066725</v>
      </c>
      <c r="AM8" s="62">
        <f t="shared" si="5"/>
        <v>308.68736483740003</v>
      </c>
      <c r="AN8" s="62">
        <f ca="1">AVERAGE(OFFSET($AM$3,0,0,'Données projet'!$E$10+1,1))-AVERAGE(OFFSET($H$3,0,0,'Données projet'!$E$10+1,1))</f>
        <v>142.72679502162805</v>
      </c>
      <c r="AO8" s="62">
        <f t="shared" si="36"/>
        <v>372.84389296423961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>
        <f>VLOOKUP(A8,'Données projet'!$A$87:$I$107,2,0)</f>
        <v>3</v>
      </c>
      <c r="BB8" s="13">
        <f>VLOOKUP(A8,'Données projet'!$A$87:$I$107,9,0)</f>
        <v>0.6</v>
      </c>
      <c r="BC8" s="13">
        <f t="array" ref="BC8">INDEX(BB:BB,MIN(IF(ISNUMBER(BB8:BB204),ROW(BB8:BB204),"")))</f>
        <v>0.6</v>
      </c>
      <c r="BD8" s="13">
        <f>IF('Données projet'!$A$88&gt;35,BD7+BC8-BL7,IF(A8&lt;'Données projet'!$A$88,$BA$205^A8,IF(A8='Données projet'!$A$88,'Données projet'!$B$88,BD7+BC8-BL7)))</f>
        <v>3</v>
      </c>
      <c r="BE8" s="14">
        <f>BD8*VLOOKUP('Données projet'!$B$11,Paramètres!$A$1:$I$89,3,0)*VLOOKUP('Données projet'!$B$11,Paramètres!$A$1:$I$89,5,0)</f>
        <v>1.5256799999999999</v>
      </c>
      <c r="BF8" s="14">
        <f t="shared" si="37"/>
        <v>0.66936094955179459</v>
      </c>
      <c r="BG8" s="22">
        <f t="shared" si="7"/>
        <v>3.8230296538027093</v>
      </c>
      <c r="BH8" s="62">
        <f t="shared" si="8"/>
        <v>297.15636298713605</v>
      </c>
      <c r="BI8" s="62">
        <f ca="1">AVERAGE(OFFSET($BH$3,0,0,'Données projet'!$E$11+1,1))-AVERAGE(OFFSET($H$3,0,0,'Données projet'!$E$11+1,1))</f>
        <v>169.10494041758477</v>
      </c>
      <c r="BJ8" s="62">
        <f t="shared" si="38"/>
        <v>373.38644103117821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0.28199999999999997</v>
      </c>
      <c r="BN8" s="17">
        <f>IF(ISNA(VLOOKUP(A8,'Données projet'!$A$87:$I$107,6,0)),0%,VLOOKUP(A8,'Données projet'!$A$87:$I$107,6,0)*VLOOKUP('Données projet'!$B$11,Paramètres!$A$1:$I$89,7,0))</f>
        <v>0.126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3.5</v>
      </c>
      <c r="BY8" s="13">
        <f>IF('Données projet'!$A$114&gt;35,BY7+BX8-CG7,IF(A8&lt;'Données projet'!$A$114,$BV$205^A8,IF(A8='Données projet'!$A$114,'Données projet'!$B$114,BY7+BX8-CG7)))</f>
        <v>12.642978874910185</v>
      </c>
      <c r="BZ8" s="14">
        <f>BY8*VLOOKUP('Données projet'!$B$12,Paramètres!$A$1:$I$89,3,0)*VLOOKUP('Données projet'!$B$12,Paramètres!$A$1:$I$89,5,0)</f>
        <v>6.4297133366243244</v>
      </c>
      <c r="CA8" s="14">
        <f t="shared" si="39"/>
        <v>2.3859985317393466</v>
      </c>
      <c r="CB8" s="22">
        <f t="shared" si="10"/>
        <v>15.354031504066725</v>
      </c>
      <c r="CC8" s="62">
        <f t="shared" si="11"/>
        <v>308.68736483740003</v>
      </c>
      <c r="CD8" s="62">
        <f ca="1">AVERAGE(OFFSET($CC$3,0,0,'Données projet'!$E$12+1,1))-AVERAGE(OFFSET($H$3,0,0,'Données projet'!$E$12+1,1))</f>
        <v>142.72679502162805</v>
      </c>
      <c r="CE8" s="62">
        <f t="shared" si="40"/>
        <v>372.84389296423961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3.9311999999999996</v>
      </c>
      <c r="D9" s="12">
        <f t="shared" si="32"/>
        <v>1.5448078861012584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42.270938068150066</v>
      </c>
      <c r="H9" s="70">
        <f t="shared" si="1"/>
        <v>302.87071373495968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>
        <f>VLOOKUP(A9,'Données projet'!$A$35:$I$55,2,0)</f>
        <v>5</v>
      </c>
      <c r="L9" s="13">
        <f>VLOOKUP(A9,'Données projet'!$A$35:$I$55,9,0)</f>
        <v>0.83333333333333337</v>
      </c>
      <c r="M9" s="13">
        <f t="array" ref="M9">INDEX(L:L,MIN(IF(ISNUMBER(L9:L205),ROW(L9:L205),"")))</f>
        <v>0.83333333333333337</v>
      </c>
      <c r="N9" s="14">
        <f>IF('Données projet'!$A$36&gt;35,N8+M9-V8,IF(A9&lt;'Données projet'!$A$36,$K$205^A9,IF(A9='Données projet'!$A$36,'Données projet'!$B$36,N8+M9-V8)))</f>
        <v>5</v>
      </c>
      <c r="O9" s="14">
        <f>N9*VLOOKUP('Données projet'!$B$9,Paramètres!$A$1:$I$89,3,0)*VLOOKUP('Données projet'!$B$9,Paramètres!$A$1:$I$89,5,0)</f>
        <v>2.5428000000000002</v>
      </c>
      <c r="P9" s="14">
        <f t="shared" si="33"/>
        <v>1.0512013918025274</v>
      </c>
      <c r="Q9" s="22">
        <f t="shared" si="2"/>
        <v>6.2595524240560687</v>
      </c>
      <c r="R9" s="62">
        <f t="shared" si="0"/>
        <v>299.59288575738941</v>
      </c>
      <c r="S9" s="62">
        <f ca="1">AVERAGE(OFFSET($R$3,0,0,'Données projet'!$E$9+1,1))-AVERAGE(OFFSET($H$3,0,0,'Données projet'!$E$9+1,1))</f>
        <v>133.56954582136541</v>
      </c>
      <c r="T9" s="62">
        <f t="shared" si="34"/>
        <v>412.851273435613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0.28199999999999997</v>
      </c>
      <c r="X9" s="17">
        <f>IF(ISNA(VLOOKUP(A9,'Données projet'!$A$35:$I$55,6,0)),0%,VLOOKUP(A9,'Données projet'!$A$35:$I$55,6,0)*VLOOKUP('Données projet'!$B$9,Paramètres!$A$1:$I$89,7,0))</f>
        <v>0.126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>
        <f>VLOOKUP(A9,'Données projet'!$A$61:$I$81,2,0)</f>
        <v>21</v>
      </c>
      <c r="AG9" s="13">
        <f>VLOOKUP(A9,'Données projet'!$A$61:$I$81,9,0)</f>
        <v>3.5</v>
      </c>
      <c r="AH9" s="13">
        <f t="array" ref="AH9">INDEX(AG:AG,MIN(IF(ISNUMBER(AG9:AG205),ROW(AG9:AG205),"")))</f>
        <v>3.5</v>
      </c>
      <c r="AI9" s="14">
        <f>IF('Données projet'!$A$62&gt;35,AI8+AH9-AQ8,IF(A9&lt;'Données projet'!$A$62,$AF$205^A9,IF(A9='Données projet'!$A$62,'Données projet'!$B$62,AI8+AH9-AQ8)))</f>
        <v>21</v>
      </c>
      <c r="AJ9" s="14">
        <f>AI9*VLOOKUP('Données projet'!$B$10,Paramètres!$A$1:$I$89,3,0)*VLOOKUP('Données projet'!$B$10,Paramètres!$A$1:$I$89,5,0)</f>
        <v>10.67976</v>
      </c>
      <c r="AK9" s="14">
        <f t="shared" si="35"/>
        <v>3.7358463001594582</v>
      </c>
      <c r="AL9" s="22">
        <f t="shared" si="4"/>
        <v>25.107180972777723</v>
      </c>
      <c r="AM9" s="62">
        <f t="shared" si="5"/>
        <v>318.44051430611103</v>
      </c>
      <c r="AN9" s="62">
        <f ca="1">AVERAGE(OFFSET($AM$3,0,0,'Données projet'!$E$10+1,1))-AVERAGE(OFFSET($H$3,0,0,'Données projet'!$E$10+1,1))</f>
        <v>142.72679502162805</v>
      </c>
      <c r="AO9" s="62">
        <f t="shared" si="36"/>
        <v>372.84389296423961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0.28199999999999997</v>
      </c>
      <c r="AS9" s="17">
        <f>IF(ISNA(VLOOKUP(A9,'Données projet'!$A$61:$I$81,6,0)),0%,VLOOKUP(A9,'Données projet'!$A$61:$I$81,6,0)*VLOOKUP('Données projet'!$B$10,Paramètres!$A$1:$I$89,7,0))</f>
        <v>0.126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>
        <f>VLOOKUP(A9,'Données projet'!$A$87:$I$107,2,0)</f>
        <v>29</v>
      </c>
      <c r="BB9" s="13">
        <f>VLOOKUP(A9,'Données projet'!$A$87:$I$107,9,0)</f>
        <v>26</v>
      </c>
      <c r="BC9" s="13">
        <f t="array" ref="BC9">INDEX(BB:BB,MIN(IF(ISNUMBER(BB9:BB205),ROW(BB9:BB205),"")))</f>
        <v>26</v>
      </c>
      <c r="BD9" s="13">
        <f>IF('Données projet'!$A$88&gt;35,BD8+BC9-BL8,IF(A9&lt;'Données projet'!$A$88,$BA$205^A9,IF(A9='Données projet'!$A$88,'Données projet'!$B$88,BD8+BC9-BL8)))</f>
        <v>29</v>
      </c>
      <c r="BE9" s="14">
        <f>BD9*VLOOKUP('Données projet'!$B$11,Paramètres!$A$1:$I$89,3,0)*VLOOKUP('Données projet'!$B$11,Paramètres!$A$1:$I$89,5,0)</f>
        <v>14.748240000000001</v>
      </c>
      <c r="BF9" s="14">
        <f t="shared" si="37"/>
        <v>4.9687929763413896</v>
      </c>
      <c r="BG9" s="22">
        <f t="shared" si="7"/>
        <v>34.340499100461251</v>
      </c>
      <c r="BH9" s="62">
        <f t="shared" si="8"/>
        <v>327.67383243379459</v>
      </c>
      <c r="BI9" s="62">
        <f ca="1">AVERAGE(OFFSET($BH$3,0,0,'Données projet'!$E$11+1,1))-AVERAGE(OFFSET($H$3,0,0,'Données projet'!$E$11+1,1))</f>
        <v>169.10494041758477</v>
      </c>
      <c r="BJ9" s="62">
        <f t="shared" si="38"/>
        <v>373.38644103117821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0.28199999999999997</v>
      </c>
      <c r="BN9" s="17">
        <f>IF(ISNA(VLOOKUP(A9,'Données projet'!$A$87:$I$107,6,0)),0%,VLOOKUP(A9,'Données projet'!$A$87:$I$107,6,0)*VLOOKUP('Données projet'!$B$11,Paramètres!$A$1:$I$89,7,0))</f>
        <v>0.126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>
        <f>VLOOKUP(A9,'Données projet'!$A$113:$I$133,2,0)</f>
        <v>21</v>
      </c>
      <c r="BW9" s="13">
        <f>VLOOKUP(A9,'Données projet'!$A$113:$I$133,9,0)</f>
        <v>3.5</v>
      </c>
      <c r="BX9" s="13">
        <f t="array" ref="BX9">INDEX(BW:BW,MIN(IF(ISNUMBER(BW9:BW205),ROW(BW9:BW205),"")))</f>
        <v>3.5</v>
      </c>
      <c r="BY9" s="13">
        <f>IF('Données projet'!$A$114&gt;35,BY8+BX9-CG8,IF(A9&lt;'Données projet'!$A$114,$BV$205^A9,IF(A9='Données projet'!$A$114,'Données projet'!$B$114,BY8+BX9-CG8)))</f>
        <v>21</v>
      </c>
      <c r="BZ9" s="14">
        <f>BY9*VLOOKUP('Données projet'!$B$12,Paramètres!$A$1:$I$89,3,0)*VLOOKUP('Données projet'!$B$12,Paramètres!$A$1:$I$89,5,0)</f>
        <v>10.67976</v>
      </c>
      <c r="CA9" s="14">
        <f t="shared" si="39"/>
        <v>3.7358463001594582</v>
      </c>
      <c r="CB9" s="22">
        <f t="shared" si="10"/>
        <v>25.107180972777723</v>
      </c>
      <c r="CC9" s="62">
        <f t="shared" si="11"/>
        <v>318.44051430611103</v>
      </c>
      <c r="CD9" s="62">
        <f ca="1">AVERAGE(OFFSET($CC$3,0,0,'Données projet'!$E$12+1,1))-AVERAGE(OFFSET($H$3,0,0,'Données projet'!$E$12+1,1))</f>
        <v>142.72679502162805</v>
      </c>
      <c r="CE9" s="62">
        <f t="shared" si="40"/>
        <v>372.84389296423961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0.28199999999999997</v>
      </c>
      <c r="CI9" s="17">
        <f>IF(ISNA(VLOOKUP(A9,'Données projet'!$A$113:$I$133,6,0)),0%,VLOOKUP(A9,'Données projet'!$A$113:$I$133,6,0)*VLOOKUP('Données projet'!$B$12,Paramètres!$A$1:$I$89,7,0))</f>
        <v>0.126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4.5863999999999994</v>
      </c>
      <c r="D10" s="12">
        <f t="shared" si="32"/>
        <v>1.7702257799561372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49.06869023124036</v>
      </c>
      <c r="H10" s="70">
        <f t="shared" si="1"/>
        <v>304.40445656675689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>
        <f>VLOOKUP(A10,'Données projet'!$A$35:$I$55,2,0)</f>
        <v>29</v>
      </c>
      <c r="L10" s="13">
        <f>VLOOKUP(A10,'Données projet'!$A$35:$I$55,9,0)</f>
        <v>24</v>
      </c>
      <c r="M10" s="13">
        <f t="array" ref="M10">INDEX(L:L,MIN(IF(ISNUMBER(L10:L206),ROW(L10:L206),"")))</f>
        <v>24</v>
      </c>
      <c r="N10" s="14">
        <f>IF('Données projet'!$A$36&gt;35,N9+M10-V9,IF(A10&lt;'Données projet'!$A$36,$K$205^A10,IF(A10='Données projet'!$A$36,'Données projet'!$B$36,N9+M10-V9)))</f>
        <v>29</v>
      </c>
      <c r="O10" s="14">
        <f>N10*VLOOKUP('Données projet'!$B$9,Paramètres!$A$1:$I$89,3,0)*VLOOKUP('Données projet'!$B$9,Paramètres!$A$1:$I$89,5,0)</f>
        <v>14.748240000000001</v>
      </c>
      <c r="P10" s="14">
        <f t="shared" si="33"/>
        <v>4.9687929763413896</v>
      </c>
      <c r="Q10" s="22">
        <f t="shared" si="2"/>
        <v>34.340499100461251</v>
      </c>
      <c r="R10" s="62">
        <f t="shared" si="0"/>
        <v>327.67383243379459</v>
      </c>
      <c r="S10" s="62">
        <f ca="1">AVERAGE(OFFSET($R$3,0,0,'Données projet'!$E$9+1,1))-AVERAGE(OFFSET($H$3,0,0,'Données projet'!$E$9+1,1))</f>
        <v>133.56954582136541</v>
      </c>
      <c r="T10" s="62">
        <f t="shared" si="34"/>
        <v>412.851273435613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0.28199999999999997</v>
      </c>
      <c r="X10" s="17">
        <f>IF(ISNA(VLOOKUP(A10,'Données projet'!$A$35:$I$55,6,0)),0%,VLOOKUP(A10,'Données projet'!$A$35:$I$55,6,0)*VLOOKUP('Données projet'!$B$9,Paramètres!$A$1:$I$89,7,0))</f>
        <v>0.126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>
        <f>VLOOKUP(A10,'Données projet'!$A$61:$I$81,2,0)</f>
        <v>55</v>
      </c>
      <c r="AG10" s="13">
        <f>VLOOKUP(A10,'Données projet'!$A$61:$I$81,9,0)</f>
        <v>34</v>
      </c>
      <c r="AH10" s="13">
        <f t="array" ref="AH10">INDEX(AG:AG,MIN(IF(ISNUMBER(AG10:AG206),ROW(AG10:AG206),"")))</f>
        <v>34</v>
      </c>
      <c r="AI10" s="14">
        <f>IF('Données projet'!$A$62&gt;35,AI9+AH10-AQ9,IF(A10&lt;'Données projet'!$A$62,$AF$205^A10,IF(A10='Données projet'!$A$62,'Données projet'!$B$62,AI9+AH10-AQ9)))</f>
        <v>55</v>
      </c>
      <c r="AJ10" s="14">
        <f>AI10*VLOOKUP('Données projet'!$B$10,Paramètres!$A$1:$I$89,3,0)*VLOOKUP('Données projet'!$B$10,Paramètres!$A$1:$I$89,5,0)</f>
        <v>27.970800000000001</v>
      </c>
      <c r="AK10" s="14">
        <f t="shared" si="35"/>
        <v>8.7470277399938787</v>
      </c>
      <c r="AL10" s="22">
        <f t="shared" si="4"/>
        <v>63.950216647155997</v>
      </c>
      <c r="AM10" s="62">
        <f t="shared" si="5"/>
        <v>357.28354998048928</v>
      </c>
      <c r="AN10" s="62">
        <f ca="1">AVERAGE(OFFSET($AM$3,0,0,'Données projet'!$E$10+1,1))-AVERAGE(OFFSET($H$3,0,0,'Données projet'!$E$10+1,1))</f>
        <v>142.72679502162805</v>
      </c>
      <c r="AO10" s="62">
        <f t="shared" si="36"/>
        <v>372.84389296423961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0.28199999999999997</v>
      </c>
      <c r="AS10" s="17">
        <f>IF(ISNA(VLOOKUP(A10,'Données projet'!$A$61:$I$81,6,0)),0%,VLOOKUP(A10,'Données projet'!$A$61:$I$81,6,0)*VLOOKUP('Données projet'!$B$10,Paramètres!$A$1:$I$89,7,0))</f>
        <v>0.126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>
        <f>VLOOKUP(A10,'Données projet'!$A$87:$I$107,2,0)</f>
        <v>57</v>
      </c>
      <c r="BB10" s="13">
        <f>VLOOKUP(A10,'Données projet'!$A$87:$I$107,9,0)</f>
        <v>28</v>
      </c>
      <c r="BC10" s="13">
        <f t="array" ref="BC10">INDEX(BB:BB,MIN(IF(ISNUMBER(BB10:BB206),ROW(BB10:BB206),"")))</f>
        <v>28</v>
      </c>
      <c r="BD10" s="13">
        <f>IF('Données projet'!$A$88&gt;35,BD9+BC10-BL9,IF(A10&lt;'Données projet'!$A$88,$BA$205^A10,IF(A10='Données projet'!$A$88,'Données projet'!$B$88,BD9+BC10-BL9)))</f>
        <v>57</v>
      </c>
      <c r="BE10" s="14">
        <f>BD10*VLOOKUP('Données projet'!$B$11,Paramètres!$A$1:$I$89,3,0)*VLOOKUP('Données projet'!$B$11,Paramètres!$A$1:$I$89,5,0)</f>
        <v>28.987920000000003</v>
      </c>
      <c r="BF10" s="14">
        <f t="shared" si="37"/>
        <v>9.0274907867436021</v>
      </c>
      <c r="BG10" s="22">
        <f t="shared" si="7"/>
        <v>66.210173786911767</v>
      </c>
      <c r="BH10" s="62">
        <f t="shared" si="8"/>
        <v>359.54350712024507</v>
      </c>
      <c r="BI10" s="62">
        <f ca="1">AVERAGE(OFFSET($BH$3,0,0,'Données projet'!$E$11+1,1))-AVERAGE(OFFSET($H$3,0,0,'Données projet'!$E$11+1,1))</f>
        <v>169.10494041758477</v>
      </c>
      <c r="BJ10" s="62">
        <f t="shared" si="38"/>
        <v>373.38644103117821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0.28199999999999997</v>
      </c>
      <c r="BN10" s="17">
        <f>IF(ISNA(VLOOKUP(A10,'Données projet'!$A$87:$I$107,6,0)),0%,VLOOKUP(A10,'Données projet'!$A$87:$I$107,6,0)*VLOOKUP('Données projet'!$B$11,Paramètres!$A$1:$I$89,7,0))</f>
        <v>0.126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>
        <f>VLOOKUP(A10,'Données projet'!$A$113:$I$133,2,0)</f>
        <v>55</v>
      </c>
      <c r="BW10" s="13">
        <f>VLOOKUP(A10,'Données projet'!$A$113:$I$133,9,0)</f>
        <v>34</v>
      </c>
      <c r="BX10" s="13">
        <f t="array" ref="BX10">INDEX(BW:BW,MIN(IF(ISNUMBER(BW10:BW206),ROW(BW10:BW206),"")))</f>
        <v>34</v>
      </c>
      <c r="BY10" s="13">
        <f>IF('Données projet'!$A$114&gt;35,BY9+BX10-CG9,IF(A10&lt;'Données projet'!$A$114,$BV$205^A10,IF(A10='Données projet'!$A$114,'Données projet'!$B$114,BY9+BX10-CG9)))</f>
        <v>55</v>
      </c>
      <c r="BZ10" s="14">
        <f>BY10*VLOOKUP('Données projet'!$B$12,Paramètres!$A$1:$I$89,3,0)*VLOOKUP('Données projet'!$B$12,Paramètres!$A$1:$I$89,5,0)</f>
        <v>27.970800000000001</v>
      </c>
      <c r="CA10" s="14">
        <f t="shared" si="39"/>
        <v>8.7470277399938787</v>
      </c>
      <c r="CB10" s="22">
        <f t="shared" si="10"/>
        <v>63.950216647155997</v>
      </c>
      <c r="CC10" s="62">
        <f t="shared" si="11"/>
        <v>357.28354998048928</v>
      </c>
      <c r="CD10" s="62">
        <f ca="1">AVERAGE(OFFSET($CC$3,0,0,'Données projet'!$E$12+1,1))-AVERAGE(OFFSET($H$3,0,0,'Données projet'!$E$12+1,1))</f>
        <v>142.72679502162805</v>
      </c>
      <c r="CE10" s="62">
        <f t="shared" si="40"/>
        <v>372.84389296423961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0.28199999999999997</v>
      </c>
      <c r="CI10" s="17">
        <f>IF(ISNA(VLOOKUP(A10,'Données projet'!$A$113:$I$133,6,0)),0%,VLOOKUP(A10,'Données projet'!$A$113:$I$133,6,0)*VLOOKUP('Données projet'!$B$12,Paramètres!$A$1:$I$89,7,0))</f>
        <v>0.126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5.2415999999999991</v>
      </c>
      <c r="D11" s="12">
        <f t="shared" si="32"/>
        <v>1.991912905904381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55.837643484174158</v>
      </c>
      <c r="H11" s="70">
        <f t="shared" si="1"/>
        <v>305.93170164445013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>
        <f>VLOOKUP(A11,'Données projet'!$A$35:$I$55,2,0)</f>
        <v>60</v>
      </c>
      <c r="L11" s="13">
        <f>VLOOKUP(A11,'Données projet'!$A$35:$I$55,9,0)</f>
        <v>31</v>
      </c>
      <c r="M11" s="13">
        <f t="array" ref="M11">INDEX(L:L,MIN(IF(ISNUMBER(L11:L207),ROW(L11:L207),"")))</f>
        <v>31</v>
      </c>
      <c r="N11" s="14">
        <f>IF('Données projet'!$A$36&gt;35,N10+M11-V10,IF(A11&lt;'Données projet'!$A$36,$K$205^A11,IF(A11='Données projet'!$A$36,'Données projet'!$B$36,N10+M11-V10)))</f>
        <v>60</v>
      </c>
      <c r="O11" s="14">
        <f>N11*VLOOKUP('Données projet'!$B$9,Paramètres!$A$1:$I$89,3,0)*VLOOKUP('Données projet'!$B$9,Paramètres!$A$1:$I$89,5,0)</f>
        <v>30.513600000000004</v>
      </c>
      <c r="P11" s="14">
        <f t="shared" si="33"/>
        <v>9.4460551368326602</v>
      </c>
      <c r="Q11" s="22">
        <f t="shared" si="2"/>
        <v>69.596399363316891</v>
      </c>
      <c r="R11" s="62">
        <f t="shared" si="0"/>
        <v>362.92973269665021</v>
      </c>
      <c r="S11" s="62">
        <f ca="1">AVERAGE(OFFSET($R$3,0,0,'Données projet'!$E$9+1,1))-AVERAGE(OFFSET($H$3,0,0,'Données projet'!$E$9+1,1))</f>
        <v>133.56954582136541</v>
      </c>
      <c r="T11" s="62">
        <f t="shared" si="34"/>
        <v>412.851273435613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0.28199999999999997</v>
      </c>
      <c r="X11" s="17">
        <f>IF(ISNA(VLOOKUP(A11,'Données projet'!$A$35:$I$55,6,0)),0%,VLOOKUP(A11,'Données projet'!$A$35:$I$55,6,0)*VLOOKUP('Données projet'!$B$9,Paramètres!$A$1:$I$89,7,0))</f>
        <v>0.126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>
        <f>VLOOKUP(A11,'Données projet'!$A$61:$I$81,2,0)</f>
        <v>91</v>
      </c>
      <c r="AG11" s="13">
        <f>VLOOKUP(A11,'Données projet'!$A$61:$I$81,9,0)</f>
        <v>36</v>
      </c>
      <c r="AH11" s="13">
        <f t="array" ref="AH11">INDEX(AG:AG,MIN(IF(ISNUMBER(AG11:AG207),ROW(AG11:AG207),"")))</f>
        <v>36</v>
      </c>
      <c r="AI11" s="14">
        <f>IF('Données projet'!$A$62&gt;35,AI10+AH11-AQ10,IF(A11&lt;'Données projet'!$A$62,$AF$205^A11,IF(A11='Données projet'!$A$62,'Données projet'!$B$62,AI10+AH11-AQ10)))</f>
        <v>91</v>
      </c>
      <c r="AJ11" s="14">
        <f>AI11*VLOOKUP('Données projet'!$B$10,Paramètres!$A$1:$I$89,3,0)*VLOOKUP('Données projet'!$B$10,Paramètres!$A$1:$I$89,5,0)</f>
        <v>46.278960000000005</v>
      </c>
      <c r="AK11" s="14">
        <f t="shared" si="35"/>
        <v>13.648502563313981</v>
      </c>
      <c r="AL11" s="22">
        <f t="shared" si="4"/>
        <v>104.37366396443853</v>
      </c>
      <c r="AM11" s="62">
        <f t="shared" si="5"/>
        <v>397.70699729777186</v>
      </c>
      <c r="AN11" s="62">
        <f ca="1">AVERAGE(OFFSET($AM$3,0,0,'Données projet'!$E$10+1,1))-AVERAGE(OFFSET($H$3,0,0,'Données projet'!$E$10+1,1))</f>
        <v>142.72679502162805</v>
      </c>
      <c r="AO11" s="62">
        <f t="shared" si="36"/>
        <v>372.84389296423961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0.28199999999999997</v>
      </c>
      <c r="AS11" s="17">
        <f>IF(ISNA(VLOOKUP(A11,'Données projet'!$A$61:$I$81,6,0)),0%,VLOOKUP(A11,'Données projet'!$A$61:$I$81,6,0)*VLOOKUP('Données projet'!$B$10,Paramètres!$A$1:$I$89,7,0))</f>
        <v>0.126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>
        <f>VLOOKUP(A11,'Données projet'!$A$87:$I$107,2,0)</f>
        <v>89</v>
      </c>
      <c r="BB11" s="13">
        <f>VLOOKUP(A11,'Données projet'!$A$87:$I$107,9,0)</f>
        <v>32</v>
      </c>
      <c r="BC11" s="13">
        <f t="array" ref="BC11">INDEX(BB:BB,MIN(IF(ISNUMBER(BB11:BB207),ROW(BB11:BB207),"")))</f>
        <v>32</v>
      </c>
      <c r="BD11" s="13">
        <f>IF('Données projet'!$A$88&gt;35,BD10+BC11-BL10,IF(A11&lt;'Données projet'!$A$88,$BA$205^A11,IF(A11='Données projet'!$A$88,'Données projet'!$B$88,BD10+BC11-BL10)))</f>
        <v>89</v>
      </c>
      <c r="BE11" s="14">
        <f>BD11*VLOOKUP('Données projet'!$B$11,Paramètres!$A$1:$I$89,3,0)*VLOOKUP('Données projet'!$B$11,Paramètres!$A$1:$I$89,5,0)</f>
        <v>45.261839999999999</v>
      </c>
      <c r="BF11" s="14">
        <f t="shared" si="37"/>
        <v>13.383109805485613</v>
      </c>
      <c r="BG11" s="22">
        <f t="shared" si="7"/>
        <v>102.13995424455409</v>
      </c>
      <c r="BH11" s="62">
        <f t="shared" si="8"/>
        <v>395.47328757788739</v>
      </c>
      <c r="BI11" s="62">
        <f ca="1">AVERAGE(OFFSET($BH$3,0,0,'Données projet'!$E$11+1,1))-AVERAGE(OFFSET($H$3,0,0,'Données projet'!$E$11+1,1))</f>
        <v>169.10494041758477</v>
      </c>
      <c r="BJ11" s="62">
        <f t="shared" si="38"/>
        <v>373.38644103117821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0.28199999999999997</v>
      </c>
      <c r="BN11" s="17">
        <f>IF(ISNA(VLOOKUP(A11,'Données projet'!$A$87:$I$107,6,0)),0%,VLOOKUP(A11,'Données projet'!$A$87:$I$107,6,0)*VLOOKUP('Données projet'!$B$11,Paramètres!$A$1:$I$89,7,0))</f>
        <v>0.126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>
        <f>VLOOKUP(A11,'Données projet'!$A$113:$I$133,2,0)</f>
        <v>91</v>
      </c>
      <c r="BW11" s="13">
        <f>VLOOKUP(A11,'Données projet'!$A$113:$I$133,9,0)</f>
        <v>36</v>
      </c>
      <c r="BX11" s="13">
        <f t="array" ref="BX11">INDEX(BW:BW,MIN(IF(ISNUMBER(BW11:BW207),ROW(BW11:BW207),"")))</f>
        <v>36</v>
      </c>
      <c r="BY11" s="13">
        <f>IF('Données projet'!$A$114&gt;35,BY10+BX11-CG10,IF(A11&lt;'Données projet'!$A$114,$BV$205^A11,IF(A11='Données projet'!$A$114,'Données projet'!$B$114,BY10+BX11-CG10)))</f>
        <v>91</v>
      </c>
      <c r="BZ11" s="14">
        <f>BY11*VLOOKUP('Données projet'!$B$12,Paramètres!$A$1:$I$89,3,0)*VLOOKUP('Données projet'!$B$12,Paramètres!$A$1:$I$89,5,0)</f>
        <v>46.278960000000005</v>
      </c>
      <c r="CA11" s="14">
        <f t="shared" si="39"/>
        <v>13.648502563313981</v>
      </c>
      <c r="CB11" s="22">
        <f t="shared" si="10"/>
        <v>104.37366396443853</v>
      </c>
      <c r="CC11" s="62">
        <f t="shared" si="11"/>
        <v>397.70699729777186</v>
      </c>
      <c r="CD11" s="62">
        <f ca="1">AVERAGE(OFFSET($CC$3,0,0,'Données projet'!$E$12+1,1))-AVERAGE(OFFSET($H$3,0,0,'Données projet'!$E$12+1,1))</f>
        <v>142.72679502162805</v>
      </c>
      <c r="CE11" s="62">
        <f t="shared" si="40"/>
        <v>372.84389296423961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0.28199999999999997</v>
      </c>
      <c r="CI11" s="17">
        <f>IF(ISNA(VLOOKUP(A11,'Données projet'!$A$113:$I$133,6,0)),0%,VLOOKUP(A11,'Données projet'!$A$113:$I$133,6,0)*VLOOKUP('Données projet'!$B$12,Paramètres!$A$1:$I$89,7,0))</f>
        <v>0.126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5.8967999999999989</v>
      </c>
      <c r="D12" s="12">
        <f t="shared" si="32"/>
        <v>2.210389018649412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62.581809968521775</v>
      </c>
      <c r="H12" s="70">
        <f t="shared" si="1"/>
        <v>307.45335420748103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>
        <f>VLOOKUP(A12,'Données projet'!$A$35:$I$55,2,0)</f>
        <v>97</v>
      </c>
      <c r="L12" s="13">
        <f>VLOOKUP(A12,'Données projet'!$A$35:$I$55,9,0)</f>
        <v>37</v>
      </c>
      <c r="M12" s="13">
        <f t="array" ref="M12">INDEX(L:L,MIN(IF(ISNUMBER(L12:L208),ROW(L12:L208),"")))</f>
        <v>37</v>
      </c>
      <c r="N12" s="14">
        <f>IF('Données projet'!$A$36&gt;35,N11+M12-V11,IF(A12&lt;'Données projet'!$A$36,$K$205^A12,IF(A12='Données projet'!$A$36,'Données projet'!$B$36,N11+M12-V11)))</f>
        <v>97</v>
      </c>
      <c r="O12" s="14">
        <f>N12*VLOOKUP('Données projet'!$B$9,Paramètres!$A$1:$I$89,3,0)*VLOOKUP('Données projet'!$B$9,Paramètres!$A$1:$I$89,5,0)</f>
        <v>49.33032</v>
      </c>
      <c r="P12" s="14">
        <f t="shared" si="33"/>
        <v>14.440676392293337</v>
      </c>
      <c r="Q12" s="22">
        <f t="shared" si="2"/>
        <v>111.06781871657756</v>
      </c>
      <c r="R12" s="62">
        <f t="shared" si="0"/>
        <v>404.40115204991088</v>
      </c>
      <c r="S12" s="62">
        <f ca="1">AVERAGE(OFFSET($R$3,0,0,'Données projet'!$E$9+1,1))-AVERAGE(OFFSET($H$3,0,0,'Données projet'!$E$9+1,1))</f>
        <v>133.56954582136541</v>
      </c>
      <c r="T12" s="62">
        <f t="shared" si="34"/>
        <v>412.851273435613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0.28199999999999997</v>
      </c>
      <c r="X12" s="17">
        <f>IF(ISNA(VLOOKUP(A12,'Données projet'!$A$35:$I$55,6,0)),0%,VLOOKUP(A12,'Données projet'!$A$35:$I$55,6,0)*VLOOKUP('Données projet'!$B$9,Paramètres!$A$1:$I$89,7,0))</f>
        <v>0.126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>
        <f>VLOOKUP(A12,'Données projet'!$A$61:$I$81,2,0)</f>
        <v>128</v>
      </c>
      <c r="AG12" s="13">
        <f>VLOOKUP(A12,'Données projet'!$A$61:$I$81,9,0)</f>
        <v>37</v>
      </c>
      <c r="AH12" s="13">
        <f t="array" ref="AH12">INDEX(AG:AG,MIN(IF(ISNUMBER(AG12:AG208),ROW(AG12:AG208),"")))</f>
        <v>37</v>
      </c>
      <c r="AI12" s="14">
        <f>IF('Données projet'!$A$62&gt;35,AI11+AH12-AQ11,IF(A12&lt;'Données projet'!$A$62,$AF$205^A12,IF(A12='Données projet'!$A$62,'Données projet'!$B$62,AI11+AH12-AQ11)))</f>
        <v>128</v>
      </c>
      <c r="AJ12" s="14">
        <f>AI12*VLOOKUP('Données projet'!$B$10,Paramètres!$A$1:$I$89,3,0)*VLOOKUP('Données projet'!$B$10,Paramètres!$A$1:$I$89,5,0)</f>
        <v>65.095680000000002</v>
      </c>
      <c r="AK12" s="14">
        <f t="shared" si="35"/>
        <v>18.450441403937198</v>
      </c>
      <c r="AL12" s="22">
        <f t="shared" si="4"/>
        <v>145.50949477852396</v>
      </c>
      <c r="AM12" s="62">
        <f t="shared" si="5"/>
        <v>438.84282811185727</v>
      </c>
      <c r="AN12" s="62">
        <f ca="1">AVERAGE(OFFSET($AM$3,0,0,'Données projet'!$E$10+1,1))-AVERAGE(OFFSET($H$3,0,0,'Données projet'!$E$10+1,1))</f>
        <v>142.72679502162805</v>
      </c>
      <c r="AO12" s="62">
        <f t="shared" si="36"/>
        <v>372.84389296423961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0.28199999999999997</v>
      </c>
      <c r="AS12" s="17">
        <f>IF(ISNA(VLOOKUP(A12,'Données projet'!$A$61:$I$81,6,0)),0%,VLOOKUP(A12,'Données projet'!$A$61:$I$81,6,0)*VLOOKUP('Données projet'!$B$10,Paramètres!$A$1:$I$89,7,0))</f>
        <v>0.126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>
        <f>VLOOKUP(A12,'Données projet'!$A$87:$I$107,2,0)</f>
        <v>120</v>
      </c>
      <c r="BB12" s="13">
        <f>VLOOKUP(A12,'Données projet'!$A$87:$I$107,9,0)</f>
        <v>31</v>
      </c>
      <c r="BC12" s="13">
        <f t="array" ref="BC12">INDEX(BB:BB,MIN(IF(ISNUMBER(BB12:BB208),ROW(BB12:BB208),"")))</f>
        <v>31</v>
      </c>
      <c r="BD12" s="13">
        <f>IF('Données projet'!$A$88&gt;35,BD11+BC12-BL11,IF(A12&lt;'Données projet'!$A$88,$BA$205^A12,IF(A12='Données projet'!$A$88,'Données projet'!$B$88,BD11+BC12-BL11)))</f>
        <v>120</v>
      </c>
      <c r="BE12" s="14">
        <f>BD12*VLOOKUP('Données projet'!$B$11,Paramètres!$A$1:$I$89,3,0)*VLOOKUP('Données projet'!$B$11,Paramètres!$A$1:$I$89,5,0)</f>
        <v>61.027200000000008</v>
      </c>
      <c r="BF12" s="14">
        <f t="shared" si="37"/>
        <v>17.427720265428167</v>
      </c>
      <c r="BG12" s="22">
        <f t="shared" si="7"/>
        <v>136.64231946228742</v>
      </c>
      <c r="BH12" s="62">
        <f t="shared" si="8"/>
        <v>429.9756527956207</v>
      </c>
      <c r="BI12" s="62">
        <f ca="1">AVERAGE(OFFSET($BH$3,0,0,'Données projet'!$E$11+1,1))-AVERAGE(OFFSET($H$3,0,0,'Données projet'!$E$11+1,1))</f>
        <v>169.10494041758477</v>
      </c>
      <c r="BJ12" s="62">
        <f t="shared" si="38"/>
        <v>373.38644103117821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0.28199999999999997</v>
      </c>
      <c r="BN12" s="17">
        <f>IF(ISNA(VLOOKUP(A12,'Données projet'!$A$87:$I$107,6,0)),0%,VLOOKUP(A12,'Données projet'!$A$87:$I$107,6,0)*VLOOKUP('Données projet'!$B$11,Paramètres!$A$1:$I$89,7,0))</f>
        <v>0.126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>
        <f>VLOOKUP(A12,'Données projet'!$A$113:$I$133,2,0)</f>
        <v>128</v>
      </c>
      <c r="BW12" s="13">
        <f>VLOOKUP(A12,'Données projet'!$A$113:$I$133,9,0)</f>
        <v>37</v>
      </c>
      <c r="BX12" s="13">
        <f t="array" ref="BX12">INDEX(BW:BW,MIN(IF(ISNUMBER(BW12:BW208),ROW(BW12:BW208),"")))</f>
        <v>37</v>
      </c>
      <c r="BY12" s="13">
        <f>IF('Données projet'!$A$114&gt;35,BY11+BX12-CG11,IF(A12&lt;'Données projet'!$A$114,$BV$205^A12,IF(A12='Données projet'!$A$114,'Données projet'!$B$114,BY11+BX12-CG11)))</f>
        <v>128</v>
      </c>
      <c r="BZ12" s="14">
        <f>BY12*VLOOKUP('Données projet'!$B$12,Paramètres!$A$1:$I$89,3,0)*VLOOKUP('Données projet'!$B$12,Paramètres!$A$1:$I$89,5,0)</f>
        <v>65.095680000000002</v>
      </c>
      <c r="CA12" s="14">
        <f t="shared" si="39"/>
        <v>18.450441403937198</v>
      </c>
      <c r="CB12" s="22">
        <f t="shared" si="10"/>
        <v>145.50949477852396</v>
      </c>
      <c r="CC12" s="62">
        <f t="shared" si="11"/>
        <v>438.84282811185727</v>
      </c>
      <c r="CD12" s="62">
        <f ca="1">AVERAGE(OFFSET($CC$3,0,0,'Données projet'!$E$12+1,1))-AVERAGE(OFFSET($H$3,0,0,'Données projet'!$E$12+1,1))</f>
        <v>142.72679502162805</v>
      </c>
      <c r="CE12" s="62">
        <f t="shared" si="40"/>
        <v>372.84389296423961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0.28199999999999997</v>
      </c>
      <c r="CI12" s="17">
        <f>IF(ISNA(VLOOKUP(A12,'Données projet'!$A$113:$I$133,6,0)),0%,VLOOKUP(A12,'Données projet'!$A$113:$I$133,6,0)*VLOOKUP('Données projet'!$B$12,Paramètres!$A$1:$I$89,7,0))</f>
        <v>0.126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6.5519999999999987</v>
      </c>
      <c r="D13" s="12">
        <f t="shared" si="32"/>
        <v>2.4260515959655726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69.304257933769307</v>
      </c>
      <c r="H13" s="70">
        <f t="shared" si="1"/>
        <v>308.97010652964002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133</v>
      </c>
      <c r="L13" s="13">
        <f>VLOOKUP(A13,'Données projet'!$A$35:$I$55,9,0)</f>
        <v>36</v>
      </c>
      <c r="M13" s="13">
        <f t="array" ref="M13">INDEX(L:L,MIN(IF(ISNUMBER(L13:L209),ROW(L13:L209),"")))</f>
        <v>36</v>
      </c>
      <c r="N13" s="14">
        <f>IF('Données projet'!$A$36&gt;35,N12+M13-V12,IF(A13&lt;'Données projet'!$A$36,$K$205^A13,IF(A13='Données projet'!$A$36,'Données projet'!$B$36,N12+M13-V12)))</f>
        <v>133</v>
      </c>
      <c r="O13" s="14">
        <f>N13*VLOOKUP('Données projet'!$B$9,Paramètres!$A$1:$I$89,3,0)*VLOOKUP('Données projet'!$B$9,Paramètres!$A$1:$I$89,5,0)</f>
        <v>67.638480000000015</v>
      </c>
      <c r="P13" s="14">
        <f t="shared" si="33"/>
        <v>19.085842751767505</v>
      </c>
      <c r="Q13" s="22">
        <f t="shared" si="2"/>
        <v>151.04486212599508</v>
      </c>
      <c r="R13" s="62">
        <f t="shared" si="0"/>
        <v>444.37819545932837</v>
      </c>
      <c r="S13" s="62">
        <f ca="1">AVERAGE(OFFSET($R$3,0,0,'Données projet'!$E$9+1,1))-AVERAGE(OFFSET($H$3,0,0,'Données projet'!$E$9+1,1))</f>
        <v>133.56954582136541</v>
      </c>
      <c r="T13" s="62">
        <f t="shared" si="34"/>
        <v>412.851273435613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0.28199999999999997</v>
      </c>
      <c r="X13" s="17">
        <f>IF(ISNA(VLOOKUP(A13,'Données projet'!$A$35:$I$55,6,0)),0%,VLOOKUP(A13,'Données projet'!$A$35:$I$55,6,0)*VLOOKUP('Données projet'!$B$9,Paramètres!$A$1:$I$89,7,0))</f>
        <v>0.126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167</v>
      </c>
      <c r="AG13" s="13">
        <f>VLOOKUP(A13,'Données projet'!$A$61:$I$81,9,0)</f>
        <v>39</v>
      </c>
      <c r="AH13" s="13">
        <f t="array" ref="AH13">INDEX(AG:AG,MIN(IF(ISNUMBER(AG13:AG209),ROW(AG13:AG209),"")))</f>
        <v>39</v>
      </c>
      <c r="AI13" s="14">
        <f>IF('Données projet'!$A$62&gt;35,AI12+AH13-AQ12,IF(A13&lt;'Données projet'!$A$62,$AF$205^A13,IF(A13='Données projet'!$A$62,'Données projet'!$B$62,AI12+AH13-AQ12)))</f>
        <v>167</v>
      </c>
      <c r="AJ13" s="14">
        <f>AI13*VLOOKUP('Données projet'!$B$10,Paramètres!$A$1:$I$89,3,0)*VLOOKUP('Données projet'!$B$10,Paramètres!$A$1:$I$89,5,0)</f>
        <v>84.929519999999997</v>
      </c>
      <c r="AK13" s="14">
        <f t="shared" si="35"/>
        <v>23.338250945554787</v>
      </c>
      <c r="AL13" s="22">
        <f t="shared" si="4"/>
        <v>188.56636773017456</v>
      </c>
      <c r="AM13" s="62">
        <f t="shared" si="5"/>
        <v>481.89970106350791</v>
      </c>
      <c r="AN13" s="62">
        <f ca="1">AVERAGE(OFFSET($AM$3,0,0,'Données projet'!$E$10+1,1))-AVERAGE(OFFSET($H$3,0,0,'Données projet'!$E$10+1,1))</f>
        <v>142.72679502162805</v>
      </c>
      <c r="AO13" s="62">
        <f t="shared" si="36"/>
        <v>372.84389296423961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0.28199999999999997</v>
      </c>
      <c r="AS13" s="17">
        <f>IF(ISNA(VLOOKUP(A13,'Données projet'!$A$61:$I$81,6,0)),0%,VLOOKUP(A13,'Données projet'!$A$61:$I$81,6,0)*VLOOKUP('Données projet'!$B$10,Paramètres!$A$1:$I$89,7,0))</f>
        <v>0.126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>
        <f>VLOOKUP(A13,'Données projet'!$A$87:$I$107,2,0)</f>
        <v>151</v>
      </c>
      <c r="BB13" s="13">
        <f>VLOOKUP(A13,'Données projet'!$A$87:$I$107,9,0)</f>
        <v>31</v>
      </c>
      <c r="BC13" s="13">
        <f t="array" ref="BC13">INDEX(BB:BB,MIN(IF(ISNUMBER(BB13:BB209),ROW(BB13:BB209),"")))</f>
        <v>31</v>
      </c>
      <c r="BD13" s="13">
        <f>IF('Données projet'!$A$88&gt;35,BD12+BC13-BL12,IF(A13&lt;'Données projet'!$A$88,$BA$205^A13,IF(A13='Données projet'!$A$88,'Données projet'!$B$88,BD12+BC13-BL12)))</f>
        <v>151</v>
      </c>
      <c r="BE13" s="14">
        <f>BD13*VLOOKUP('Données projet'!$B$11,Paramètres!$A$1:$I$89,3,0)*VLOOKUP('Données projet'!$B$11,Paramètres!$A$1:$I$89,5,0)</f>
        <v>76.792559999999995</v>
      </c>
      <c r="BF13" s="14">
        <f t="shared" si="37"/>
        <v>21.351090531806321</v>
      </c>
      <c r="BG13" s="22">
        <f t="shared" si="7"/>
        <v>170.93352467622933</v>
      </c>
      <c r="BH13" s="62">
        <f t="shared" si="8"/>
        <v>464.26685800956261</v>
      </c>
      <c r="BI13" s="62">
        <f ca="1">AVERAGE(OFFSET($BH$3,0,0,'Données projet'!$E$11+1,1))-AVERAGE(OFFSET($H$3,0,0,'Données projet'!$E$11+1,1))</f>
        <v>169.10494041758477</v>
      </c>
      <c r="BJ13" s="62">
        <f t="shared" si="38"/>
        <v>373.38644103117821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0.28199999999999997</v>
      </c>
      <c r="BN13" s="17">
        <f>IF(ISNA(VLOOKUP(A13,'Données projet'!$A$87:$I$107,6,0)),0%,VLOOKUP(A13,'Données projet'!$A$87:$I$107,6,0)*VLOOKUP('Données projet'!$B$11,Paramètres!$A$1:$I$89,7,0))</f>
        <v>0.126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167</v>
      </c>
      <c r="BW13" s="13">
        <f>VLOOKUP(A13,'Données projet'!$A$113:$I$133,9,0)</f>
        <v>39</v>
      </c>
      <c r="BX13" s="13">
        <f t="array" ref="BX13">INDEX(BW:BW,MIN(IF(ISNUMBER(BW13:BW209),ROW(BW13:BW209),"")))</f>
        <v>39</v>
      </c>
      <c r="BY13" s="13">
        <f>IF('Données projet'!$A$114&gt;35,BY12+BX13-CG12,IF(A13&lt;'Données projet'!$A$114,$BV$205^A13,IF(A13='Données projet'!$A$114,'Données projet'!$B$114,BY12+BX13-CG12)))</f>
        <v>167</v>
      </c>
      <c r="BZ13" s="14">
        <f>BY13*VLOOKUP('Données projet'!$B$12,Paramètres!$A$1:$I$89,3,0)*VLOOKUP('Données projet'!$B$12,Paramètres!$A$1:$I$89,5,0)</f>
        <v>84.929519999999997</v>
      </c>
      <c r="CA13" s="14">
        <f t="shared" si="39"/>
        <v>23.338250945554787</v>
      </c>
      <c r="CB13" s="22">
        <f t="shared" si="10"/>
        <v>188.56636773017456</v>
      </c>
      <c r="CC13" s="62">
        <f t="shared" si="11"/>
        <v>481.89970106350791</v>
      </c>
      <c r="CD13" s="62">
        <f ca="1">AVERAGE(OFFSET($CC$3,0,0,'Données projet'!$E$12+1,1))-AVERAGE(OFFSET($H$3,0,0,'Données projet'!$E$12+1,1))</f>
        <v>142.72679502162805</v>
      </c>
      <c r="CE13" s="62">
        <f t="shared" si="40"/>
        <v>372.84389296423961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0.28199999999999997</v>
      </c>
      <c r="CI13" s="17">
        <f>IF(ISNA(VLOOKUP(A13,'Données projet'!$A$113:$I$133,6,0)),0%,VLOOKUP(A13,'Données projet'!$A$113:$I$133,6,0)*VLOOKUP('Données projet'!$B$12,Paramètres!$A$1:$I$89,7,0))</f>
        <v>0.126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7.2071999999999985</v>
      </c>
      <c r="D14" s="12">
        <f t="shared" si="32"/>
        <v>2.6392140198770453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76.007406469226297</v>
      </c>
      <c r="H14" s="70">
        <f t="shared" si="1"/>
        <v>310.4825044179525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175</v>
      </c>
      <c r="L14" s="13">
        <f>VLOOKUP(A14,'Données projet'!$A$35:$I$55,9,0)</f>
        <v>42</v>
      </c>
      <c r="M14" s="13">
        <f t="array" ref="M14">INDEX(L:L,MIN(IF(ISNUMBER(L14:L210),ROW(L14:L210),"")))</f>
        <v>42</v>
      </c>
      <c r="N14" s="14">
        <f>IF('Données projet'!$A$36&gt;35,N13+M14-V13,IF(A14&lt;'Données projet'!$A$36,$K$205^A14,IF(A14='Données projet'!$A$36,'Données projet'!$B$36,N13+M14-V13)))</f>
        <v>175</v>
      </c>
      <c r="O14" s="14">
        <f>N14*VLOOKUP('Données projet'!$B$9,Paramètres!$A$1:$I$89,3,0)*VLOOKUP('Données projet'!$B$9,Paramètres!$A$1:$I$89,5,0)</f>
        <v>88.998000000000005</v>
      </c>
      <c r="P14" s="14">
        <f t="shared" si="33"/>
        <v>24.323409484531489</v>
      </c>
      <c r="Q14" s="22">
        <f t="shared" si="2"/>
        <v>197.36812151889237</v>
      </c>
      <c r="R14" s="62">
        <f t="shared" si="0"/>
        <v>490.70145485222565</v>
      </c>
      <c r="S14" s="62">
        <f ca="1">AVERAGE(OFFSET($R$3,0,0,'Données projet'!$E$9+1,1))-AVERAGE(OFFSET($H$3,0,0,'Données projet'!$E$9+1,1))</f>
        <v>133.56954582136541</v>
      </c>
      <c r="T14" s="62">
        <f t="shared" si="34"/>
        <v>412.851273435613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0.28199999999999997</v>
      </c>
      <c r="X14" s="17">
        <f>IF(ISNA(VLOOKUP(A14,'Données projet'!$A$35:$I$55,6,0)),0%,VLOOKUP(A14,'Données projet'!$A$35:$I$55,6,0)*VLOOKUP('Données projet'!$B$9,Paramètres!$A$1:$I$89,7,0))</f>
        <v>0.126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>
        <f>VLOOKUP(A14,'Données projet'!$A$61:$I$81,2,0)</f>
        <v>201</v>
      </c>
      <c r="AG14" s="13">
        <f>VLOOKUP(A14,'Données projet'!$A$61:$I$81,9,0)</f>
        <v>34</v>
      </c>
      <c r="AH14" s="13">
        <f t="array" ref="AH14">INDEX(AG:AG,MIN(IF(ISNUMBER(AG14:AG210),ROW(AG14:AG210),"")))</f>
        <v>34</v>
      </c>
      <c r="AI14" s="14">
        <f>IF('Données projet'!$A$62&gt;35,AI13+AH14-AQ13,IF(A14&lt;'Données projet'!$A$62,$AF$205^A14,IF(A14='Données projet'!$A$62,'Données projet'!$B$62,AI13+AH14-AQ13)))</f>
        <v>201</v>
      </c>
      <c r="AJ14" s="14">
        <f>AI14*VLOOKUP('Données projet'!$B$10,Paramètres!$A$1:$I$89,3,0)*VLOOKUP('Données projet'!$B$10,Paramètres!$A$1:$I$89,5,0)</f>
        <v>102.22055999999999</v>
      </c>
      <c r="AK14" s="14">
        <f t="shared" si="35"/>
        <v>27.490337247119772</v>
      </c>
      <c r="AL14" s="22">
        <f t="shared" si="4"/>
        <v>225.91314603873357</v>
      </c>
      <c r="AM14" s="62">
        <f t="shared" si="5"/>
        <v>519.24647937206691</v>
      </c>
      <c r="AN14" s="62">
        <f ca="1">AVERAGE(OFFSET($AM$3,0,0,'Données projet'!$E$10+1,1))-AVERAGE(OFFSET($H$3,0,0,'Données projet'!$E$10+1,1))</f>
        <v>142.72679502162805</v>
      </c>
      <c r="AO14" s="62">
        <f t="shared" si="36"/>
        <v>372.84389296423961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0.28199999999999997</v>
      </c>
      <c r="AS14" s="17">
        <f>IF(ISNA(VLOOKUP(A14,'Données projet'!$A$61:$I$81,6,0)),0%,VLOOKUP(A14,'Données projet'!$A$61:$I$81,6,0)*VLOOKUP('Données projet'!$B$10,Paramètres!$A$1:$I$89,7,0))</f>
        <v>0.126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>
        <f>VLOOKUP(A14,'Données projet'!$A$87:$I$107,2,0)</f>
        <v>183</v>
      </c>
      <c r="BB14" s="13">
        <f>VLOOKUP(A14,'Données projet'!$A$87:$I$107,9,0)</f>
        <v>32</v>
      </c>
      <c r="BC14" s="13">
        <f t="array" ref="BC14">INDEX(BB:BB,MIN(IF(ISNUMBER(BB14:BB210),ROW(BB14:BB210),"")))</f>
        <v>32</v>
      </c>
      <c r="BD14" s="13">
        <f>IF('Données projet'!$A$88&gt;35,BD13+BC14-BL13,IF(A14&lt;'Données projet'!$A$88,$BA$205^A14,IF(A14='Données projet'!$A$88,'Données projet'!$B$88,BD13+BC14-BL13)))</f>
        <v>183</v>
      </c>
      <c r="BE14" s="14">
        <f>BD14*VLOOKUP('Données projet'!$B$11,Paramètres!$A$1:$I$89,3,0)*VLOOKUP('Données projet'!$B$11,Paramètres!$A$1:$I$89,5,0)</f>
        <v>93.066479999999999</v>
      </c>
      <c r="BF14" s="14">
        <f t="shared" si="37"/>
        <v>25.303337853109593</v>
      </c>
      <c r="BG14" s="22">
        <f t="shared" si="7"/>
        <v>206.16076609416587</v>
      </c>
      <c r="BH14" s="62">
        <f t="shared" si="8"/>
        <v>499.49409942749918</v>
      </c>
      <c r="BI14" s="62">
        <f ca="1">AVERAGE(OFFSET($BH$3,0,0,'Données projet'!$E$11+1,1))-AVERAGE(OFFSET($H$3,0,0,'Données projet'!$E$11+1,1))</f>
        <v>169.10494041758477</v>
      </c>
      <c r="BJ14" s="62">
        <f t="shared" si="38"/>
        <v>373.38644103117821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0.28199999999999997</v>
      </c>
      <c r="BN14" s="17">
        <f>IF(ISNA(VLOOKUP(A14,'Données projet'!$A$87:$I$107,6,0)),0%,VLOOKUP(A14,'Données projet'!$A$87:$I$107,6,0)*VLOOKUP('Données projet'!$B$11,Paramètres!$A$1:$I$89,7,0))</f>
        <v>0.126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>
        <f>VLOOKUP(A14,'Données projet'!$A$113:$I$133,2,0)</f>
        <v>201</v>
      </c>
      <c r="BW14" s="13">
        <f>VLOOKUP(A14,'Données projet'!$A$113:$I$133,9,0)</f>
        <v>34</v>
      </c>
      <c r="BX14" s="13">
        <f t="array" ref="BX14">INDEX(BW:BW,MIN(IF(ISNUMBER(BW14:BW210),ROW(BW14:BW210),"")))</f>
        <v>34</v>
      </c>
      <c r="BY14" s="13">
        <f>IF('Données projet'!$A$114&gt;35,BY13+BX14-CG13,IF(A14&lt;'Données projet'!$A$114,$BV$205^A14,IF(A14='Données projet'!$A$114,'Données projet'!$B$114,BY13+BX14-CG13)))</f>
        <v>201</v>
      </c>
      <c r="BZ14" s="14">
        <f>BY14*VLOOKUP('Données projet'!$B$12,Paramètres!$A$1:$I$89,3,0)*VLOOKUP('Données projet'!$B$12,Paramètres!$A$1:$I$89,5,0)</f>
        <v>102.22055999999999</v>
      </c>
      <c r="CA14" s="14">
        <f t="shared" si="39"/>
        <v>27.490337247119772</v>
      </c>
      <c r="CB14" s="22">
        <f t="shared" si="10"/>
        <v>225.91314603873357</v>
      </c>
      <c r="CC14" s="62">
        <f t="shared" si="11"/>
        <v>519.24647937206691</v>
      </c>
      <c r="CD14" s="62">
        <f ca="1">AVERAGE(OFFSET($CC$3,0,0,'Données projet'!$E$12+1,1))-AVERAGE(OFFSET($H$3,0,0,'Données projet'!$E$12+1,1))</f>
        <v>142.72679502162805</v>
      </c>
      <c r="CE14" s="62">
        <f t="shared" si="40"/>
        <v>372.84389296423961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0.28199999999999997</v>
      </c>
      <c r="CI14" s="17">
        <f>IF(ISNA(VLOOKUP(A14,'Données projet'!$A$113:$I$133,6,0)),0%,VLOOKUP(A14,'Données projet'!$A$113:$I$133,6,0)*VLOOKUP('Données projet'!$B$12,Paramètres!$A$1:$I$89,7,0))</f>
        <v>0.126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7.8623999999999983</v>
      </c>
      <c r="D15" s="12">
        <f t="shared" si="32"/>
        <v>2.8501294257559762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82.693209602326831</v>
      </c>
      <c r="H15" s="70">
        <f t="shared" si="1"/>
        <v>311.99098874985827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214</v>
      </c>
      <c r="L15" s="13">
        <f>VLOOKUP(A15,'Données projet'!$A$35:$I$55,9,0)</f>
        <v>39</v>
      </c>
      <c r="M15" s="13">
        <f t="array" ref="M15">INDEX(L:L,MIN(IF(ISNUMBER(L15:L211),ROW(L15:L211),"")))</f>
        <v>39</v>
      </c>
      <c r="N15" s="14">
        <f>IF('Données projet'!$A$36&gt;35,N14+M15-V14,IF(A15&lt;'Données projet'!$A$36,$K$205^A15,IF(A15='Données projet'!$A$36,'Données projet'!$B$36,N14+M15-V14)))</f>
        <v>214</v>
      </c>
      <c r="O15" s="14">
        <f>N15*VLOOKUP('Données projet'!$B$9,Paramètres!$A$1:$I$89,3,0)*VLOOKUP('Données projet'!$B$9,Paramètres!$A$1:$I$89,5,0)</f>
        <v>108.83184</v>
      </c>
      <c r="P15" s="14">
        <f t="shared" si="33"/>
        <v>29.055586181236279</v>
      </c>
      <c r="Q15" s="22">
        <f t="shared" si="2"/>
        <v>240.1539339323198</v>
      </c>
      <c r="R15" s="62">
        <f t="shared" si="0"/>
        <v>533.48726726565314</v>
      </c>
      <c r="S15" s="62">
        <f ca="1">AVERAGE(OFFSET($R$3,0,0,'Données projet'!$E$9+1,1))-AVERAGE(OFFSET($H$3,0,0,'Données projet'!$E$9+1,1))</f>
        <v>133.56954582136541</v>
      </c>
      <c r="T15" s="62">
        <f t="shared" si="34"/>
        <v>412.851273435613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0.28199999999999997</v>
      </c>
      <c r="X15" s="17">
        <f>IF(ISNA(VLOOKUP(A15,'Données projet'!$A$35:$I$55,6,0)),0%,VLOOKUP(A15,'Données projet'!$A$35:$I$55,6,0)*VLOOKUP('Données projet'!$B$9,Paramètres!$A$1:$I$89,7,0))</f>
        <v>0.126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235</v>
      </c>
      <c r="AG15" s="13">
        <f>VLOOKUP(A15,'Données projet'!$A$61:$I$81,9,0)</f>
        <v>34</v>
      </c>
      <c r="AH15" s="13">
        <f t="array" ref="AH15">INDEX(AG:AG,MIN(IF(ISNUMBER(AG15:AG211),ROW(AG15:AG211),"")))</f>
        <v>34</v>
      </c>
      <c r="AI15" s="14">
        <f>IF('Données projet'!$A$62&gt;35,AI14+AH15-AQ14,IF(A15&lt;'Données projet'!$A$62,$AF$205^A15,IF(A15='Données projet'!$A$62,'Données projet'!$B$62,AI14+AH15-AQ14)))</f>
        <v>235</v>
      </c>
      <c r="AJ15" s="14">
        <f>AI15*VLOOKUP('Données projet'!$B$10,Paramètres!$A$1:$I$89,3,0)*VLOOKUP('Données projet'!$B$10,Paramètres!$A$1:$I$89,5,0)</f>
        <v>119.5116</v>
      </c>
      <c r="AK15" s="14">
        <f t="shared" si="35"/>
        <v>31.561060990985474</v>
      </c>
      <c r="AL15" s="22">
        <f t="shared" si="4"/>
        <v>263.11821789263303</v>
      </c>
      <c r="AM15" s="62">
        <f t="shared" si="5"/>
        <v>556.45155122596634</v>
      </c>
      <c r="AN15" s="62">
        <f ca="1">AVERAGE(OFFSET($AM$3,0,0,'Données projet'!$E$10+1,1))-AVERAGE(OFFSET($H$3,0,0,'Données projet'!$E$10+1,1))</f>
        <v>142.72679502162805</v>
      </c>
      <c r="AO15" s="62">
        <f t="shared" si="36"/>
        <v>372.84389296423961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0.28199999999999997</v>
      </c>
      <c r="AS15" s="17">
        <f>IF(ISNA(VLOOKUP(A15,'Données projet'!$A$61:$I$81,6,0)),0%,VLOOKUP(A15,'Données projet'!$A$61:$I$81,6,0)*VLOOKUP('Données projet'!$B$10,Paramètres!$A$1:$I$89,7,0))</f>
        <v>0.126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>
        <f>VLOOKUP(A15,'Données projet'!$A$87:$I$107,2,0)</f>
        <v>212</v>
      </c>
      <c r="BB15" s="13">
        <f>VLOOKUP(A15,'Données projet'!$A$87:$I$107,9,0)</f>
        <v>29</v>
      </c>
      <c r="BC15" s="13">
        <f t="array" ref="BC15">INDEX(BB:BB,MIN(IF(ISNUMBER(BB15:BB211),ROW(BB15:BB211),"")))</f>
        <v>29</v>
      </c>
      <c r="BD15" s="13">
        <f>IF('Données projet'!$A$88&gt;35,BD14+BC15-BL14,IF(A15&lt;'Données projet'!$A$88,$BA$205^A15,IF(A15='Données projet'!$A$88,'Données projet'!$B$88,BD14+BC15-BL14)))</f>
        <v>212</v>
      </c>
      <c r="BE15" s="14">
        <f>BD15*VLOOKUP('Données projet'!$B$11,Paramètres!$A$1:$I$89,3,0)*VLOOKUP('Données projet'!$B$11,Paramètres!$A$1:$I$89,5,0)</f>
        <v>107.81472000000002</v>
      </c>
      <c r="BF15" s="14">
        <f t="shared" si="37"/>
        <v>28.815515814589094</v>
      </c>
      <c r="BG15" s="22">
        <f t="shared" si="7"/>
        <v>237.96432737707607</v>
      </c>
      <c r="BH15" s="62">
        <f t="shared" si="8"/>
        <v>531.29766071040945</v>
      </c>
      <c r="BI15" s="62">
        <f ca="1">AVERAGE(OFFSET($BH$3,0,0,'Données projet'!$E$11+1,1))-AVERAGE(OFFSET($H$3,0,0,'Données projet'!$E$11+1,1))</f>
        <v>169.10494041758477</v>
      </c>
      <c r="BJ15" s="62">
        <f t="shared" si="38"/>
        <v>373.38644103117821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0.28199999999999997</v>
      </c>
      <c r="BN15" s="17">
        <f>IF(ISNA(VLOOKUP(A15,'Données projet'!$A$87:$I$107,6,0)),0%,VLOOKUP(A15,'Données projet'!$A$87:$I$107,6,0)*VLOOKUP('Données projet'!$B$11,Paramètres!$A$1:$I$89,7,0))</f>
        <v>0.126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>
        <f>VLOOKUP(A15,'Données projet'!$A$113:$I$133,2,0)</f>
        <v>235</v>
      </c>
      <c r="BW15" s="13">
        <f>VLOOKUP(A15,'Données projet'!$A$113:$I$133,9,0)</f>
        <v>34</v>
      </c>
      <c r="BX15" s="13">
        <f t="array" ref="BX15">INDEX(BW:BW,MIN(IF(ISNUMBER(BW15:BW211),ROW(BW15:BW211),"")))</f>
        <v>34</v>
      </c>
      <c r="BY15" s="13">
        <f>IF('Données projet'!$A$114&gt;35,BY14+BX15-CG14,IF(A15&lt;'Données projet'!$A$114,$BV$205^A15,IF(A15='Données projet'!$A$114,'Données projet'!$B$114,BY14+BX15-CG14)))</f>
        <v>235</v>
      </c>
      <c r="BZ15" s="14">
        <f>BY15*VLOOKUP('Données projet'!$B$12,Paramètres!$A$1:$I$89,3,0)*VLOOKUP('Données projet'!$B$12,Paramètres!$A$1:$I$89,5,0)</f>
        <v>119.5116</v>
      </c>
      <c r="CA15" s="14">
        <f t="shared" si="39"/>
        <v>31.561060990985474</v>
      </c>
      <c r="CB15" s="22">
        <f t="shared" si="10"/>
        <v>263.11821789263303</v>
      </c>
      <c r="CC15" s="62">
        <f t="shared" si="11"/>
        <v>556.45155122596634</v>
      </c>
      <c r="CD15" s="62">
        <f ca="1">AVERAGE(OFFSET($CC$3,0,0,'Données projet'!$E$12+1,1))-AVERAGE(OFFSET($H$3,0,0,'Données projet'!$E$12+1,1))</f>
        <v>142.72679502162805</v>
      </c>
      <c r="CE15" s="62">
        <f t="shared" si="40"/>
        <v>372.84389296423961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0.28199999999999997</v>
      </c>
      <c r="CI15" s="17">
        <f>IF(ISNA(VLOOKUP(A15,'Données projet'!$A$113:$I$133,6,0)),0%,VLOOKUP(A15,'Données projet'!$A$113:$I$133,6,0)*VLOOKUP('Données projet'!$B$12,Paramètres!$A$1:$I$89,7,0))</f>
        <v>0.126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8.5175999999999981</v>
      </c>
      <c r="D16" s="12">
        <f t="shared" si="32"/>
        <v>3.0590063539379924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89.363277118117821</v>
      </c>
      <c r="H16" s="70">
        <f t="shared" si="1"/>
        <v>313.49592273310867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256</v>
      </c>
      <c r="L16" s="13">
        <f>VLOOKUP(A16,'Données projet'!$A$35:$I$55,9,0)</f>
        <v>42</v>
      </c>
      <c r="M16" s="13">
        <f t="array" ref="M16">INDEX(L:L,MIN(IF(ISNUMBER(L16:L212),ROW(L16:L212),"")))</f>
        <v>42</v>
      </c>
      <c r="N16" s="14">
        <f>IF('Données projet'!$A$36&gt;35,N15+M16-V15,IF(A16&lt;'Données projet'!$A$36,$K$205^A16,IF(A16='Données projet'!$A$36,'Données projet'!$B$36,N15+M16-V15)))</f>
        <v>256</v>
      </c>
      <c r="O16" s="14">
        <f>N16*VLOOKUP('Données projet'!$B$9,Paramètres!$A$1:$I$89,3,0)*VLOOKUP('Données projet'!$B$9,Paramètres!$A$1:$I$89,5,0)</f>
        <v>130.19136</v>
      </c>
      <c r="P16" s="14">
        <f t="shared" si="33"/>
        <v>34.040573223809218</v>
      </c>
      <c r="Q16" s="22">
        <f t="shared" si="2"/>
        <v>286.03728369813439</v>
      </c>
      <c r="R16" s="62">
        <f t="shared" si="0"/>
        <v>579.37061703146765</v>
      </c>
      <c r="S16" s="62">
        <f ca="1">AVERAGE(OFFSET($R$3,0,0,'Données projet'!$E$9+1,1))-AVERAGE(OFFSET($H$3,0,0,'Données projet'!$E$9+1,1))</f>
        <v>133.56954582136541</v>
      </c>
      <c r="T16" s="62">
        <f t="shared" si="34"/>
        <v>412.851273435613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0.28199999999999997</v>
      </c>
      <c r="X16" s="17">
        <f>IF(ISNA(VLOOKUP(A16,'Données projet'!$A$35:$I$55,6,0)),0%,VLOOKUP(A16,'Données projet'!$A$35:$I$55,6,0)*VLOOKUP('Données projet'!$B$9,Paramètres!$A$1:$I$89,7,0))</f>
        <v>0.126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266</v>
      </c>
      <c r="AG16" s="13">
        <f>VLOOKUP(A16,'Données projet'!$A$61:$I$81,9,0)</f>
        <v>31</v>
      </c>
      <c r="AH16" s="13">
        <f t="array" ref="AH16">INDEX(AG:AG,MIN(IF(ISNUMBER(AG16:AG212),ROW(AG16:AG212),"")))</f>
        <v>31</v>
      </c>
      <c r="AI16" s="14">
        <f>IF('Données projet'!$A$62&gt;35,AI15+AH16-AQ15,IF(A16&lt;'Données projet'!$A$62,$AF$205^A16,IF(A16='Données projet'!$A$62,'Données projet'!$B$62,AI15+AH16-AQ15)))</f>
        <v>266</v>
      </c>
      <c r="AJ16" s="14">
        <f>AI16*VLOOKUP('Données projet'!$B$10,Paramètres!$A$1:$I$89,3,0)*VLOOKUP('Données projet'!$B$10,Paramètres!$A$1:$I$89,5,0)</f>
        <v>135.27696000000003</v>
      </c>
      <c r="AK16" s="14">
        <f t="shared" si="35"/>
        <v>35.212871795631408</v>
      </c>
      <c r="AL16" s="22">
        <f t="shared" si="4"/>
        <v>296.93645704405805</v>
      </c>
      <c r="AM16" s="62">
        <f t="shared" si="5"/>
        <v>590.26979037739136</v>
      </c>
      <c r="AN16" s="62">
        <f ca="1">AVERAGE(OFFSET($AM$3,0,0,'Données projet'!$E$10+1,1))-AVERAGE(OFFSET($H$3,0,0,'Données projet'!$E$10+1,1))</f>
        <v>142.72679502162805</v>
      </c>
      <c r="AO16" s="62">
        <f t="shared" si="36"/>
        <v>372.84389296423961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0.28199999999999997</v>
      </c>
      <c r="AS16" s="17">
        <f>IF(ISNA(VLOOKUP(A16,'Données projet'!$A$61:$I$81,6,0)),0%,VLOOKUP(A16,'Données projet'!$A$61:$I$81,6,0)*VLOOKUP('Données projet'!$B$10,Paramètres!$A$1:$I$89,7,0))</f>
        <v>0.126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>
        <f>VLOOKUP(A16,'Données projet'!$A$87:$I$107,2,0)</f>
        <v>238</v>
      </c>
      <c r="BB16" s="13">
        <f>VLOOKUP(A16,'Données projet'!$A$87:$I$107,9,0)</f>
        <v>26</v>
      </c>
      <c r="BC16" s="13">
        <f t="array" ref="BC16">INDEX(BB:BB,MIN(IF(ISNUMBER(BB16:BB212),ROW(BB16:BB212),"")))</f>
        <v>26</v>
      </c>
      <c r="BD16" s="13">
        <f>IF('Données projet'!$A$88&gt;35,BD15+BC16-BL15,IF(A16&lt;'Données projet'!$A$88,$BA$205^A16,IF(A16='Données projet'!$A$88,'Données projet'!$B$88,BD15+BC16-BL15)))</f>
        <v>238</v>
      </c>
      <c r="BE16" s="14">
        <f>BD16*VLOOKUP('Données projet'!$B$11,Paramètres!$A$1:$I$89,3,0)*VLOOKUP('Données projet'!$B$11,Paramètres!$A$1:$I$89,5,0)</f>
        <v>121.03728000000001</v>
      </c>
      <c r="BF16" s="14">
        <f t="shared" si="37"/>
        <v>31.916806500180098</v>
      </c>
      <c r="BG16" s="22">
        <f t="shared" si="7"/>
        <v>266.39503398781363</v>
      </c>
      <c r="BH16" s="62">
        <f t="shared" si="8"/>
        <v>559.72836732114695</v>
      </c>
      <c r="BI16" s="62">
        <f ca="1">AVERAGE(OFFSET($BH$3,0,0,'Données projet'!$E$11+1,1))-AVERAGE(OFFSET($H$3,0,0,'Données projet'!$E$11+1,1))</f>
        <v>169.10494041758477</v>
      </c>
      <c r="BJ16" s="62">
        <f t="shared" si="38"/>
        <v>373.38644103117821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0.28199999999999997</v>
      </c>
      <c r="BN16" s="17">
        <f>IF(ISNA(VLOOKUP(A16,'Données projet'!$A$87:$I$107,6,0)),0%,VLOOKUP(A16,'Données projet'!$A$87:$I$107,6,0)*VLOOKUP('Données projet'!$B$11,Paramètres!$A$1:$I$89,7,0))</f>
        <v>0.126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>
        <f>VLOOKUP(A16,'Données projet'!$A$113:$I$133,2,0)</f>
        <v>266</v>
      </c>
      <c r="BW16" s="13">
        <f>VLOOKUP(A16,'Données projet'!$A$113:$I$133,9,0)</f>
        <v>31</v>
      </c>
      <c r="BX16" s="13">
        <f t="array" ref="BX16">INDEX(BW:BW,MIN(IF(ISNUMBER(BW16:BW212),ROW(BW16:BW212),"")))</f>
        <v>31</v>
      </c>
      <c r="BY16" s="13">
        <f>IF('Données projet'!$A$114&gt;35,BY15+BX16-CG15,IF(A16&lt;'Données projet'!$A$114,$BV$205^A16,IF(A16='Données projet'!$A$114,'Données projet'!$B$114,BY15+BX16-CG15)))</f>
        <v>266</v>
      </c>
      <c r="BZ16" s="14">
        <f>BY16*VLOOKUP('Données projet'!$B$12,Paramètres!$A$1:$I$89,3,0)*VLOOKUP('Données projet'!$B$12,Paramètres!$A$1:$I$89,5,0)</f>
        <v>135.27696000000003</v>
      </c>
      <c r="CA16" s="14">
        <f t="shared" si="39"/>
        <v>35.212871795631408</v>
      </c>
      <c r="CB16" s="22">
        <f t="shared" si="10"/>
        <v>296.93645704405805</v>
      </c>
      <c r="CC16" s="62">
        <f t="shared" si="11"/>
        <v>590.26979037739136</v>
      </c>
      <c r="CD16" s="62">
        <f ca="1">AVERAGE(OFFSET($CC$3,0,0,'Données projet'!$E$12+1,1))-AVERAGE(OFFSET($H$3,0,0,'Données projet'!$E$12+1,1))</f>
        <v>142.72679502162805</v>
      </c>
      <c r="CE16" s="62">
        <f t="shared" si="40"/>
        <v>372.84389296423961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0.28199999999999997</v>
      </c>
      <c r="CI16" s="17">
        <f>IF(ISNA(VLOOKUP(A16,'Données projet'!$A$113:$I$133,6,0)),0%,VLOOKUP(A16,'Données projet'!$A$113:$I$133,6,0)*VLOOKUP('Données projet'!$B$12,Paramètres!$A$1:$I$89,7,0))</f>
        <v>0.126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9.1727999999999987</v>
      </c>
      <c r="D17" s="12">
        <f t="shared" si="32"/>
        <v>3.2660194391020205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96.018957073769982</v>
      </c>
      <c r="H17" s="70">
        <f t="shared" si="1"/>
        <v>314.99761052310265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292</v>
      </c>
      <c r="L17" s="13">
        <f>VLOOKUP(A17,'Données projet'!$A$35:$I$55,9,0)</f>
        <v>36</v>
      </c>
      <c r="M17" s="13">
        <f t="array" ref="M17">INDEX(L:L,MIN(IF(ISNUMBER(L17:L213),ROW(L17:L213),"")))</f>
        <v>36</v>
      </c>
      <c r="N17" s="14">
        <f>IF('Données projet'!$A$36&gt;35,N16+M17-V16,IF(A17&lt;'Données projet'!$A$36,$K$205^A17,IF(A17='Données projet'!$A$36,'Données projet'!$B$36,N16+M17-V16)))</f>
        <v>292</v>
      </c>
      <c r="O17" s="14">
        <f>N17*VLOOKUP('Données projet'!$B$9,Paramètres!$A$1:$I$89,3,0)*VLOOKUP('Données projet'!$B$9,Paramètres!$A$1:$I$89,5,0)</f>
        <v>148.49952000000002</v>
      </c>
      <c r="P17" s="14">
        <f t="shared" si="33"/>
        <v>38.237396894282334</v>
      </c>
      <c r="Q17" s="22">
        <f t="shared" si="2"/>
        <v>325.23346359087509</v>
      </c>
      <c r="R17" s="62">
        <f t="shared" si="0"/>
        <v>618.56679692420835</v>
      </c>
      <c r="S17" s="62">
        <f ca="1">AVERAGE(OFFSET($R$3,0,0,'Données projet'!$E$9+1,1))-AVERAGE(OFFSET($H$3,0,0,'Données projet'!$E$9+1,1))</f>
        <v>133.56954582136541</v>
      </c>
      <c r="T17" s="62">
        <f t="shared" si="34"/>
        <v>412.851273435613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0.28199999999999997</v>
      </c>
      <c r="X17" s="17">
        <f>IF(ISNA(VLOOKUP(A17,'Données projet'!$A$35:$I$55,6,0)),0%,VLOOKUP(A17,'Données projet'!$A$35:$I$55,6,0)*VLOOKUP('Données projet'!$B$9,Paramètres!$A$1:$I$89,7,0))</f>
        <v>0.126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>
        <f>VLOOKUP(A17,'Données projet'!$A$61:$I$81,2,0)</f>
        <v>295</v>
      </c>
      <c r="AG17" s="13">
        <f>VLOOKUP(A17,'Données projet'!$A$61:$I$81,9,0)</f>
        <v>29</v>
      </c>
      <c r="AH17" s="13">
        <f t="array" ref="AH17">INDEX(AG:AG,MIN(IF(ISNUMBER(AG17:AG213),ROW(AG17:AG213),"")))</f>
        <v>29</v>
      </c>
      <c r="AI17" s="14">
        <f>IF('Données projet'!$A$62&gt;35,AI16+AH17-AQ16,IF(A17&lt;'Données projet'!$A$62,$AF$205^A17,IF(A17='Données projet'!$A$62,'Données projet'!$B$62,AI16+AH17-AQ16)))</f>
        <v>295</v>
      </c>
      <c r="AJ17" s="14">
        <f>AI17*VLOOKUP('Données projet'!$B$10,Paramètres!$A$1:$I$89,3,0)*VLOOKUP('Données projet'!$B$10,Paramètres!$A$1:$I$89,5,0)</f>
        <v>150.02520000000001</v>
      </c>
      <c r="AK17" s="14">
        <f t="shared" si="35"/>
        <v>38.584312355289697</v>
      </c>
      <c r="AL17" s="22">
        <f t="shared" si="4"/>
        <v>328.49490068546294</v>
      </c>
      <c r="AM17" s="62">
        <f t="shared" si="5"/>
        <v>621.82823401879625</v>
      </c>
      <c r="AN17" s="62">
        <f ca="1">AVERAGE(OFFSET($AM$3,0,0,'Données projet'!$E$10+1,1))-AVERAGE(OFFSET($H$3,0,0,'Données projet'!$E$10+1,1))</f>
        <v>142.72679502162805</v>
      </c>
      <c r="AO17" s="62">
        <f t="shared" si="36"/>
        <v>372.84389296423961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0.28199999999999997</v>
      </c>
      <c r="AS17" s="17">
        <f>IF(ISNA(VLOOKUP(A17,'Données projet'!$A$61:$I$81,6,0)),0%,VLOOKUP(A17,'Données projet'!$A$61:$I$81,6,0)*VLOOKUP('Données projet'!$B$10,Paramètres!$A$1:$I$89,7,0))</f>
        <v>0.126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>
        <f>VLOOKUP(A17,'Données projet'!$A$87:$I$107,2,0)</f>
        <v>261</v>
      </c>
      <c r="BB17" s="13">
        <f>VLOOKUP(A17,'Données projet'!$A$87:$I$107,9,0)</f>
        <v>23</v>
      </c>
      <c r="BC17" s="13">
        <f t="array" ref="BC17">INDEX(BB:BB,MIN(IF(ISNUMBER(BB17:BB213),ROW(BB17:BB213),"")))</f>
        <v>23</v>
      </c>
      <c r="BD17" s="13">
        <f>IF('Données projet'!$A$88&gt;35,BD16+BC17-BL16,IF(A17&lt;'Données projet'!$A$88,$BA$205^A17,IF(A17='Données projet'!$A$88,'Données projet'!$B$88,BD16+BC17-BL16)))</f>
        <v>261</v>
      </c>
      <c r="BE17" s="14">
        <f>BD17*VLOOKUP('Données projet'!$B$11,Paramètres!$A$1:$I$89,3,0)*VLOOKUP('Données projet'!$B$11,Paramètres!$A$1:$I$89,5,0)</f>
        <v>132.73416</v>
      </c>
      <c r="BF17" s="14">
        <f t="shared" si="37"/>
        <v>34.627376074522616</v>
      </c>
      <c r="BG17" s="22">
        <f t="shared" si="7"/>
        <v>291.48800866312695</v>
      </c>
      <c r="BH17" s="62">
        <f t="shared" si="8"/>
        <v>584.82134199646021</v>
      </c>
      <c r="BI17" s="62">
        <f ca="1">AVERAGE(OFFSET($BH$3,0,0,'Données projet'!$E$11+1,1))-AVERAGE(OFFSET($H$3,0,0,'Données projet'!$E$11+1,1))</f>
        <v>169.10494041758477</v>
      </c>
      <c r="BJ17" s="62">
        <f t="shared" si="38"/>
        <v>373.38644103117821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0.28199999999999997</v>
      </c>
      <c r="BN17" s="17">
        <f>IF(ISNA(VLOOKUP(A17,'Données projet'!$A$87:$I$107,6,0)),0%,VLOOKUP(A17,'Données projet'!$A$87:$I$107,6,0)*VLOOKUP('Données projet'!$B$11,Paramètres!$A$1:$I$89,7,0))</f>
        <v>0.126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>
        <f>VLOOKUP(A17,'Données projet'!$A$113:$I$133,2,0)</f>
        <v>295</v>
      </c>
      <c r="BW17" s="13">
        <f>VLOOKUP(A17,'Données projet'!$A$113:$I$133,9,0)</f>
        <v>29</v>
      </c>
      <c r="BX17" s="13">
        <f t="array" ref="BX17">INDEX(BW:BW,MIN(IF(ISNUMBER(BW17:BW213),ROW(BW17:BW213),"")))</f>
        <v>29</v>
      </c>
      <c r="BY17" s="13">
        <f>IF('Données projet'!$A$114&gt;35,BY16+BX17-CG16,IF(A17&lt;'Données projet'!$A$114,$BV$205^A17,IF(A17='Données projet'!$A$114,'Données projet'!$B$114,BY16+BX17-CG16)))</f>
        <v>295</v>
      </c>
      <c r="BZ17" s="14">
        <f>BY17*VLOOKUP('Données projet'!$B$12,Paramètres!$A$1:$I$89,3,0)*VLOOKUP('Données projet'!$B$12,Paramètres!$A$1:$I$89,5,0)</f>
        <v>150.02520000000001</v>
      </c>
      <c r="CA17" s="14">
        <f t="shared" si="39"/>
        <v>38.584312355289697</v>
      </c>
      <c r="CB17" s="22">
        <f t="shared" si="10"/>
        <v>328.49490068546294</v>
      </c>
      <c r="CC17" s="62">
        <f t="shared" si="11"/>
        <v>621.82823401879625</v>
      </c>
      <c r="CD17" s="62">
        <f ca="1">AVERAGE(OFFSET($CC$3,0,0,'Données projet'!$E$12+1,1))-AVERAGE(OFFSET($H$3,0,0,'Données projet'!$E$12+1,1))</f>
        <v>142.72679502162805</v>
      </c>
      <c r="CE17" s="62">
        <f t="shared" si="40"/>
        <v>372.84389296423961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0.28199999999999997</v>
      </c>
      <c r="CI17" s="17">
        <f>IF(ISNA(VLOOKUP(A17,'Données projet'!$A$113:$I$133,6,0)),0%,VLOOKUP(A17,'Données projet'!$A$113:$I$133,6,0)*VLOOKUP('Données projet'!$B$12,Paramètres!$A$1:$I$89,7,0))</f>
        <v>0.126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18" s="12">
        <f t="shared" si="32"/>
        <v>3.4713169544550615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102.66139403438996</v>
      </c>
      <c r="H18" s="70">
        <f t="shared" si="1"/>
        <v>316.49631036234257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329</v>
      </c>
      <c r="L18" s="13">
        <f>VLOOKUP(A18,'Données projet'!$A$35:$I$55,9,0)</f>
        <v>37</v>
      </c>
      <c r="M18" s="13">
        <f t="array" ref="M18">INDEX(L:L,MIN(IF(ISNUMBER(L18:L214),ROW(L18:L214),"")))</f>
        <v>37</v>
      </c>
      <c r="N18" s="14">
        <f>IF('Données projet'!$A$36&gt;35,N17+M18-V17,IF(A18&lt;'Données projet'!$A$36,$K$205^A18,IF(A18='Données projet'!$A$36,'Données projet'!$B$36,N17+M18-V17)))</f>
        <v>329</v>
      </c>
      <c r="O18" s="14">
        <f>N18*VLOOKUP('Données projet'!$B$9,Paramètres!$A$1:$I$89,3,0)*VLOOKUP('Données projet'!$B$9,Paramètres!$A$1:$I$89,5,0)</f>
        <v>167.31624000000002</v>
      </c>
      <c r="P18" s="14">
        <f t="shared" si="33"/>
        <v>42.488395088818137</v>
      </c>
      <c r="Q18" s="22">
        <f t="shared" si="2"/>
        <v>365.40973944635829</v>
      </c>
      <c r="R18" s="62">
        <f t="shared" si="0"/>
        <v>658.7430727796916</v>
      </c>
      <c r="S18" s="62">
        <f ca="1">AVERAGE(OFFSET($R$3,0,0,'Données projet'!$E$9+1,1))-AVERAGE(OFFSET($H$3,0,0,'Données projet'!$E$9+1,1))</f>
        <v>133.56954582136541</v>
      </c>
      <c r="T18" s="62">
        <f t="shared" si="34"/>
        <v>412.851273435613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0.28199999999999997</v>
      </c>
      <c r="X18" s="17">
        <f>IF(ISNA(VLOOKUP(A18,'Données projet'!$A$35:$I$55,6,0)),0%,VLOOKUP(A18,'Données projet'!$A$35:$I$55,6,0)*VLOOKUP('Données projet'!$B$9,Paramètres!$A$1:$I$89,7,0))</f>
        <v>0.126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319</v>
      </c>
      <c r="AG18" s="13">
        <f>VLOOKUP(A18,'Données projet'!$A$61:$I$81,9,0)</f>
        <v>24</v>
      </c>
      <c r="AH18" s="13">
        <f t="array" ref="AH18">INDEX(AG:AG,MIN(IF(ISNUMBER(AG18:AG214),ROW(AG18:AG214),"")))</f>
        <v>24</v>
      </c>
      <c r="AI18" s="14">
        <f>IF('Données projet'!$A$62&gt;35,AI17+AH18-AQ17,IF(A18&lt;'Données projet'!$A$62,$AF$205^A18,IF(A18='Données projet'!$A$62,'Données projet'!$B$62,AI17+AH18-AQ17)))</f>
        <v>319</v>
      </c>
      <c r="AJ18" s="14">
        <f>AI18*VLOOKUP('Données projet'!$B$10,Paramètres!$A$1:$I$89,3,0)*VLOOKUP('Données projet'!$B$10,Paramètres!$A$1:$I$89,5,0)</f>
        <v>162.23063999999999</v>
      </c>
      <c r="AK18" s="14">
        <f t="shared" si="35"/>
        <v>41.34523635268306</v>
      </c>
      <c r="AL18" s="22">
        <f t="shared" si="4"/>
        <v>354.56131798092298</v>
      </c>
      <c r="AM18" s="62">
        <f t="shared" si="5"/>
        <v>647.89465131425629</v>
      </c>
      <c r="AN18" s="62">
        <f ca="1">AVERAGE(OFFSET($AM$3,0,0,'Données projet'!$E$10+1,1))-AVERAGE(OFFSET($H$3,0,0,'Données projet'!$E$10+1,1))</f>
        <v>142.72679502162805</v>
      </c>
      <c r="AO18" s="62">
        <f t="shared" si="36"/>
        <v>372.84389296423961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0.28199999999999997</v>
      </c>
      <c r="AS18" s="17">
        <f>IF(ISNA(VLOOKUP(A18,'Données projet'!$A$61:$I$81,6,0)),0%,VLOOKUP(A18,'Données projet'!$A$61:$I$81,6,0)*VLOOKUP('Données projet'!$B$10,Paramètres!$A$1:$I$89,7,0))</f>
        <v>0.126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282</v>
      </c>
      <c r="BB18" s="13">
        <f>VLOOKUP(A18,'Données projet'!$A$87:$I$107,9,0)</f>
        <v>21</v>
      </c>
      <c r="BC18" s="13">
        <f t="array" ref="BC18">INDEX(BB:BB,MIN(IF(ISNUMBER(BB18:BB214),ROW(BB18:BB214),"")))</f>
        <v>21</v>
      </c>
      <c r="BD18" s="13">
        <f>IF('Données projet'!$A$88&gt;35,BD17+BC18-BL17,IF(A18&lt;'Données projet'!$A$88,$BA$205^A18,IF(A18='Données projet'!$A$88,'Données projet'!$B$88,BD17+BC18-BL17)))</f>
        <v>282</v>
      </c>
      <c r="BE18" s="14">
        <f>BD18*VLOOKUP('Données projet'!$B$11,Paramètres!$A$1:$I$89,3,0)*VLOOKUP('Données projet'!$B$11,Paramètres!$A$1:$I$89,5,0)</f>
        <v>143.41392000000002</v>
      </c>
      <c r="BF18" s="14">
        <f t="shared" si="37"/>
        <v>37.077986629828985</v>
      </c>
      <c r="BG18" s="22">
        <f t="shared" si="7"/>
        <v>314.35673738028549</v>
      </c>
      <c r="BH18" s="62">
        <f t="shared" si="8"/>
        <v>607.69007071361875</v>
      </c>
      <c r="BI18" s="62">
        <f ca="1">AVERAGE(OFFSET($BH$3,0,0,'Données projet'!$E$11+1,1))-AVERAGE(OFFSET($H$3,0,0,'Données projet'!$E$11+1,1))</f>
        <v>169.10494041758477</v>
      </c>
      <c r="BJ18" s="62">
        <f t="shared" si="38"/>
        <v>373.38644103117821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0.28199999999999997</v>
      </c>
      <c r="BN18" s="17">
        <f>IF(ISNA(VLOOKUP(A18,'Données projet'!$A$87:$I$107,6,0)),0%,VLOOKUP(A18,'Données projet'!$A$87:$I$107,6,0)*VLOOKUP('Données projet'!$B$11,Paramètres!$A$1:$I$89,7,0))</f>
        <v>0.126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319</v>
      </c>
      <c r="BW18" s="13">
        <f>VLOOKUP(A18,'Données projet'!$A$113:$I$133,9,0)</f>
        <v>24</v>
      </c>
      <c r="BX18" s="13">
        <f t="array" ref="BX18">INDEX(BW:BW,MIN(IF(ISNUMBER(BW18:BW214),ROW(BW18:BW214),"")))</f>
        <v>24</v>
      </c>
      <c r="BY18" s="13">
        <f>IF('Données projet'!$A$114&gt;35,BY17+BX18-CG17,IF(A18&lt;'Données projet'!$A$114,$BV$205^A18,IF(A18='Données projet'!$A$114,'Données projet'!$B$114,BY17+BX18-CG17)))</f>
        <v>319</v>
      </c>
      <c r="BZ18" s="14">
        <f>BY18*VLOOKUP('Données projet'!$B$12,Paramètres!$A$1:$I$89,3,0)*VLOOKUP('Données projet'!$B$12,Paramètres!$A$1:$I$89,5,0)</f>
        <v>162.23063999999999</v>
      </c>
      <c r="CA18" s="14">
        <f t="shared" si="39"/>
        <v>41.34523635268306</v>
      </c>
      <c r="CB18" s="22">
        <f t="shared" si="10"/>
        <v>354.56131798092298</v>
      </c>
      <c r="CC18" s="62">
        <f t="shared" si="11"/>
        <v>647.89465131425629</v>
      </c>
      <c r="CD18" s="62">
        <f ca="1">AVERAGE(OFFSET($CC$3,0,0,'Données projet'!$E$12+1,1))-AVERAGE(OFFSET($H$3,0,0,'Données projet'!$E$12+1,1))</f>
        <v>142.72679502162805</v>
      </c>
      <c r="CE18" s="62">
        <f t="shared" si="40"/>
        <v>372.84389296423961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0.28199999999999997</v>
      </c>
      <c r="CI18" s="17">
        <f>IF(ISNA(VLOOKUP(A18,'Données projet'!$A$113:$I$133,6,0)),0%,VLOOKUP(A18,'Données projet'!$A$113:$I$133,6,0)*VLOOKUP('Données projet'!$B$12,Paramètres!$A$1:$I$89,7,0))</f>
        <v>0.126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10.4832</v>
      </c>
      <c r="D19" s="12">
        <f t="shared" si="32"/>
        <v>3.6750262849765409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109.29157132262594</v>
      </c>
      <c r="H19" s="70">
        <f t="shared" si="1"/>
        <v>317.99224411300077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363</v>
      </c>
      <c r="L19" s="13">
        <f>VLOOKUP(A19,'Données projet'!$A$35:$I$55,9,0)</f>
        <v>34</v>
      </c>
      <c r="M19" s="13">
        <f t="array" ref="M19">INDEX(L:L,MIN(IF(ISNUMBER(L19:L215),ROW(L19:L215),"")))</f>
        <v>34</v>
      </c>
      <c r="N19" s="14">
        <f>IF('Données projet'!$A$36&gt;35,N18+M19-V18,IF(A19&lt;'Données projet'!$A$36,$K$205^A19,IF(A19='Données projet'!$A$36,'Données projet'!$B$36,N18+M19-V18)))</f>
        <v>363</v>
      </c>
      <c r="O19" s="14">
        <f>N19*VLOOKUP('Données projet'!$B$9,Paramètres!$A$1:$I$89,3,0)*VLOOKUP('Données projet'!$B$9,Paramètres!$A$1:$I$89,5,0)</f>
        <v>184.60728000000003</v>
      </c>
      <c r="P19" s="14">
        <f t="shared" si="33"/>
        <v>46.345708451873151</v>
      </c>
      <c r="Q19" s="22">
        <f t="shared" si="2"/>
        <v>402.24312155367915</v>
      </c>
      <c r="R19" s="62">
        <f t="shared" si="0"/>
        <v>695.57645488701246</v>
      </c>
      <c r="S19" s="62">
        <f ca="1">AVERAGE(OFFSET($R$3,0,0,'Données projet'!$E$9+1,1))-AVERAGE(OFFSET($H$3,0,0,'Données projet'!$E$9+1,1))</f>
        <v>133.56954582136541</v>
      </c>
      <c r="T19" s="62">
        <f t="shared" si="34"/>
        <v>412.851273435613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0.28199999999999997</v>
      </c>
      <c r="X19" s="17">
        <f>IF(ISNA(VLOOKUP(A19,'Données projet'!$A$35:$I$55,6,0)),0%,VLOOKUP(A19,'Données projet'!$A$35:$I$55,6,0)*VLOOKUP('Données projet'!$B$9,Paramètres!$A$1:$I$89,7,0))</f>
        <v>0.126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>
        <f>VLOOKUP(A19,'Données projet'!$A$61:$I$81,2,0)</f>
        <v>339</v>
      </c>
      <c r="AG19" s="13">
        <f>VLOOKUP(A19,'Données projet'!$A$61:$I$81,9,0)</f>
        <v>20</v>
      </c>
      <c r="AH19" s="13">
        <f t="array" ref="AH19">INDEX(AG:AG,MIN(IF(ISNUMBER(AG19:AG215),ROW(AG19:AG215),"")))</f>
        <v>20</v>
      </c>
      <c r="AI19" s="14">
        <f>IF('Données projet'!$A$62&gt;35,AI18+AH19-AQ18,IF(A19&lt;'Données projet'!$A$62,$AF$205^A19,IF(A19='Données projet'!$A$62,'Données projet'!$B$62,AI18+AH19-AQ18)))</f>
        <v>339</v>
      </c>
      <c r="AJ19" s="14">
        <f>AI19*VLOOKUP('Données projet'!$B$10,Paramètres!$A$1:$I$89,3,0)*VLOOKUP('Données projet'!$B$10,Paramètres!$A$1:$I$89,5,0)</f>
        <v>172.40184000000002</v>
      </c>
      <c r="AK19" s="14">
        <f t="shared" si="35"/>
        <v>43.627515825620968</v>
      </c>
      <c r="AL19" s="22">
        <f t="shared" si="4"/>
        <v>376.25112806295652</v>
      </c>
      <c r="AM19" s="62">
        <f t="shared" si="5"/>
        <v>669.58446139628984</v>
      </c>
      <c r="AN19" s="62">
        <f ca="1">AVERAGE(OFFSET($AM$3,0,0,'Données projet'!$E$10+1,1))-AVERAGE(OFFSET($H$3,0,0,'Données projet'!$E$10+1,1))</f>
        <v>142.72679502162805</v>
      </c>
      <c r="AO19" s="62">
        <f t="shared" si="36"/>
        <v>372.84389296423961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0.28199999999999997</v>
      </c>
      <c r="AS19" s="17">
        <f>IF(ISNA(VLOOKUP(A19,'Données projet'!$A$61:$I$81,6,0)),0%,VLOOKUP(A19,'Données projet'!$A$61:$I$81,6,0)*VLOOKUP('Données projet'!$B$10,Paramètres!$A$1:$I$89,7,0))</f>
        <v>0.126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>
        <f>VLOOKUP(A19,'Données projet'!$A$87:$I$107,2,0)</f>
        <v>300</v>
      </c>
      <c r="BB19" s="13">
        <f>VLOOKUP(A19,'Données projet'!$A$87:$I$107,9,0)</f>
        <v>18</v>
      </c>
      <c r="BC19" s="13">
        <f t="array" ref="BC19">INDEX(BB:BB,MIN(IF(ISNUMBER(BB19:BB215),ROW(BB19:BB215),"")))</f>
        <v>18</v>
      </c>
      <c r="BD19" s="13">
        <f>IF('Données projet'!$A$88&gt;35,BD18+BC19-BL18,IF(A19&lt;'Données projet'!$A$88,$BA$205^A19,IF(A19='Données projet'!$A$88,'Données projet'!$B$88,BD18+BC19-BL18)))</f>
        <v>300</v>
      </c>
      <c r="BE19" s="14">
        <f>BD19*VLOOKUP('Données projet'!$B$11,Paramètres!$A$1:$I$89,3,0)*VLOOKUP('Données projet'!$B$11,Paramètres!$A$1:$I$89,5,0)</f>
        <v>152.56800000000001</v>
      </c>
      <c r="BF19" s="14">
        <f t="shared" si="37"/>
        <v>39.161595030150863</v>
      </c>
      <c r="BG19" s="22">
        <f t="shared" si="7"/>
        <v>333.92904467751276</v>
      </c>
      <c r="BH19" s="62">
        <f t="shared" si="8"/>
        <v>627.26237801084608</v>
      </c>
      <c r="BI19" s="62">
        <f ca="1">AVERAGE(OFFSET($BH$3,0,0,'Données projet'!$E$11+1,1))-AVERAGE(OFFSET($H$3,0,0,'Données projet'!$E$11+1,1))</f>
        <v>169.10494041758477</v>
      </c>
      <c r="BJ19" s="62">
        <f t="shared" si="38"/>
        <v>373.38644103117821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0.28199999999999997</v>
      </c>
      <c r="BN19" s="17">
        <f>IF(ISNA(VLOOKUP(A19,'Données projet'!$A$87:$I$107,6,0)),0%,VLOOKUP(A19,'Données projet'!$A$87:$I$107,6,0)*VLOOKUP('Données projet'!$B$11,Paramètres!$A$1:$I$89,7,0))</f>
        <v>0.126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>
        <f>VLOOKUP(A19,'Données projet'!$A$113:$I$133,2,0)</f>
        <v>339</v>
      </c>
      <c r="BW19" s="13">
        <f>VLOOKUP(A19,'Données projet'!$A$113:$I$133,9,0)</f>
        <v>20</v>
      </c>
      <c r="BX19" s="13">
        <f t="array" ref="BX19">INDEX(BW:BW,MIN(IF(ISNUMBER(BW19:BW215),ROW(BW19:BW215),"")))</f>
        <v>20</v>
      </c>
      <c r="BY19" s="13">
        <f>IF('Données projet'!$A$114&gt;35,BY18+BX19-CG18,IF(A19&lt;'Données projet'!$A$114,$BV$205^A19,IF(A19='Données projet'!$A$114,'Données projet'!$B$114,BY18+BX19-CG18)))</f>
        <v>339</v>
      </c>
      <c r="BZ19" s="14">
        <f>BY19*VLOOKUP('Données projet'!$B$12,Paramètres!$A$1:$I$89,3,0)*VLOOKUP('Données projet'!$B$12,Paramètres!$A$1:$I$89,5,0)</f>
        <v>172.40184000000002</v>
      </c>
      <c r="CA19" s="14">
        <f t="shared" si="39"/>
        <v>43.627515825620968</v>
      </c>
      <c r="CB19" s="22">
        <f t="shared" si="10"/>
        <v>376.25112806295652</v>
      </c>
      <c r="CC19" s="62">
        <f t="shared" si="11"/>
        <v>669.58446139628984</v>
      </c>
      <c r="CD19" s="62">
        <f ca="1">AVERAGE(OFFSET($CC$3,0,0,'Données projet'!$E$12+1,1))-AVERAGE(OFFSET($H$3,0,0,'Données projet'!$E$12+1,1))</f>
        <v>142.72679502162805</v>
      </c>
      <c r="CE19" s="62">
        <f t="shared" si="40"/>
        <v>372.84389296423961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0.28199999999999997</v>
      </c>
      <c r="CI19" s="17">
        <f>IF(ISNA(VLOOKUP(A19,'Données projet'!$A$113:$I$133,6,0)),0%,VLOOKUP(A19,'Données projet'!$A$113:$I$133,6,0)*VLOOKUP('Données projet'!$B$12,Paramètres!$A$1:$I$89,7,0))</f>
        <v>0.126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11.138400000000001</v>
      </c>
      <c r="D20" s="12">
        <f t="shared" si="32"/>
        <v>3.8772579925456743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115.91034239859819</v>
      </c>
      <c r="H20" s="70">
        <f t="shared" si="1"/>
        <v>319.48560433701704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397</v>
      </c>
      <c r="L20" s="13">
        <f>VLOOKUP(A20,'Données projet'!$A$35:$I$55,9,0)</f>
        <v>34</v>
      </c>
      <c r="M20" s="13">
        <f t="array" ref="M20">INDEX(L:L,MIN(IF(ISNUMBER(L20:L216),ROW(L20:L216),"")))</f>
        <v>34</v>
      </c>
      <c r="N20" s="14">
        <f>IF('Données projet'!$A$36&gt;35,N19+M20-V19,IF(A20&lt;'Données projet'!$A$36,$K$205^A20,IF(A20='Données projet'!$A$36,'Données projet'!$B$36,N19+M20-V19)))</f>
        <v>397</v>
      </c>
      <c r="O20" s="14">
        <f>N20*VLOOKUP('Données projet'!$B$9,Paramètres!$A$1:$I$89,3,0)*VLOOKUP('Données projet'!$B$9,Paramètres!$A$1:$I$89,5,0)</f>
        <v>201.89832000000001</v>
      </c>
      <c r="P20" s="14">
        <f t="shared" si="33"/>
        <v>50.161131352706278</v>
      </c>
      <c r="Q20" s="22">
        <f t="shared" si="2"/>
        <v>439.00354443929672</v>
      </c>
      <c r="R20" s="62">
        <f t="shared" si="0"/>
        <v>732.33687777263003</v>
      </c>
      <c r="S20" s="62">
        <f ca="1">AVERAGE(OFFSET($R$3,0,0,'Données projet'!$E$9+1,1))-AVERAGE(OFFSET($H$3,0,0,'Données projet'!$E$9+1,1))</f>
        <v>133.56954582136541</v>
      </c>
      <c r="T20" s="62">
        <f t="shared" si="34"/>
        <v>412.851273435613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397</v>
      </c>
      <c r="W20" s="17">
        <f>IF(ISNA(VLOOKUP(A20,'Données projet'!$A$35:$I$55,5,0)),0%,VLOOKUP(A20,'Données projet'!$A$35:$I$55,5,0)*VLOOKUP('Données projet'!$B$9,Paramètres!$A$1:$I$89,7,0))</f>
        <v>0.28199999999999997</v>
      </c>
      <c r="X20" s="17">
        <f>IF(ISNA(VLOOKUP(A20,'Données projet'!$A$35:$I$55,6,0)),0%,VLOOKUP(A20,'Données projet'!$A$35:$I$55,6,0)*VLOOKUP('Données projet'!$B$9,Paramètres!$A$1:$I$89,7,0))</f>
        <v>0.126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62.940316707365135</v>
      </c>
      <c r="AA20" s="23">
        <f>EXP(-LN(2)/25)*AA19+(1-EXP(-LN(2)/25))/(LN(2)/25)*Calculateur!V20*Calculateur!X20*VLOOKUP('Données projet'!$B$9,Paramètres!$A$1:$I$89,3,0)*0.475*44/12</f>
        <v>28.011541077985015</v>
      </c>
      <c r="AB20" s="23">
        <f>EXP(-LN(2)/2)*AB19+(1-EXP(-LN(2)/2))/(LN(2)/2)*V20*Y20*VLOOKUP('Données projet'!$B$9,Paramètres!$A$1:$I$89,3,0)*0.475*44/12</f>
        <v>0</v>
      </c>
      <c r="AC20" s="24">
        <f t="shared" si="3"/>
        <v>90.951857785350143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360</v>
      </c>
      <c r="AG20" s="13">
        <f>VLOOKUP(A20,'Données projet'!$A$61:$I$81,9,0)</f>
        <v>21</v>
      </c>
      <c r="AH20" s="13">
        <f t="array" ref="AH20">INDEX(AG:AG,MIN(IF(ISNUMBER(AG20:AG216),ROW(AG20:AG216),"")))</f>
        <v>21</v>
      </c>
      <c r="AI20" s="14">
        <f>IF('Données projet'!$A$62&gt;35,AI19+AH20-AQ19,IF(A20&lt;'Données projet'!$A$62,$AF$205^A20,IF(A20='Données projet'!$A$62,'Données projet'!$B$62,AI19+AH20-AQ19)))</f>
        <v>360</v>
      </c>
      <c r="AJ20" s="14">
        <f>AI20*VLOOKUP('Données projet'!$B$10,Paramètres!$A$1:$I$89,3,0)*VLOOKUP('Données projet'!$B$10,Paramètres!$A$1:$I$89,5,0)</f>
        <v>183.08160000000001</v>
      </c>
      <c r="AK20" s="14">
        <f t="shared" si="35"/>
        <v>46.007106584453638</v>
      </c>
      <c r="AL20" s="22">
        <f t="shared" si="4"/>
        <v>398.99616396792339</v>
      </c>
      <c r="AM20" s="62">
        <f t="shared" si="5"/>
        <v>692.32949730125665</v>
      </c>
      <c r="AN20" s="62">
        <f ca="1">AVERAGE(OFFSET($AM$3,0,0,'Données projet'!$E$10+1,1))-AVERAGE(OFFSET($H$3,0,0,'Données projet'!$E$10+1,1))</f>
        <v>142.72679502162805</v>
      </c>
      <c r="AO20" s="62">
        <f t="shared" si="36"/>
        <v>372.84389296423961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360</v>
      </c>
      <c r="AR20" s="17">
        <f>IF(ISNA(VLOOKUP(A20,'Données projet'!$A$61:$I$81,5,0)),0%,VLOOKUP(A20,'Données projet'!$A$61:$I$81,5,0)*VLOOKUP('Données projet'!$B$10,Paramètres!$A$1:$I$89,7,0))</f>
        <v>0.28199999999999997</v>
      </c>
      <c r="AS20" s="17">
        <f>IF(ISNA(VLOOKUP(A20,'Données projet'!$A$61:$I$81,6,0)),0%,VLOOKUP(A20,'Données projet'!$A$61:$I$81,6,0)*VLOOKUP('Données projet'!$B$10,Paramètres!$A$1:$I$89,7,0))</f>
        <v>0.126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57.074342606174923</v>
      </c>
      <c r="AV20" s="23">
        <f>EXP(-LN(2)/25)*AV19+(1-EXP(-LN(2)/25))/(LN(2)/25)*Calculateur!AQ20*Calculateur!AS20*VLOOKUP('Données projet'!$B$10,Paramètres!$A$1:$I$89,3,0)*0.475*44/12</f>
        <v>25.400893672732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82.47523627890692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>
        <f>VLOOKUP(A20,'Données projet'!$A$87:$I$107,2,0)</f>
        <v>319</v>
      </c>
      <c r="BB20" s="13">
        <f>VLOOKUP(A20,'Données projet'!$A$87:$I$107,9,0)</f>
        <v>19</v>
      </c>
      <c r="BC20" s="13">
        <f t="array" ref="BC20">INDEX(BB:BB,MIN(IF(ISNUMBER(BB20:BB216),ROW(BB20:BB216),"")))</f>
        <v>19</v>
      </c>
      <c r="BD20" s="13">
        <f>IF('Données projet'!$A$88&gt;35,BD19+BC20-BL19,IF(A20&lt;'Données projet'!$A$88,$BA$205^A20,IF(A20='Données projet'!$A$88,'Données projet'!$B$88,BD19+BC20-BL19)))</f>
        <v>319</v>
      </c>
      <c r="BE20" s="14">
        <f>BD20*VLOOKUP('Données projet'!$B$11,Paramètres!$A$1:$I$89,3,0)*VLOOKUP('Données projet'!$B$11,Paramètres!$A$1:$I$89,5,0)</f>
        <v>162.23063999999999</v>
      </c>
      <c r="BF20" s="14">
        <f t="shared" si="37"/>
        <v>41.34523635268306</v>
      </c>
      <c r="BG20" s="22">
        <f t="shared" si="7"/>
        <v>354.56131798092298</v>
      </c>
      <c r="BH20" s="62">
        <f t="shared" si="8"/>
        <v>647.89465131425629</v>
      </c>
      <c r="BI20" s="62">
        <f ca="1">AVERAGE(OFFSET($BH$3,0,0,'Données projet'!$E$11+1,1))-AVERAGE(OFFSET($H$3,0,0,'Données projet'!$E$11+1,1))</f>
        <v>169.10494041758477</v>
      </c>
      <c r="BJ20" s="62">
        <f t="shared" si="38"/>
        <v>373.38644103117821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0.28199999999999997</v>
      </c>
      <c r="BN20" s="17">
        <f>IF(ISNA(VLOOKUP(A20,'Données projet'!$A$87:$I$107,6,0)),0%,VLOOKUP(A20,'Données projet'!$A$87:$I$107,6,0)*VLOOKUP('Données projet'!$B$11,Paramètres!$A$1:$I$89,7,0))</f>
        <v>0.126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>
        <f>VLOOKUP(A20,'Données projet'!$A$113:$I$133,2,0)</f>
        <v>360</v>
      </c>
      <c r="BW20" s="13">
        <f>VLOOKUP(A20,'Données projet'!$A$113:$I$133,9,0)</f>
        <v>21</v>
      </c>
      <c r="BX20" s="13">
        <f t="array" ref="BX20">INDEX(BW:BW,MIN(IF(ISNUMBER(BW20:BW216),ROW(BW20:BW216),"")))</f>
        <v>21</v>
      </c>
      <c r="BY20" s="13">
        <f>IF('Données projet'!$A$114&gt;35,BY19+BX20-CG19,IF(A20&lt;'Données projet'!$A$114,$BV$205^A20,IF(A20='Données projet'!$A$114,'Données projet'!$B$114,BY19+BX20-CG19)))</f>
        <v>360</v>
      </c>
      <c r="BZ20" s="14">
        <f>BY20*VLOOKUP('Données projet'!$B$12,Paramètres!$A$1:$I$89,3,0)*VLOOKUP('Données projet'!$B$12,Paramètres!$A$1:$I$89,5,0)</f>
        <v>183.08160000000001</v>
      </c>
      <c r="CA20" s="14">
        <f t="shared" si="39"/>
        <v>46.007106584453638</v>
      </c>
      <c r="CB20" s="22">
        <f t="shared" si="10"/>
        <v>398.99616396792339</v>
      </c>
      <c r="CC20" s="62">
        <f t="shared" si="11"/>
        <v>692.32949730125665</v>
      </c>
      <c r="CD20" s="62">
        <f ca="1">AVERAGE(OFFSET($CC$3,0,0,'Données projet'!$E$12+1,1))-AVERAGE(OFFSET($H$3,0,0,'Données projet'!$E$12+1,1))</f>
        <v>142.72679502162805</v>
      </c>
      <c r="CE20" s="62">
        <f t="shared" si="40"/>
        <v>372.84389296423961</v>
      </c>
      <c r="CF20" s="16">
        <f>IF(ISNA(VLOOKUP(A20,'Données projet'!$A$113:$I$133,3,0)),0,VLOOKUP(A20,'Données projet'!$A$113:$I$133,3,0))</f>
        <v>1</v>
      </c>
      <c r="CG20" s="16">
        <f>IF(ISNA(VLOOKUP(A20,'Données projet'!$A$113:$I$133,4,0)),0,VLOOKUP(A20,'Données projet'!$A$113:$I$133,4,0))</f>
        <v>360</v>
      </c>
      <c r="CH20" s="17">
        <f>IF(ISNA(VLOOKUP(A20,'Données projet'!$A$113:$I$133,5,0)),0%,VLOOKUP(A20,'Données projet'!$A$113:$I$133,5,0)*VLOOKUP('Données projet'!$B$12,Paramètres!$A$1:$I$89,7,0))</f>
        <v>0.28199999999999997</v>
      </c>
      <c r="CI20" s="17">
        <f>IF(ISNA(VLOOKUP(A20,'Données projet'!$A$113:$I$133,6,0)),0%,VLOOKUP(A20,'Données projet'!$A$113:$I$133,6,0)*VLOOKUP('Données projet'!$B$12,Paramètres!$A$1:$I$89,7,0))</f>
        <v>0.126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57.074342606174923</v>
      </c>
      <c r="CL20" s="23">
        <f>EXP(-LN(2)/25)*CL19+(1-EXP(-LN(2)/25))/(LN(2)/25)*Calculateur!CG20*Calculateur!CI20*VLOOKUP('Données projet'!$B$12,Paramètres!$A$1:$I$89,3,0)*0.475*44/12</f>
        <v>25.400893672732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82.47523627890692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11.793600000000001</v>
      </c>
      <c r="D21" s="12">
        <f t="shared" si="32"/>
        <v>4.0781088969710382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122.51845464328522</v>
      </c>
      <c r="H21" s="70">
        <f t="shared" si="1"/>
        <v>320.97655966222453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133.56954582136541</v>
      </c>
      <c r="T21" s="62">
        <f t="shared" si="34"/>
        <v>412.851273435613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61.706095486536221</v>
      </c>
      <c r="AA21" s="23">
        <f>EXP(-LN(2)/25)*AA20+(1-EXP(-LN(2)/25))/(LN(2)/25)*Calculateur!V21*Calculateur!X21*VLOOKUP('Données projet'!$B$9,Paramètres!$A$1:$I$89,3,0)*0.475*44/12</f>
        <v>27.245564014144591</v>
      </c>
      <c r="AB21" s="23">
        <f>EXP(-LN(2)/2)*AB20+(1-EXP(-LN(2)/2))/(LN(2)/2)*V21*Y21*VLOOKUP('Données projet'!$B$9,Paramètres!$A$1:$I$89,3,0)*0.475*44/12</f>
        <v>0</v>
      </c>
      <c r="AC21" s="24">
        <f t="shared" si="3"/>
        <v>88.951659500680819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142.72679502162805</v>
      </c>
      <c r="AO21" s="62">
        <f t="shared" si="36"/>
        <v>372.84389296423961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55.955149559579432</v>
      </c>
      <c r="AV21" s="23">
        <f>EXP(-LN(2)/25)*AV20+(1-EXP(-LN(2)/25))/(LN(2)/25)*Calculateur!AQ21*Calculateur!AS21*VLOOKUP('Données projet'!$B$10,Paramètres!$A$1:$I$89,3,0)*0.475*44/12</f>
        <v>24.706304899476201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80.661454459055633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332</v>
      </c>
      <c r="BB21" s="13">
        <f>VLOOKUP(A21,'Données projet'!$A$87:$I$107,9,0)</f>
        <v>13</v>
      </c>
      <c r="BC21" s="13">
        <f t="array" ref="BC21">INDEX(BB:BB,MIN(IF(ISNUMBER(BB21:BB217),ROW(BB21:BB217),"")))</f>
        <v>13</v>
      </c>
      <c r="BD21" s="13">
        <f>IF('Données projet'!$A$88&gt;35,BD20+BC21-BL20,IF(A21&lt;'Données projet'!$A$88,$BA$205^A21,IF(A21='Données projet'!$A$88,'Données projet'!$B$88,BD20+BC21-BL20)))</f>
        <v>332</v>
      </c>
      <c r="BE21" s="14">
        <f>BD21*VLOOKUP('Données projet'!$B$11,Paramètres!$A$1:$I$89,3,0)*VLOOKUP('Données projet'!$B$11,Paramètres!$A$1:$I$89,5,0)</f>
        <v>168.84192000000002</v>
      </c>
      <c r="BF21" s="14">
        <f t="shared" si="37"/>
        <v>42.830549094439661</v>
      </c>
      <c r="BG21" s="22">
        <f t="shared" si="7"/>
        <v>368.66288367281578</v>
      </c>
      <c r="BH21" s="62">
        <f t="shared" si="8"/>
        <v>661.9962170061491</v>
      </c>
      <c r="BI21" s="62">
        <f ca="1">AVERAGE(OFFSET($BH$3,0,0,'Données projet'!$E$11+1,1))-AVERAGE(OFFSET($H$3,0,0,'Données projet'!$E$11+1,1))</f>
        <v>169.10494041758477</v>
      </c>
      <c r="BJ21" s="62">
        <f t="shared" si="38"/>
        <v>373.38644103117821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0.28199999999999997</v>
      </c>
      <c r="BN21" s="17">
        <f>IF(ISNA(VLOOKUP(A21,'Données projet'!$A$87:$I$107,6,0)),0%,VLOOKUP(A21,'Données projet'!$A$87:$I$107,6,0)*VLOOKUP('Données projet'!$B$11,Paramètres!$A$1:$I$89,7,0))</f>
        <v>0.126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>
        <f>BY21*VLOOKUP('Données projet'!$B$12,Paramètres!$A$1:$I$89,3,0)*VLOOKUP('Données projet'!$B$12,Paramètres!$A$1:$I$89,5,0)</f>
        <v>0</v>
      </c>
      <c r="CA21" s="14" t="e">
        <f t="shared" si="39"/>
        <v>#NUM!</v>
      </c>
      <c r="CB21" s="22" t="e">
        <f t="shared" si="10"/>
        <v>#NUM!</v>
      </c>
      <c r="CC21" s="62" t="e">
        <f t="shared" si="11"/>
        <v>#NUM!</v>
      </c>
      <c r="CD21" s="62">
        <f ca="1">AVERAGE(OFFSET($CC$3,0,0,'Données projet'!$E$12+1,1))-AVERAGE(OFFSET($H$3,0,0,'Données projet'!$E$12+1,1))</f>
        <v>142.72679502162805</v>
      </c>
      <c r="CE21" s="62">
        <f t="shared" si="40"/>
        <v>372.84389296423961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55.955149559579432</v>
      </c>
      <c r="CL21" s="23">
        <f>EXP(-LN(2)/25)*CL20+(1-EXP(-LN(2)/25))/(LN(2)/25)*Calculateur!CG21*Calculateur!CI21*VLOOKUP('Données projet'!$B$12,Paramètres!$A$1:$I$89,3,0)*0.475*44/12</f>
        <v>24.706304899476201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80.661454459055633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22" s="12">
        <f t="shared" si="32"/>
        <v>4.2776644527179633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129.11656770519133</v>
      </c>
      <c r="H22" s="70">
        <f t="shared" si="1"/>
        <v>322.46525892181711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133.56954582136541</v>
      </c>
      <c r="T22" s="62">
        <f t="shared" si="34"/>
        <v>412.851273435613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60.496076591047149</v>
      </c>
      <c r="AA22" s="23">
        <f>EXP(-LN(2)/25)*AA21+(1-EXP(-LN(2)/25))/(LN(2)/25)*Calculateur!V22*Calculateur!X22*VLOOKUP('Données projet'!$B$9,Paramètres!$A$1:$I$89,3,0)*0.475*44/12</f>
        <v>26.500532633395867</v>
      </c>
      <c r="AB22" s="23">
        <f>EXP(-LN(2)/2)*AB21+(1-EXP(-LN(2)/2))/(LN(2)/2)*V22*Y22*VLOOKUP('Données projet'!$B$9,Paramètres!$A$1:$I$89,3,0)*0.475*44/12</f>
        <v>0</v>
      </c>
      <c r="AC22" s="24">
        <f t="shared" si="3"/>
        <v>86.99660922444302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142.72679502162805</v>
      </c>
      <c r="AO22" s="62">
        <f t="shared" si="36"/>
        <v>372.84389296423961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54.857903205987327</v>
      </c>
      <c r="AV22" s="23">
        <f>EXP(-LN(2)/25)*AV21+(1-EXP(-LN(2)/25))/(LN(2)/25)*Calculateur!AQ22*Calculateur!AS22*VLOOKUP('Données projet'!$B$10,Paramètres!$A$1:$I$89,3,0)*0.475*44/12</f>
        <v>24.030709692751916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78.88861289873924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345</v>
      </c>
      <c r="BB22" s="13">
        <f>VLOOKUP(A22,'Données projet'!$A$87:$I$107,9,0)</f>
        <v>13</v>
      </c>
      <c r="BC22" s="13">
        <f t="array" ref="BC22">INDEX(BB:BB,MIN(IF(ISNUMBER(BB22:BB218),ROW(BB22:BB218),"")))</f>
        <v>13</v>
      </c>
      <c r="BD22" s="13">
        <f>IF('Données projet'!$A$88&gt;35,BD21+BC22-BL21,IF(A22&lt;'Données projet'!$A$88,$BA$205^A22,IF(A22='Données projet'!$A$88,'Données projet'!$B$88,BD21+BC22-BL21)))</f>
        <v>345</v>
      </c>
      <c r="BE22" s="14">
        <f>BD22*VLOOKUP('Données projet'!$B$11,Paramètres!$A$1:$I$89,3,0)*VLOOKUP('Données projet'!$B$11,Paramètres!$A$1:$I$89,5,0)</f>
        <v>175.45320000000001</v>
      </c>
      <c r="BF22" s="14">
        <f t="shared" si="37"/>
        <v>44.309105612169866</v>
      </c>
      <c r="BG22" s="22">
        <f t="shared" si="7"/>
        <v>382.75268227452921</v>
      </c>
      <c r="BH22" s="62">
        <f t="shared" si="8"/>
        <v>676.08601560786246</v>
      </c>
      <c r="BI22" s="62">
        <f ca="1">AVERAGE(OFFSET($BH$3,0,0,'Données projet'!$E$11+1,1))-AVERAGE(OFFSET($H$3,0,0,'Données projet'!$E$11+1,1))</f>
        <v>169.10494041758477</v>
      </c>
      <c r="BJ22" s="62">
        <f t="shared" si="38"/>
        <v>373.38644103117821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0.28199999999999997</v>
      </c>
      <c r="BN22" s="17">
        <f>IF(ISNA(VLOOKUP(A22,'Données projet'!$A$87:$I$107,6,0)),0%,VLOOKUP(A22,'Données projet'!$A$87:$I$107,6,0)*VLOOKUP('Données projet'!$B$11,Paramètres!$A$1:$I$89,7,0))</f>
        <v>0.126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>
        <f>BY22*VLOOKUP('Données projet'!$B$12,Paramètres!$A$1:$I$89,3,0)*VLOOKUP('Données projet'!$B$12,Paramètres!$A$1:$I$89,5,0)</f>
        <v>0</v>
      </c>
      <c r="CA22" s="14" t="e">
        <f t="shared" si="39"/>
        <v>#NUM!</v>
      </c>
      <c r="CB22" s="22" t="e">
        <f t="shared" si="10"/>
        <v>#NUM!</v>
      </c>
      <c r="CC22" s="62" t="e">
        <f t="shared" si="11"/>
        <v>#NUM!</v>
      </c>
      <c r="CD22" s="62">
        <f ca="1">AVERAGE(OFFSET($CC$3,0,0,'Données projet'!$E$12+1,1))-AVERAGE(OFFSET($H$3,0,0,'Données projet'!$E$12+1,1))</f>
        <v>142.72679502162805</v>
      </c>
      <c r="CE22" s="62">
        <f t="shared" si="40"/>
        <v>372.84389296423961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54.857903205987327</v>
      </c>
      <c r="CL22" s="23">
        <f>EXP(-LN(2)/25)*CL21+(1-EXP(-LN(2)/25))/(LN(2)/25)*Calculateur!CG22*Calculateur!CI22*VLOOKUP('Données projet'!$B$12,Paramètres!$A$1:$I$89,3,0)*0.475*44/12</f>
        <v>24.030709692751916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78.88861289873924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13.104000000000003</v>
      </c>
      <c r="D23" s="12">
        <f t="shared" si="32"/>
        <v>4.4760006109979793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135.70526787437038</v>
      </c>
      <c r="H23" s="70">
        <f t="shared" si="1"/>
        <v>323.95183439748814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133.56954582136541</v>
      </c>
      <c r="T23" s="62">
        <f t="shared" si="34"/>
        <v>412.851273435613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59.309785428059968</v>
      </c>
      <c r="AA23" s="23">
        <f>EXP(-LN(2)/25)*AA22+(1-EXP(-LN(2)/25))/(LN(2)/25)*Calculateur!V23*Calculateur!X23*VLOOKUP('Données projet'!$B$9,Paramètres!$A$1:$I$89,3,0)*0.475*44/12</f>
        <v>25.775874174933215</v>
      </c>
      <c r="AB23" s="23">
        <f>EXP(-LN(2)/2)*AB22+(1-EXP(-LN(2)/2))/(LN(2)/2)*V23*Y23*VLOOKUP('Données projet'!$B$9,Paramètres!$A$1:$I$89,3,0)*0.475*44/12</f>
        <v>0</v>
      </c>
      <c r="AC23" s="24">
        <f t="shared" si="3"/>
        <v>85.085659602993189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142.72679502162805</v>
      </c>
      <c r="AO23" s="62">
        <f t="shared" si="36"/>
        <v>372.84389296423961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53.782173184134969</v>
      </c>
      <c r="AV23" s="23">
        <f>EXP(-LN(2)/25)*AV22+(1-EXP(-LN(2)/25))/(LN(2)/25)*Calculateur!AQ23*Calculateur!AS23*VLOOKUP('Données projet'!$B$10,Paramètres!$A$1:$I$89,3,0)*0.475*44/12</f>
        <v>23.373588672483514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77.155761856618483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355</v>
      </c>
      <c r="BB23" s="13">
        <f>VLOOKUP(A23,'Données projet'!$A$87:$I$107,9,0)</f>
        <v>10</v>
      </c>
      <c r="BC23" s="13">
        <f t="array" ref="BC23">INDEX(BB:BB,MIN(IF(ISNUMBER(BB23:BB219),ROW(BB23:BB219),"")))</f>
        <v>10</v>
      </c>
      <c r="BD23" s="13">
        <f>IF('Données projet'!$A$88&gt;35,BD22+BC23-BL22,IF(A23&lt;'Données projet'!$A$88,$BA$205^A23,IF(A23='Données projet'!$A$88,'Données projet'!$B$88,BD22+BC23-BL22)))</f>
        <v>355</v>
      </c>
      <c r="BE23" s="14">
        <f>BD23*VLOOKUP('Données projet'!$B$11,Paramètres!$A$1:$I$89,3,0)*VLOOKUP('Données projet'!$B$11,Paramètres!$A$1:$I$89,5,0)</f>
        <v>180.53880000000001</v>
      </c>
      <c r="BF23" s="14">
        <f t="shared" si="37"/>
        <v>45.442038379660772</v>
      </c>
      <c r="BG23" s="22">
        <f t="shared" si="7"/>
        <v>393.58329351124252</v>
      </c>
      <c r="BH23" s="62">
        <f t="shared" si="8"/>
        <v>686.91662684457583</v>
      </c>
      <c r="BI23" s="62">
        <f ca="1">AVERAGE(OFFSET($BH$3,0,0,'Données projet'!$E$11+1,1))-AVERAGE(OFFSET($H$3,0,0,'Données projet'!$E$11+1,1))</f>
        <v>169.10494041758477</v>
      </c>
      <c r="BJ23" s="62">
        <f t="shared" si="38"/>
        <v>373.38644103117821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0.28199999999999997</v>
      </c>
      <c r="BN23" s="17">
        <f>IF(ISNA(VLOOKUP(A23,'Données projet'!$A$87:$I$107,6,0)),0%,VLOOKUP(A23,'Données projet'!$A$87:$I$107,6,0)*VLOOKUP('Données projet'!$B$11,Paramètres!$A$1:$I$89,7,0))</f>
        <v>0.126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>
        <f>BY23*VLOOKUP('Données projet'!$B$12,Paramètres!$A$1:$I$89,3,0)*VLOOKUP('Données projet'!$B$12,Paramètres!$A$1:$I$89,5,0)</f>
        <v>0</v>
      </c>
      <c r="CA23" s="14" t="e">
        <f t="shared" si="39"/>
        <v>#NUM!</v>
      </c>
      <c r="CB23" s="22" t="e">
        <f t="shared" si="10"/>
        <v>#NUM!</v>
      </c>
      <c r="CC23" s="62" t="e">
        <f t="shared" si="11"/>
        <v>#NUM!</v>
      </c>
      <c r="CD23" s="62">
        <f ca="1">AVERAGE(OFFSET($CC$3,0,0,'Données projet'!$E$12+1,1))-AVERAGE(OFFSET($H$3,0,0,'Données projet'!$E$12+1,1))</f>
        <v>142.72679502162805</v>
      </c>
      <c r="CE23" s="62">
        <f t="shared" si="40"/>
        <v>372.84389296423961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53.782173184134969</v>
      </c>
      <c r="CL23" s="23">
        <f>EXP(-LN(2)/25)*CL22+(1-EXP(-LN(2)/25))/(LN(2)/25)*Calculateur!CG23*Calculateur!CI23*VLOOKUP('Données projet'!$B$12,Paramètres!$A$1:$I$89,3,0)*0.475*44/12</f>
        <v>23.373588672483514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77.155761856618483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13.759200000000003</v>
      </c>
      <c r="D24" s="12">
        <f t="shared" si="32"/>
        <v>4.6731852988569083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142.28507949994807</v>
      </c>
      <c r="H24" s="70">
        <f t="shared" si="1"/>
        <v>325.4364043955091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133.56954582136541</v>
      </c>
      <c r="T24" s="62">
        <f t="shared" si="34"/>
        <v>412.851273435613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58.146756711212802</v>
      </c>
      <c r="AA24" s="23">
        <f>EXP(-LN(2)/25)*AA23+(1-EXP(-LN(2)/25))/(LN(2)/25)*Calculateur!V24*Calculateur!X24*VLOOKUP('Données projet'!$B$9,Paramètres!$A$1:$I$89,3,0)*0.475*44/12</f>
        <v>25.071031540125354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83.217788251338163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142.72679502162805</v>
      </c>
      <c r="AO24" s="62">
        <f t="shared" si="36"/>
        <v>372.84389296423961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52.72753757188061</v>
      </c>
      <c r="AV24" s="23">
        <f>EXP(-LN(2)/25)*AV23+(1-EXP(-LN(2)/25))/(LN(2)/25)*Calculateur!AQ24*Calculateur!AS24*VLOOKUP('Données projet'!$B$10,Paramètres!$A$1:$I$89,3,0)*0.475*44/12</f>
        <v>22.734436661070845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75.461974232951462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>
        <f>VLOOKUP(A24,'Données projet'!$A$87:$I$107,2,0)</f>
        <v>366</v>
      </c>
      <c r="BB24" s="13">
        <f>VLOOKUP(A24,'Données projet'!$A$87:$I$107,9,0)</f>
        <v>11</v>
      </c>
      <c r="BC24" s="13">
        <f t="array" ref="BC24">INDEX(BB:BB,MIN(IF(ISNUMBER(BB24:BB220),ROW(BB24:BB220),"")))</f>
        <v>11</v>
      </c>
      <c r="BD24" s="13">
        <f>IF('Données projet'!$A$88&gt;35,BD23+BC24-BL23,IF(A24&lt;'Données projet'!$A$88,$BA$205^A24,IF(A24='Données projet'!$A$88,'Données projet'!$B$88,BD23+BC24-BL23)))</f>
        <v>366</v>
      </c>
      <c r="BE24" s="14">
        <f>BD24*VLOOKUP('Données projet'!$B$11,Paramètres!$A$1:$I$89,3,0)*VLOOKUP('Données projet'!$B$11,Paramètres!$A$1:$I$89,5,0)</f>
        <v>186.13296</v>
      </c>
      <c r="BF24" s="14">
        <f t="shared" si="37"/>
        <v>46.683984742595676</v>
      </c>
      <c r="BG24" s="22">
        <f t="shared" si="7"/>
        <v>405.48951209335405</v>
      </c>
      <c r="BH24" s="62">
        <f t="shared" si="8"/>
        <v>698.82284542668731</v>
      </c>
      <c r="BI24" s="62">
        <f ca="1">AVERAGE(OFFSET($BH$3,0,0,'Données projet'!$E$11+1,1))-AVERAGE(OFFSET($H$3,0,0,'Données projet'!$E$11+1,1))</f>
        <v>169.10494041758477</v>
      </c>
      <c r="BJ24" s="62">
        <f t="shared" si="38"/>
        <v>373.38644103117821</v>
      </c>
      <c r="BK24" s="16">
        <f>IF(ISNA(VLOOKUP(A24,'Données projet'!$A$87:$I$107,3,0)),0,VLOOKUP(A24,'Données projet'!$A$87:$I$107,3,0))</f>
        <v>1</v>
      </c>
      <c r="BL24" s="16">
        <f>IF(ISNA(VLOOKUP(A24,'Données projet'!$A$87:$I$107,4,0)),0,VLOOKUP(A24,'Données projet'!$A$87:$I$107,4,0))</f>
        <v>366</v>
      </c>
      <c r="BM24" s="17">
        <f>IF(ISNA(VLOOKUP(A24,'Données projet'!$A$87:$I$107,5,0)),0%,VLOOKUP(A24,'Données projet'!$A$87:$I$107,5,0)*VLOOKUP('Données projet'!$B$11,Paramètres!$A$1:$I$89,7,0))</f>
        <v>0.28199999999999997</v>
      </c>
      <c r="BN24" s="17">
        <f>IF(ISNA(VLOOKUP(A24,'Données projet'!$A$87:$I$107,6,0)),0%,VLOOKUP(A24,'Données projet'!$A$87:$I$107,6,0)*VLOOKUP('Données projet'!$B$11,Paramètres!$A$1:$I$89,7,0))</f>
        <v>0.126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58.025581649611183</v>
      </c>
      <c r="BQ24" s="23">
        <f>EXP(-LN(2)/25)*BQ23+(1-EXP(-LN(2)/25))/(LN(2)/25)*Calculateur!BL24*Calculateur!BN24*VLOOKUP('Données projet'!$B$11,Paramètres!$A$1:$I$89,3,0)*0.475*44/12</f>
        <v>25.824241900610872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83.849823550222055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142.72679502162805</v>
      </c>
      <c r="CE24" s="62">
        <f t="shared" si="40"/>
        <v>372.84389296423961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52.72753757188061</v>
      </c>
      <c r="CL24" s="23">
        <f>EXP(-LN(2)/25)*CL23+(1-EXP(-LN(2)/25))/(LN(2)/25)*Calculateur!CG24*Calculateur!CI24*VLOOKUP('Données projet'!$B$12,Paramètres!$A$1:$I$89,3,0)*0.475*44/12</f>
        <v>22.734436661070845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75.461974232951462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14.414400000000004</v>
      </c>
      <c r="D25" s="12">
        <f t="shared" si="32"/>
        <v>4.8692796085494816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148.85647417125918</v>
      </c>
      <c r="H25" s="70">
        <f t="shared" si="1"/>
        <v>326.91907531822369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133.56954582136541</v>
      </c>
      <c r="T25" s="62">
        <f t="shared" si="34"/>
        <v>412.851273435613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57.006534278125535</v>
      </c>
      <c r="AA25" s="23">
        <f>EXP(-LN(2)/25)*AA24+(1-EXP(-LN(2)/25))/(LN(2)/25)*Calculateur!V25*Calculateur!X25*VLOOKUP('Données projet'!$B$9,Paramètres!$A$1:$I$89,3,0)*0.475*44/12</f>
        <v>24.385462864232377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81.391997142357909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142.72679502162805</v>
      </c>
      <c r="AO25" s="62">
        <f t="shared" si="36"/>
        <v>372.84389296423961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51.693582720718354</v>
      </c>
      <c r="AV25" s="23">
        <f>EXP(-LN(2)/25)*AV24+(1-EXP(-LN(2)/25))/(LN(2)/25)*Calculateur!AQ25*Calculateur!AS25*VLOOKUP('Données projet'!$B$10,Paramètres!$A$1:$I$89,3,0)*0.475*44/12</f>
        <v>22.112762295021799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73.806345015740149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169.10494041758477</v>
      </c>
      <c r="BJ25" s="62">
        <f t="shared" si="38"/>
        <v>373.38644103117821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56.887735385572434</v>
      </c>
      <c r="BQ25" s="23">
        <f>EXP(-LN(2)/25)*BQ24+(1-EXP(-LN(2)/25))/(LN(2)/25)*Calculateur!BL25*Calculateur!BN25*VLOOKUP('Données projet'!$B$11,Paramètres!$A$1:$I$89,3,0)*0.475*44/12</f>
        <v>25.118076647800809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82.005812033373246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142.72679502162805</v>
      </c>
      <c r="CE25" s="62">
        <f t="shared" si="40"/>
        <v>372.84389296423961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51.693582720718354</v>
      </c>
      <c r="CL25" s="23">
        <f>EXP(-LN(2)/25)*CL24+(1-EXP(-LN(2)/25))/(LN(2)/25)*Calculateur!CG25*Calculateur!CI25*VLOOKUP('Données projet'!$B$12,Paramètres!$A$1:$I$89,3,0)*0.475*44/12</f>
        <v>22.112762295021799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73.806345015740149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15.069600000000005</v>
      </c>
      <c r="D26" s="12">
        <f t="shared" si="32"/>
        <v>5.0643387645511426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155.41987818250007</v>
      </c>
      <c r="H26" s="70">
        <f t="shared" si="1"/>
        <v>328.39994334825991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133.56954582136541</v>
      </c>
      <c r="T26" s="62">
        <f t="shared" si="34"/>
        <v>412.851273435613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55.888670911484098</v>
      </c>
      <c r="AA26" s="23">
        <f>EXP(-LN(2)/25)*AA25+(1-EXP(-LN(2)/25))/(LN(2)/25)*Calculateur!V26*Calculateur!X26*VLOOKUP('Données projet'!$B$9,Paramètres!$A$1:$I$89,3,0)*0.475*44/12</f>
        <v>23.718641099834183</v>
      </c>
      <c r="AB26" s="23">
        <f>EXP(-LN(2)/2)*AB25+(1-EXP(-LN(2)/2))/(LN(2)/2)*V26*Y26*VLOOKUP('Données projet'!$B$9,Paramètres!$A$1:$I$89,3,0)*0.475*44/12</f>
        <v>0</v>
      </c>
      <c r="AC26" s="24">
        <f t="shared" si="3"/>
        <v>79.607312011318285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142.72679502162805</v>
      </c>
      <c r="AO26" s="62">
        <f t="shared" si="36"/>
        <v>372.84389296423961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50.679903093537199</v>
      </c>
      <c r="AV26" s="23">
        <f>EXP(-LN(2)/25)*AV25+(1-EXP(-LN(2)/25))/(LN(2)/25)*Calculateur!AQ26*Calculateur!AS26*VLOOKUP('Données projet'!$B$10,Paramètres!$A$1:$I$89,3,0)*0.475*44/12</f>
        <v>21.5080876472048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72.187990740741995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169.10494041758477</v>
      </c>
      <c r="BJ26" s="62">
        <f t="shared" si="38"/>
        <v>373.38644103117821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55.772201592753788</v>
      </c>
      <c r="BQ26" s="23">
        <f>EXP(-LN(2)/25)*BQ25+(1-EXP(-LN(2)/25))/(LN(2)/25)*Calculateur!BL26*Calculateur!BN26*VLOOKUP('Données projet'!$B$11,Paramètres!$A$1:$I$89,3,0)*0.475*44/12</f>
        <v>24.431221520964453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80.203423113718245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142.72679502162805</v>
      </c>
      <c r="CE26" s="62">
        <f t="shared" si="40"/>
        <v>372.84389296423961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50.679903093537199</v>
      </c>
      <c r="CL26" s="23">
        <f>EXP(-LN(2)/25)*CL25+(1-EXP(-LN(2)/25))/(LN(2)/25)*Calculateur!CG26*Calculateur!CI26*VLOOKUP('Données projet'!$B$12,Paramètres!$A$1:$I$89,3,0)*0.475*44/12</f>
        <v>21.5080876472048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72.187990740741995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15.724800000000005</v>
      </c>
      <c r="D27" s="12">
        <f t="shared" si="32"/>
        <v>5.2584129176484753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161.97567866254968</v>
      </c>
      <c r="H27" s="70">
        <f t="shared" si="1"/>
        <v>329.87909583157108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133.56954582136541</v>
      </c>
      <c r="T27" s="62">
        <f t="shared" si="34"/>
        <v>412.851273435613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54.792728163633171</v>
      </c>
      <c r="AA27" s="23">
        <f>EXP(-LN(2)/25)*AA26+(1-EXP(-LN(2)/25))/(LN(2)/25)*Calculateur!V27*Calculateur!X27*VLOOKUP('Données projet'!$B$9,Paramètres!$A$1:$I$89,3,0)*0.475*44/12</f>
        <v>23.070053611650092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77.862781775283267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142.72679502162805</v>
      </c>
      <c r="AO27" s="62">
        <f t="shared" si="36"/>
        <v>372.84389296423961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49.686101105561548</v>
      </c>
      <c r="AV27" s="23">
        <f>EXP(-LN(2)/25)*AV26+(1-EXP(-LN(2)/25))/(LN(2)/25)*Calculateur!AQ27*Calculateur!AS27*VLOOKUP('Données projet'!$B$10,Paramètres!$A$1:$I$89,3,0)*0.475*44/12</f>
        <v>20.919947859430813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70.606048964992368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169.10494041758477</v>
      </c>
      <c r="BJ27" s="62">
        <f t="shared" si="38"/>
        <v>373.38644103117821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54.678542737203891</v>
      </c>
      <c r="BQ27" s="23">
        <f>EXP(-LN(2)/25)*BQ26+(1-EXP(-LN(2)/25))/(LN(2)/25)*Calculateur!BL27*Calculateur!BN27*VLOOKUP('Données projet'!$B$11,Paramètres!$A$1:$I$89,3,0)*0.475*44/12</f>
        <v>23.763148483691577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78.441691220895464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142.72679502162805</v>
      </c>
      <c r="CE27" s="62">
        <f t="shared" si="40"/>
        <v>372.84389296423961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49.686101105561548</v>
      </c>
      <c r="CL27" s="23">
        <f>EXP(-LN(2)/25)*CL26+(1-EXP(-LN(2)/25))/(LN(2)/25)*Calculateur!CG27*Calculateur!CI27*VLOOKUP('Données projet'!$B$12,Paramètres!$A$1:$I$89,3,0)*0.475*44/12</f>
        <v>20.919947859430813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70.606048964992368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16.380000000000006</v>
      </c>
      <c r="D28" s="12">
        <f t="shared" si="32"/>
        <v>5.4515478029518851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168.52422865436549</v>
      </c>
      <c r="H28" s="70">
        <f t="shared" si="1"/>
        <v>331.35661242347453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133.56954582136541</v>
      </c>
      <c r="T28" s="62">
        <f t="shared" si="34"/>
        <v>412.851273435613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53.718276184608527</v>
      </c>
      <c r="AA28" s="23">
        <f>EXP(-LN(2)/25)*AA27+(1-EXP(-LN(2)/25))/(LN(2)/25)*Calculateur!V28*Calculateur!X28*VLOOKUP('Données projet'!$B$9,Paramètres!$A$1:$I$89,3,0)*0.475*44/12</f>
        <v>22.439201782438129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76.15747796704666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142.72679502162805</v>
      </c>
      <c r="AO28" s="62">
        <f t="shared" si="36"/>
        <v>372.84389296423961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48.711786968410735</v>
      </c>
      <c r="AV28" s="23">
        <f>EXP(-LN(2)/25)*AV27+(1-EXP(-LN(2)/25))/(LN(2)/25)*Calculateur!AQ28*Calculateur!AS28*VLOOKUP('Données projet'!$B$10,Paramètres!$A$1:$I$89,3,0)*0.475*44/12</f>
        <v>20.347890785082434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69.059677753493162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169.10494041758477</v>
      </c>
      <c r="BJ28" s="62">
        <f t="shared" si="38"/>
        <v>373.38644103117821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53.606329864745291</v>
      </c>
      <c r="BQ28" s="23">
        <f>EXP(-LN(2)/25)*BQ27+(1-EXP(-LN(2)/25))/(LN(2)/25)*Calculateur!BL28*Calculateur!BN28*VLOOKUP('Données projet'!$B$11,Paramètres!$A$1:$I$89,3,0)*0.475*44/12</f>
        <v>23.113343938755364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76.719673803500655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142.72679502162805</v>
      </c>
      <c r="CE28" s="62">
        <f t="shared" si="40"/>
        <v>372.84389296423961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48.711786968410735</v>
      </c>
      <c r="CL28" s="23">
        <f>EXP(-LN(2)/25)*CL27+(1-EXP(-LN(2)/25))/(LN(2)/25)*Calculateur!CG28*Calculateur!CI28*VLOOKUP('Données projet'!$B$12,Paramètres!$A$1:$I$89,3,0)*0.475*44/12</f>
        <v>20.347890785082434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69.059677753493162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17.035200000000007</v>
      </c>
      <c r="D29" s="12">
        <f t="shared" si="32"/>
        <v>5.6437852896626746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175.06585135879962</v>
      </c>
      <c r="H29" s="70">
        <f t="shared" si="1"/>
        <v>332.83256604616247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133.56954582136541</v>
      </c>
      <c r="T29" s="62">
        <f t="shared" si="34"/>
        <v>412.851273435613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52.66489355354156</v>
      </c>
      <c r="AA29" s="23">
        <f>EXP(-LN(2)/25)*AA28+(1-EXP(-LN(2)/25))/(LN(2)/25)*Calculateur!V29*Calculateur!X29*VLOOKUP('Données projet'!$B$9,Paramètres!$A$1:$I$89,3,0)*0.475*44/12</f>
        <v>21.825600629671023</v>
      </c>
      <c r="AB29" s="23">
        <f>EXP(-LN(2)/2)*AB28+(1-EXP(-LN(2)/2))/(LN(2)/2)*V29*Y29*VLOOKUP('Données projet'!$B$9,Paramètres!$A$1:$I$89,3,0)*0.475*44/12</f>
        <v>0</v>
      </c>
      <c r="AC29" s="24">
        <f t="shared" si="3"/>
        <v>74.490494183212576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142.72679502162805</v>
      </c>
      <c r="AO29" s="62">
        <f t="shared" si="36"/>
        <v>372.84389296423961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47.756578537216505</v>
      </c>
      <c r="AV29" s="23">
        <f>EXP(-LN(2)/25)*AV28+(1-EXP(-LN(2)/25))/(LN(2)/25)*Calculateur!AQ29*Calculateur!AS29*VLOOKUP('Données projet'!$B$10,Paramètres!$A$1:$I$89,3,0)*0.475*44/12</f>
        <v>19.791476641515285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67.548055178731786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169.10494041758477</v>
      </c>
      <c r="BJ29" s="62">
        <f t="shared" si="38"/>
        <v>373.38644103117821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52.555142432730328</v>
      </c>
      <c r="BQ29" s="23">
        <f>EXP(-LN(2)/25)*BQ28+(1-EXP(-LN(2)/25))/(LN(2)/25)*Calculateur!BL29*Calculateur!BN29*VLOOKUP('Données projet'!$B$11,Paramètres!$A$1:$I$89,3,0)*0.475*44/12</f>
        <v>22.481308333272167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75.036450766002503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142.72679502162805</v>
      </c>
      <c r="CE29" s="62">
        <f t="shared" si="40"/>
        <v>372.84389296423961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47.756578537216505</v>
      </c>
      <c r="CL29" s="23">
        <f>EXP(-LN(2)/25)*CL28+(1-EXP(-LN(2)/25))/(LN(2)/25)*Calculateur!CG29*Calculateur!CI29*VLOOKUP('Données projet'!$B$12,Paramètres!$A$1:$I$89,3,0)*0.475*44/12</f>
        <v>19.791476641515285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67.548055178731786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17.690400000000007</v>
      </c>
      <c r="D30" s="12">
        <f t="shared" si="32"/>
        <v>5.835163843881614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181.60084370715637</v>
      </c>
      <c r="H30" s="70">
        <f t="shared" si="1"/>
        <v>334.30702369476046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133.56954582136541</v>
      </c>
      <c r="T30" s="62">
        <f t="shared" si="34"/>
        <v>412.851273435613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51.632167113369853</v>
      </c>
      <c r="AA30" s="23">
        <f>EXP(-LN(2)/25)*AA29+(1-EXP(-LN(2)/25))/(LN(2)/25)*Calculateur!V30*Calculateur!X30*VLOOKUP('Données projet'!$B$9,Paramètres!$A$1:$I$89,3,0)*0.475*44/12</f>
        <v>21.228778432694213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72.860945546064073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142.72679502162805</v>
      </c>
      <c r="AO30" s="62">
        <f t="shared" si="36"/>
        <v>372.84389296423961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46.820101160738382</v>
      </c>
      <c r="AV30" s="23">
        <f>EXP(-LN(2)/25)*AV29+(1-EXP(-LN(2)/25))/(LN(2)/25)*Calculateur!AQ30*Calculateur!AS30*VLOOKUP('Données projet'!$B$10,Paramètres!$A$1:$I$89,3,0)*0.475*44/12</f>
        <v>19.250277671964525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66.070378832702914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169.10494041758477</v>
      </c>
      <c r="BJ30" s="62">
        <f t="shared" si="38"/>
        <v>373.38644103117821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51.524568145096154</v>
      </c>
      <c r="BQ30" s="23">
        <f>EXP(-LN(2)/25)*BQ29+(1-EXP(-LN(2)/25))/(LN(2)/25)*Calculateur!BL30*Calculateur!BN30*VLOOKUP('Données projet'!$B$11,Paramètres!$A$1:$I$89,3,0)*0.475*44/12</f>
        <v>21.866555774658217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73.391123919754364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142.72679502162805</v>
      </c>
      <c r="CE30" s="62">
        <f t="shared" si="40"/>
        <v>372.84389296423961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46.820101160738382</v>
      </c>
      <c r="CL30" s="23">
        <f>EXP(-LN(2)/25)*CL29+(1-EXP(-LN(2)/25))/(LN(2)/25)*Calculateur!CG30*Calculateur!CI30*VLOOKUP('Données projet'!$B$12,Paramètres!$A$1:$I$89,3,0)*0.475*44/12</f>
        <v>19.250277671964525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66.070378832702914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18.345600000000008</v>
      </c>
      <c r="D31" s="12">
        <f t="shared" si="32"/>
        <v>6.0257189209257733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188.12947938960255</v>
      </c>
      <c r="H31" s="70">
        <f t="shared" si="1"/>
        <v>335.78004712061238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133.56954582136541</v>
      </c>
      <c r="T31" s="62">
        <f t="shared" si="34"/>
        <v>412.851273435613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50.619691808788986</v>
      </c>
      <c r="AA31" s="23">
        <f>EXP(-LN(2)/25)*AA30+(1-EXP(-LN(2)/25))/(LN(2)/25)*Calculateur!V31*Calculateur!X31*VLOOKUP('Données projet'!$B$9,Paramètres!$A$1:$I$89,3,0)*0.475*44/12</f>
        <v>20.648276370079252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71.267968178868244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142.72679502162805</v>
      </c>
      <c r="AO31" s="62">
        <f t="shared" si="36"/>
        <v>372.84389296423961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45.901987534418197</v>
      </c>
      <c r="AV31" s="23">
        <f>EXP(-LN(2)/25)*AV30+(1-EXP(-LN(2)/25))/(LN(2)/25)*Calculateur!AQ31*Calculateur!AS31*VLOOKUP('Données projet'!$B$10,Paramètres!$A$1:$I$89,3,0)*0.475*44/12</f>
        <v>18.72387781669655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64.625865351114754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169.10494041758477</v>
      </c>
      <c r="BJ31" s="62">
        <f t="shared" si="38"/>
        <v>373.38644103117821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50.514202790654238</v>
      </c>
      <c r="BQ31" s="23">
        <f>EXP(-LN(2)/25)*BQ30+(1-EXP(-LN(2)/25))/(LN(2)/25)*Calculateur!BL31*Calculateur!BN31*VLOOKUP('Données projet'!$B$11,Paramètres!$A$1:$I$89,3,0)*0.475*44/12</f>
        <v>21.268613657087997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71.782816447742235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142.72679502162805</v>
      </c>
      <c r="CE31" s="62">
        <f t="shared" si="40"/>
        <v>372.84389296423961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45.901987534418197</v>
      </c>
      <c r="CL31" s="23">
        <f>EXP(-LN(2)/25)*CL30+(1-EXP(-LN(2)/25))/(LN(2)/25)*Calculateur!CG31*Calculateur!CI31*VLOOKUP('Données projet'!$B$12,Paramètres!$A$1:$I$89,3,0)*0.475*44/12</f>
        <v>18.72387781669655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64.625865351114754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19.000800000000009</v>
      </c>
      <c r="D32" s="12">
        <f t="shared" si="32"/>
        <v>6.2154833000252001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194.65201143879111</v>
      </c>
      <c r="H32" s="70">
        <f t="shared" si="1"/>
        <v>337.25169341421054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133.56954582136541</v>
      </c>
      <c r="T32" s="62">
        <f t="shared" si="34"/>
        <v>412.851273435613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49.627070527381989</v>
      </c>
      <c r="AA32" s="23">
        <f>EXP(-LN(2)/25)*AA31+(1-EXP(-LN(2)/25))/(LN(2)/25)*Calculateur!V32*Calculateur!X32*VLOOKUP('Données projet'!$B$9,Paramètres!$A$1:$I$89,3,0)*0.475*44/12</f>
        <v>20.083648166893774</v>
      </c>
      <c r="AB32" s="23">
        <f>EXP(-LN(2)/2)*AB31+(1-EXP(-LN(2)/2))/(LN(2)/2)*V32*Y32*VLOOKUP('Données projet'!$B$9,Paramètres!$A$1:$I$89,3,0)*0.475*44/12</f>
        <v>0</v>
      </c>
      <c r="AC32" s="24">
        <f t="shared" si="3"/>
        <v>69.710718694275755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142.72679502162805</v>
      </c>
      <c r="AO32" s="62">
        <f t="shared" si="36"/>
        <v>372.84389296423961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45.001877556316131</v>
      </c>
      <c r="AV32" s="23">
        <f>EXP(-LN(2)/25)*AV31+(1-EXP(-LN(2)/25))/(LN(2)/25)*Calculateur!AQ32*Calculateur!AS32*VLOOKUP('Données projet'!$B$10,Paramètres!$A$1:$I$89,3,0)*0.475*44/12</f>
        <v>18.211872393153044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63.213749949469175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169.10494041758477</v>
      </c>
      <c r="BJ32" s="62">
        <f t="shared" si="38"/>
        <v>373.38644103117821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49.523650084550916</v>
      </c>
      <c r="BQ32" s="23">
        <f>EXP(-LN(2)/25)*BQ31+(1-EXP(-LN(2)/25))/(LN(2)/25)*Calculateur!BL32*Calculateur!BN32*VLOOKUP('Données projet'!$B$11,Paramètres!$A$1:$I$89,3,0)*0.475*44/12</f>
        <v>20.687022298167143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70.210672382718059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142.72679502162805</v>
      </c>
      <c r="CE32" s="62">
        <f t="shared" si="40"/>
        <v>372.84389296423961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45.001877556316131</v>
      </c>
      <c r="CL32" s="23">
        <f>EXP(-LN(2)/25)*CL31+(1-EXP(-LN(2)/25))/(LN(2)/25)*Calculateur!CG32*Calculateur!CI32*VLOOKUP('Données projet'!$B$12,Paramètres!$A$1:$I$89,3,0)*0.475*44/12</f>
        <v>18.211872393153044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63.213749949469175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19.656000000000009</v>
      </c>
      <c r="D33" s="12">
        <f t="shared" si="32"/>
        <v>6.4044873715575328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201.16867444711087</v>
      </c>
      <c r="H33" s="70">
        <f t="shared" si="1"/>
        <v>338.72201550546271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133.56954582136541</v>
      </c>
      <c r="T33" s="62">
        <f t="shared" si="34"/>
        <v>412.851273435613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48.653913943864183</v>
      </c>
      <c r="AA33" s="23">
        <f>EXP(-LN(2)/25)*AA32+(1-EXP(-LN(2)/25))/(LN(2)/25)*Calculateur!V33*Calculateur!X33*VLOOKUP('Données projet'!$B$9,Paramètres!$A$1:$I$89,3,0)*0.475*44/12</f>
        <v>19.534459751616907</v>
      </c>
      <c r="AB33" s="23">
        <f>EXP(-LN(2)/2)*AB32+(1-EXP(-LN(2)/2))/(LN(2)/2)*V33*Y33*VLOOKUP('Données projet'!$B$9,Paramètres!$A$1:$I$89,3,0)*0.475*44/12</f>
        <v>0</v>
      </c>
      <c r="AC33" s="24">
        <f t="shared" si="3"/>
        <v>68.18837369548109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142.72679502162805</v>
      </c>
      <c r="AO33" s="62">
        <f t="shared" si="36"/>
        <v>372.84389296423961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44.119418185871773</v>
      </c>
      <c r="AV33" s="23">
        <f>EXP(-LN(2)/25)*AV32+(1-EXP(-LN(2)/25))/(LN(2)/25)*Calculateur!AQ33*Calculateur!AS33*VLOOKUP('Données projet'!$B$10,Paramètres!$A$1:$I$89,3,0)*0.475*44/12</f>
        <v>17.713867784841529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61.833285970713305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169.10494041758477</v>
      </c>
      <c r="BJ33" s="62">
        <f t="shared" si="38"/>
        <v>373.38644103117821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48.552521512836783</v>
      </c>
      <c r="BQ33" s="23">
        <f>EXP(-LN(2)/25)*BQ32+(1-EXP(-LN(2)/25))/(LN(2)/25)*Calculateur!BL33*Calculateur!BN33*VLOOKUP('Données projet'!$B$11,Paramètres!$A$1:$I$89,3,0)*0.475*44/12</f>
        <v>20.121334585540541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68.673856098377328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142.72679502162805</v>
      </c>
      <c r="CE33" s="62">
        <f t="shared" si="40"/>
        <v>372.84389296423961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44.119418185871773</v>
      </c>
      <c r="CL33" s="23">
        <f>EXP(-LN(2)/25)*CL32+(1-EXP(-LN(2)/25))/(LN(2)/25)*Calculateur!CG33*Calculateur!CI33*VLOOKUP('Données projet'!$B$12,Paramètres!$A$1:$I$89,3,0)*0.475*44/12</f>
        <v>17.713867784841529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61.833285970713305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20.31120000000001</v>
      </c>
      <c r="D34" s="12">
        <f t="shared" si="32"/>
        <v>6.5927593849088151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207.67968647999794</v>
      </c>
      <c r="H34" s="70">
        <f t="shared" si="1"/>
        <v>340.19106259538285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133.56954582136541</v>
      </c>
      <c r="T34" s="62">
        <f t="shared" si="34"/>
        <v>412.851273435613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47.699840367382251</v>
      </c>
      <c r="AA34" s="23">
        <f>EXP(-LN(2)/25)*AA33+(1-EXP(-LN(2)/25))/(LN(2)/25)*Calculateur!V34*Calculateur!X34*VLOOKUP('Données projet'!$B$9,Paramètres!$A$1:$I$89,3,0)*0.475*44/12</f>
        <v>19.000288922436351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66.700129289818605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142.72679502162805</v>
      </c>
      <c r="AO34" s="62">
        <f t="shared" si="36"/>
        <v>372.84389296423961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43.254263305434762</v>
      </c>
      <c r="AV34" s="23">
        <f>EXP(-LN(2)/25)*AV33+(1-EXP(-LN(2)/25))/(LN(2)/25)*Calculateur!AQ34*Calculateur!AS34*VLOOKUP('Données projet'!$B$10,Paramètres!$A$1:$I$89,3,0)*0.475*44/12</f>
        <v>17.229481138733217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60.483744444167982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169.10494041758477</v>
      </c>
      <c r="BJ34" s="62">
        <f t="shared" si="38"/>
        <v>373.38644103117821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47.600436180084024</v>
      </c>
      <c r="BQ34" s="23">
        <f>EXP(-LN(2)/25)*BQ33+(1-EXP(-LN(2)/25))/(LN(2)/25)*Calculateur!BL34*Calculateur!BN34*VLOOKUP('Données projet'!$B$11,Paramètres!$A$1:$I$89,3,0)*0.475*44/12</f>
        <v>19.571115633163938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67.171551813247959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142.72679502162805</v>
      </c>
      <c r="CE34" s="62">
        <f t="shared" si="40"/>
        <v>372.84389296423961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43.254263305434762</v>
      </c>
      <c r="CL34" s="23">
        <f>EXP(-LN(2)/25)*CL33+(1-EXP(-LN(2)/25))/(LN(2)/25)*Calculateur!CG34*Calculateur!CI34*VLOOKUP('Données projet'!$B$12,Paramètres!$A$1:$I$89,3,0)*0.475*44/12</f>
        <v>17.229481138733217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60.483744444167982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20.966400000000011</v>
      </c>
      <c r="D35" s="12">
        <f t="shared" si="32"/>
        <v>6.7803256634538869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214.18525073543364</v>
      </c>
      <c r="H35" s="70">
        <f t="shared" si="1"/>
        <v>341.65888053051549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133.56954582136541</v>
      </c>
      <c r="T35" s="62">
        <f t="shared" si="34"/>
        <v>412.851273435613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46.76447559180771</v>
      </c>
      <c r="AA35" s="23">
        <f>EXP(-LN(2)/25)*AA34+(1-EXP(-LN(2)/25))/(LN(2)/25)*Calculateur!V35*Calculateur!X35*VLOOKUP('Données projet'!$B$9,Paramètres!$A$1:$I$89,3,0)*0.475*44/12</f>
        <v>18.480725022670558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65.245200614478264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142.72679502162805</v>
      </c>
      <c r="AO35" s="62">
        <f t="shared" si="36"/>
        <v>372.84389296423961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42.40607358451075</v>
      </c>
      <c r="AV35" s="23">
        <f>EXP(-LN(2)/25)*AV34+(1-EXP(-LN(2)/25))/(LN(2)/25)*Calculateur!AQ35*Calculateur!AS35*VLOOKUP('Données projet'!$B$10,Paramètres!$A$1:$I$89,3,0)*0.475*44/12</f>
        <v>16.758340070935521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59.164413655446268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169.10494041758477</v>
      </c>
      <c r="BJ35" s="62">
        <f t="shared" si="38"/>
        <v>373.38644103117821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46.667020659991834</v>
      </c>
      <c r="BQ35" s="23">
        <f>EXP(-LN(2)/25)*BQ34+(1-EXP(-LN(2)/25))/(LN(2)/25)*Calculateur!BL35*Calculateur!BN35*VLOOKUP('Données projet'!$B$11,Paramètres!$A$1:$I$89,3,0)*0.475*44/12</f>
        <v>19.035942446974829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65.702963106966664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142.72679502162805</v>
      </c>
      <c r="CE35" s="62">
        <f t="shared" si="40"/>
        <v>372.84389296423961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42.40607358451075</v>
      </c>
      <c r="CL35" s="23">
        <f>EXP(-LN(2)/25)*CL34+(1-EXP(-LN(2)/25))/(LN(2)/25)*Calculateur!CG35*Calculateur!CI35*VLOOKUP('Données projet'!$B$12,Paramètres!$A$1:$I$89,3,0)*0.475*44/12</f>
        <v>16.758340070935521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59.164413655446268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21.621600000000011</v>
      </c>
      <c r="D36" s="12">
        <f t="shared" si="32"/>
        <v>6.9672107919093023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220.68555699017716</v>
      </c>
      <c r="H36" s="70">
        <f t="shared" si="1"/>
        <v>343.12551212924205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133.56954582136541</v>
      </c>
      <c r="T36" s="62">
        <f t="shared" si="34"/>
        <v>412.851273435613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45.847452748966006</v>
      </c>
      <c r="AA36" s="23">
        <f>EXP(-LN(2)/25)*AA35+(1-EXP(-LN(2)/25))/(LN(2)/25)*Calculateur!V36*Calculateur!X36*VLOOKUP('Données projet'!$B$9,Paramètres!$A$1:$I$89,3,0)*0.475*44/12</f>
        <v>17.97536862506654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63.822821374032543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142.72679502162805</v>
      </c>
      <c r="AO36" s="62">
        <f t="shared" si="36"/>
        <v>372.84389296423961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41.574516346669412</v>
      </c>
      <c r="AV36" s="23">
        <f>EXP(-LN(2)/25)*AV35+(1-EXP(-LN(2)/25))/(LN(2)/25)*Calculateur!AQ36*Calculateur!AS36*VLOOKUP('Données projet'!$B$10,Paramètres!$A$1:$I$89,3,0)*0.475*44/12</f>
        <v>16.300082380412988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57.8745987270824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169.10494041758477</v>
      </c>
      <c r="BJ36" s="62">
        <f t="shared" si="38"/>
        <v>373.38644103117821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45.751908848921403</v>
      </c>
      <c r="BQ36" s="23">
        <f>EXP(-LN(2)/25)*BQ35+(1-EXP(-LN(2)/25))/(LN(2)/25)*Calculateur!BL36*Calculateur!BN36*VLOOKUP('Données projet'!$B$11,Paramètres!$A$1:$I$89,3,0)*0.475*44/12</f>
        <v>18.515403599705596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64.267312448626996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142.72679502162805</v>
      </c>
      <c r="CE36" s="62">
        <f t="shared" si="40"/>
        <v>372.84389296423961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41.574516346669412</v>
      </c>
      <c r="CL36" s="23">
        <f>EXP(-LN(2)/25)*CL35+(1-EXP(-LN(2)/25))/(LN(2)/25)*Calculateur!CG36*Calculateur!CI36*VLOOKUP('Données projet'!$B$12,Paramètres!$A$1:$I$89,3,0)*0.475*44/12</f>
        <v>16.300082380412988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57.8745987270824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22.276800000000012</v>
      </c>
      <c r="D37" s="12">
        <f t="shared" si="32"/>
        <v>7.1534377803387423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227.18078286577284</v>
      </c>
      <c r="H37" s="70">
        <f t="shared" si="1"/>
        <v>344.59099746742334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133.56954582136541</v>
      </c>
      <c r="T37" s="62">
        <f t="shared" si="34"/>
        <v>412.851273435613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44.948412164743729</v>
      </c>
      <c r="AA37" s="23">
        <f>EXP(-LN(2)/25)*AA36+(1-EXP(-LN(2)/25))/(LN(2)/25)*Calculateur!V37*Calculateur!X37*VLOOKUP('Données projet'!$B$9,Paramètres!$A$1:$I$89,3,0)*0.475*44/12</f>
        <v>17.483831224730544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62.432243389474273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142.72679502162805</v>
      </c>
      <c r="AO37" s="62">
        <f t="shared" si="36"/>
        <v>372.84389296423961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40.759265439062304</v>
      </c>
      <c r="AV37" s="23">
        <f>EXP(-LN(2)/25)*AV36+(1-EXP(-LN(2)/25))/(LN(2)/25)*Calculateur!AQ37*Calculateur!AS37*VLOOKUP('Données projet'!$B$10,Paramètres!$A$1:$I$89,3,0)*0.475*44/12</f>
        <v>15.854355770536516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56.613621209598818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169.10494041758477</v>
      </c>
      <c r="BJ37" s="62">
        <f t="shared" si="38"/>
        <v>373.38644103117821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44.854741822302969</v>
      </c>
      <c r="BQ37" s="23">
        <f>EXP(-LN(2)/25)*BQ36+(1-EXP(-LN(2)/25))/(LN(2)/25)*Calculateur!BL37*Calculateur!BN37*VLOOKUP('Données projet'!$B$11,Paramètres!$A$1:$I$89,3,0)*0.475*44/12</f>
        <v>18.00909891458889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62.863840736891859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142.72679502162805</v>
      </c>
      <c r="CE37" s="62">
        <f t="shared" si="40"/>
        <v>372.84389296423961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40.759265439062304</v>
      </c>
      <c r="CL37" s="23">
        <f>EXP(-LN(2)/25)*CL36+(1-EXP(-LN(2)/25))/(LN(2)/25)*Calculateur!CG37*Calculateur!CI37*VLOOKUP('Données projet'!$B$12,Paramètres!$A$1:$I$89,3,0)*0.475*44/12</f>
        <v>15.854355770536516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56.613621209598818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22.932000000000013</v>
      </c>
      <c r="D38" s="12">
        <f t="shared" si="32"/>
        <v>7.339028208321511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233.67109494142935</v>
      </c>
      <c r="H38" s="70">
        <f t="shared" si="1"/>
        <v>346.05537412949332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133.56954582136541</v>
      </c>
      <c r="T38" s="62">
        <f t="shared" si="34"/>
        <v>412.851273435613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44.067001218017438</v>
      </c>
      <c r="AA38" s="23">
        <f>EXP(-LN(2)/25)*AA37+(1-EXP(-LN(2)/25))/(LN(2)/25)*Calculateur!V38*Calculateur!X38*VLOOKUP('Données projet'!$B$9,Paramètres!$A$1:$I$89,3,0)*0.475*44/12</f>
        <v>17.005734940455564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61.072736158473006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142.72679502162805</v>
      </c>
      <c r="AO38" s="62">
        <f t="shared" si="36"/>
        <v>372.84389296423961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39.960001104499419</v>
      </c>
      <c r="AV38" s="23">
        <f>EXP(-LN(2)/25)*AV37+(1-EXP(-LN(2)/25))/(LN(2)/25)*Calculateur!AQ38*Calculateur!AS38*VLOOKUP('Données projet'!$B$10,Paramètres!$A$1:$I$89,3,0)*0.475*44/12</f>
        <v>15.420817578246862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55.380818682746281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169.10494041758477</v>
      </c>
      <c r="BJ38" s="62">
        <f t="shared" si="38"/>
        <v>373.38644103117821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43.975167693858673</v>
      </c>
      <c r="BQ38" s="23">
        <f>EXP(-LN(2)/25)*BQ37+(1-EXP(-LN(2)/25))/(LN(2)/25)*Calculateur!BL38*Calculateur!BN38*VLOOKUP('Données projet'!$B$11,Paramètres!$A$1:$I$89,3,0)*0.475*44/12</f>
        <v>17.516639157712106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61.491806851570779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142.72679502162805</v>
      </c>
      <c r="CE38" s="62">
        <f t="shared" si="40"/>
        <v>372.84389296423961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39.960001104499419</v>
      </c>
      <c r="CL38" s="23">
        <f>EXP(-LN(2)/25)*CL37+(1-EXP(-LN(2)/25))/(LN(2)/25)*Calculateur!CG38*Calculateur!CI38*VLOOKUP('Données projet'!$B$12,Paramètres!$A$1:$I$89,3,0)*0.475*44/12</f>
        <v>15.420817578246862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55.380818682746281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23.587200000000013</v>
      </c>
      <c r="D39" s="12">
        <f t="shared" si="32"/>
        <v>7.5240023521815029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240.15664973613801</v>
      </c>
      <c r="H39" s="70">
        <f t="shared" si="1"/>
        <v>347.51867743004948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133.56954582136541</v>
      </c>
      <c r="T39" s="62">
        <f t="shared" si="34"/>
        <v>412.851273435613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43.202874202348859</v>
      </c>
      <c r="AA39" s="23">
        <f>EXP(-LN(2)/25)*AA38+(1-EXP(-LN(2)/25))/(LN(2)/25)*Calculateur!V39*Calculateur!X39*VLOOKUP('Données projet'!$B$9,Paramètres!$A$1:$I$89,3,0)*0.475*44/12</f>
        <v>16.540712224216072</v>
      </c>
      <c r="AB39" s="23">
        <f>EXP(-LN(2)/2)*AB38+(1-EXP(-LN(2)/2))/(LN(2)/2)*V39*Y39*VLOOKUP('Données projet'!$B$9,Paramètres!$A$1:$I$89,3,0)*0.475*44/12</f>
        <v>0</v>
      </c>
      <c r="AC39" s="24">
        <f t="shared" si="3"/>
        <v>59.743586426564931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142.72679502162805</v>
      </c>
      <c r="AO39" s="62">
        <f t="shared" si="36"/>
        <v>372.84389296423961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39.176409856034205</v>
      </c>
      <c r="AV39" s="23">
        <f>EXP(-LN(2)/25)*AV38+(1-EXP(-LN(2)/25))/(LN(2)/25)*Calculateur!AQ39*Calculateur!AS39*VLOOKUP('Données projet'!$B$10,Paramètres!$A$1:$I$89,3,0)*0.475*44/12</f>
        <v>14.999134510624149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54.175544366658357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169.10494041758477</v>
      </c>
      <c r="BJ39" s="62">
        <f t="shared" si="38"/>
        <v>373.38644103117821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43.112841477585924</v>
      </c>
      <c r="BQ39" s="23">
        <f>EXP(-LN(2)/25)*BQ38+(1-EXP(-LN(2)/25))/(LN(2)/25)*Calculateur!BL39*Calculateur!BN39*VLOOKUP('Données projet'!$B$11,Paramètres!$A$1:$I$89,3,0)*0.475*44/12</f>
        <v>17.037645738784452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60.150487216370379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142.72679502162805</v>
      </c>
      <c r="CE39" s="62">
        <f t="shared" si="40"/>
        <v>372.84389296423961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39.176409856034205</v>
      </c>
      <c r="CL39" s="23">
        <f>EXP(-LN(2)/25)*CL38+(1-EXP(-LN(2)/25))/(LN(2)/25)*Calculateur!CG39*Calculateur!CI39*VLOOKUP('Données projet'!$B$12,Paramètres!$A$1:$I$89,3,0)*0.475*44/12</f>
        <v>14.999134510624149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54.175544366658357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24.242400000000014</v>
      </c>
      <c r="D40" s="12">
        <f t="shared" si="32"/>
        <v>7.7083792976822068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246.63759457859965</v>
      </c>
      <c r="H40" s="70">
        <f t="shared" si="1"/>
        <v>348.98094061012984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133.56954582136541</v>
      </c>
      <c r="T40" s="62">
        <f t="shared" si="34"/>
        <v>412.851273435613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42.355692190392098</v>
      </c>
      <c r="AA40" s="23">
        <f>EXP(-LN(2)/25)*AA39+(1-EXP(-LN(2)/25))/(LN(2)/25)*Calculateur!V40*Calculateur!X40*VLOOKUP('Données projet'!$B$9,Paramètres!$A$1:$I$89,3,0)*0.475*44/12</f>
        <v>16.088405578606633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58.444097768998731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142.72679502162805</v>
      </c>
      <c r="AO40" s="62">
        <f t="shared" si="36"/>
        <v>372.84389296423961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38.408184354007929</v>
      </c>
      <c r="AV40" s="23">
        <f>EXP(-LN(2)/25)*AV39+(1-EXP(-LN(2)/25))/(LN(2)/25)*Calculateur!AQ40*Calculateur!AS40*VLOOKUP('Données projet'!$B$10,Paramètres!$A$1:$I$89,3,0)*0.475*44/12</f>
        <v>14.588982388660929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52.99716674266886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169.10494041758477</v>
      </c>
      <c r="BJ40" s="62">
        <f t="shared" si="38"/>
        <v>373.38644103117821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42.267424952447229</v>
      </c>
      <c r="BQ40" s="23">
        <f>EXP(-LN(2)/25)*BQ39+(1-EXP(-LN(2)/25))/(LN(2)/25)*Calculateur!BL40*Calculateur!BN40*VLOOKUP('Données projet'!$B$11,Paramètres!$A$1:$I$89,3,0)*0.475*44/12</f>
        <v>16.571750420086541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58.839175372533774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142.72679502162805</v>
      </c>
      <c r="CE40" s="62">
        <f t="shared" si="40"/>
        <v>372.84389296423961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38.408184354007929</v>
      </c>
      <c r="CL40" s="23">
        <f>EXP(-LN(2)/25)*CL39+(1-EXP(-LN(2)/25))/(LN(2)/25)*Calculateur!CG40*Calculateur!CI40*VLOOKUP('Données projet'!$B$12,Paramètres!$A$1:$I$89,3,0)*0.475*44/12</f>
        <v>14.588982388660929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52.99716674266886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24.897600000000015</v>
      </c>
      <c r="D41" s="12">
        <f t="shared" si="32"/>
        <v>7.8921770401958273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253.11406838045914</v>
      </c>
      <c r="H41" s="70">
        <f t="shared" si="1"/>
        <v>350.44219501167441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133.56954582136541</v>
      </c>
      <c r="T41" s="62">
        <f t="shared" si="34"/>
        <v>412.851273435613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41.525122900959808</v>
      </c>
      <c r="AA41" s="23">
        <f>EXP(-LN(2)/25)*AA40+(1-EXP(-LN(2)/25))/(LN(2)/25)*Calculateur!V41*Calculateur!X41*VLOOKUP('Données projet'!$B$9,Paramètres!$A$1:$I$89,3,0)*0.475*44/12</f>
        <v>15.648467282007156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57.173590182966961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142.72679502162805</v>
      </c>
      <c r="AO41" s="62">
        <f t="shared" si="36"/>
        <v>372.84389296423961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37.655023285505095</v>
      </c>
      <c r="AV41" s="23">
        <f>EXP(-LN(2)/25)*AV40+(1-EXP(-LN(2)/25))/(LN(2)/25)*Calculateur!AQ41*Calculateur!AS41*VLOOKUP('Données projet'!$B$10,Paramètres!$A$1:$I$89,3,0)*0.475*44/12</f>
        <v>14.190045898041756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51.845069183546855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169.10494041758477</v>
      </c>
      <c r="BJ41" s="62">
        <f t="shared" si="38"/>
        <v>373.38644103117821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41.438586529713341</v>
      </c>
      <c r="BQ41" s="23">
        <f>EXP(-LN(2)/25)*BQ40+(1-EXP(-LN(2)/25))/(LN(2)/25)*Calculateur!BL41*Calculateur!BN41*VLOOKUP('Données projet'!$B$11,Paramètres!$A$1:$I$89,3,0)*0.475*44/12</f>
        <v>16.118595033378796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57.557181563092136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142.72679502162805</v>
      </c>
      <c r="CE41" s="62">
        <f t="shared" si="40"/>
        <v>372.84389296423961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37.655023285505095</v>
      </c>
      <c r="CL41" s="23">
        <f>EXP(-LN(2)/25)*CL40+(1-EXP(-LN(2)/25))/(LN(2)/25)*Calculateur!CG41*Calculateur!CI41*VLOOKUP('Données projet'!$B$12,Paramètres!$A$1:$I$89,3,0)*0.475*44/12</f>
        <v>14.190045898041756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51.845069183546855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25.552800000000016</v>
      </c>
      <c r="D42" s="12">
        <f t="shared" si="32"/>
        <v>8.0754125740317217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259.58620232585901</v>
      </c>
      <c r="H42" s="70">
        <f t="shared" si="1"/>
        <v>351.90247023310525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133.56954582136541</v>
      </c>
      <c r="T42" s="62">
        <f t="shared" si="34"/>
        <v>412.851273435613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40.710840568696042</v>
      </c>
      <c r="AA42" s="23">
        <f>EXP(-LN(2)/25)*AA41+(1-EXP(-LN(2)/25))/(LN(2)/25)*Calculateur!V42*Calculateur!X42*VLOOKUP('Données projet'!$B$9,Paramètres!$A$1:$I$89,3,0)*0.475*44/12</f>
        <v>15.220559121263541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55.931399689959584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142.72679502162805</v>
      </c>
      <c r="AO42" s="62">
        <f t="shared" si="36"/>
        <v>372.84389296423961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36.916631246172713</v>
      </c>
      <c r="AV42" s="23">
        <f>EXP(-LN(2)/25)*AV41+(1-EXP(-LN(2)/25))/(LN(2)/25)*Calculateur!AQ42*Calculateur!AS42*VLOOKUP('Données projet'!$B$10,Paramètres!$A$1:$I$89,3,0)*0.475*44/12</f>
        <v>13.802018346737722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50.718649592910438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169.10494041758477</v>
      </c>
      <c r="BJ42" s="62">
        <f t="shared" si="38"/>
        <v>373.38644103117821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40.626001122907745</v>
      </c>
      <c r="BQ42" s="23">
        <f>EXP(-LN(2)/25)*BQ41+(1-EXP(-LN(2)/25))/(LN(2)/25)*Calculateur!BL42*Calculateur!BN42*VLOOKUP('Données projet'!$B$11,Paramètres!$A$1:$I$89,3,0)*0.475*44/12</f>
        <v>15.67783120455098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56.303832327458721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142.72679502162805</v>
      </c>
      <c r="CE42" s="62">
        <f t="shared" si="40"/>
        <v>372.84389296423961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36.916631246172713</v>
      </c>
      <c r="CL42" s="23">
        <f>EXP(-LN(2)/25)*CL41+(1-EXP(-LN(2)/25))/(LN(2)/25)*Calculateur!CG42*Calculateur!CI42*VLOOKUP('Données projet'!$B$12,Paramètres!$A$1:$I$89,3,0)*0.475*44/12</f>
        <v>13.802018346737722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50.718649592910438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26.208000000000016</v>
      </c>
      <c r="D43" s="12">
        <f t="shared" si="32"/>
        <v>8.2581019723451021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266.0541204882781</v>
      </c>
      <c r="H43" s="70">
        <f t="shared" si="1"/>
        <v>353.36179426850106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133.56954582136541</v>
      </c>
      <c r="T43" s="62">
        <f t="shared" si="34"/>
        <v>412.851273435613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39.912525816304786</v>
      </c>
      <c r="AA43" s="23">
        <f>EXP(-LN(2)/25)*AA42+(1-EXP(-LN(2)/25))/(LN(2)/25)*Calculateur!V43*Calculateur!X43*VLOOKUP('Données projet'!$B$9,Paramètres!$A$1:$I$89,3,0)*0.475*44/12</f>
        <v>14.804352131678172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54.716877947982958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142.72679502162805</v>
      </c>
      <c r="AO43" s="62">
        <f t="shared" si="36"/>
        <v>372.84389296423961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36.192718624356964</v>
      </c>
      <c r="AV43" s="23">
        <f>EXP(-LN(2)/25)*AV42+(1-EXP(-LN(2)/25))/(LN(2)/25)*Calculateur!AQ43*Calculateur!AS43*VLOOKUP('Données projet'!$B$10,Paramètres!$A$1:$I$89,3,0)*0.475*44/12</f>
        <v>13.424601429229579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49.617320053586539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169.10494041758477</v>
      </c>
      <c r="BJ43" s="62">
        <f t="shared" si="38"/>
        <v>373.38644103117821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39.829350020301447</v>
      </c>
      <c r="BQ43" s="23">
        <f>EXP(-LN(2)/25)*BQ42+(1-EXP(-LN(2)/25))/(LN(2)/25)*Calculateur!BL43*Calculateur!BN43*VLOOKUP('Données projet'!$B$11,Paramètres!$A$1:$I$89,3,0)*0.475*44/12</f>
        <v>15.249120085801222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55.078470106102671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142.72679502162805</v>
      </c>
      <c r="CE43" s="62">
        <f t="shared" si="40"/>
        <v>372.84389296423961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36.192718624356964</v>
      </c>
      <c r="CL43" s="23">
        <f>EXP(-LN(2)/25)*CL42+(1-EXP(-LN(2)/25))/(LN(2)/25)*Calculateur!CG43*Calculateur!CI43*VLOOKUP('Données projet'!$B$12,Paramètres!$A$1:$I$89,3,0)*0.475*44/12</f>
        <v>13.424601429229579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49.617320053586539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26.863200000000017</v>
      </c>
      <c r="D44" s="12">
        <f t="shared" si="32"/>
        <v>8.4402604588299575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272.5179403839507</v>
      </c>
      <c r="H44" s="70">
        <f t="shared" si="1"/>
        <v>354.82019363246218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133.56954582136541</v>
      </c>
      <c r="T44" s="62">
        <f t="shared" si="34"/>
        <v>412.851273435613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39.129865529284004</v>
      </c>
      <c r="AA44" s="23">
        <f>EXP(-LN(2)/25)*AA43+(1-EXP(-LN(2)/25))/(LN(2)/25)*Calculateur!V44*Calculateur!X44*VLOOKUP('Données projet'!$B$9,Paramètres!$A$1:$I$89,3,0)*0.475*44/12</f>
        <v>14.39952634411039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53.529391873394395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142.72679502162805</v>
      </c>
      <c r="AO44" s="62">
        <f t="shared" si="36"/>
        <v>372.84389296423961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35.48300148751192</v>
      </c>
      <c r="AV44" s="23">
        <f>EXP(-LN(2)/25)*AV43+(1-EXP(-LN(2)/25))/(LN(2)/25)*Calculateur!AQ44*Calculateur!AS44*VLOOKUP('Données projet'!$B$10,Paramètres!$A$1:$I$89,3,0)*0.475*44/12</f>
        <v>13.057504997178189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48.540506484690113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169.10494041758477</v>
      </c>
      <c r="BJ44" s="62">
        <f t="shared" si="38"/>
        <v>373.38644103117821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39.048320759908066</v>
      </c>
      <c r="BQ44" s="23">
        <f>EXP(-LN(2)/25)*BQ43+(1-EXP(-LN(2)/25))/(LN(2)/25)*Calculateur!BL44*Calculateur!BN44*VLOOKUP('Données projet'!$B$11,Paramètres!$A$1:$I$89,3,0)*0.475*44/12</f>
        <v>14.832132095138615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53.880452855046684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142.72679502162805</v>
      </c>
      <c r="CE44" s="62">
        <f t="shared" si="40"/>
        <v>372.84389296423961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35.48300148751192</v>
      </c>
      <c r="CL44" s="23">
        <f>EXP(-LN(2)/25)*CL43+(1-EXP(-LN(2)/25))/(LN(2)/25)*Calculateur!CG44*Calculateur!CI44*VLOOKUP('Données projet'!$B$12,Paramètres!$A$1:$I$89,3,0)*0.475*44/12</f>
        <v>13.057504997178189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48.540506484690113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27.518400000000018</v>
      </c>
      <c r="D45" s="12">
        <f t="shared" si="32"/>
        <v>8.6219024722205955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278.97777346977313</v>
      </c>
      <c r="H45" s="70">
        <f t="shared" si="1"/>
        <v>356.27769347245089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133.56954582136541</v>
      </c>
      <c r="T45" s="62">
        <f t="shared" si="34"/>
        <v>412.851273435613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38.362552733116061</v>
      </c>
      <c r="AA45" s="23">
        <f>EXP(-LN(2)/25)*AA44+(1-EXP(-LN(2)/25))/(LN(2)/25)*Calculateur!V45*Calculateur!X45*VLOOKUP('Données projet'!$B$9,Paramètres!$A$1:$I$89,3,0)*0.475*44/12</f>
        <v>14.005770538992511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52.368323272108569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142.72679502162805</v>
      </c>
      <c r="AO45" s="62">
        <f t="shared" si="36"/>
        <v>372.84389296423961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34.787201470835697</v>
      </c>
      <c r="AV45" s="23">
        <f>EXP(-LN(2)/25)*AV44+(1-EXP(-LN(2)/25))/(LN(2)/25)*Calculateur!AQ45*Calculateur!AS45*VLOOKUP('Données projet'!$B$10,Paramètres!$A$1:$I$89,3,0)*0.475*44/12</f>
        <v>12.700446836366007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47.487648307201702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169.10494041758477</v>
      </c>
      <c r="BJ45" s="62">
        <f t="shared" si="38"/>
        <v>373.38644103117821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38.282607006930185</v>
      </c>
      <c r="BQ45" s="23">
        <f>EXP(-LN(2)/25)*BQ44+(1-EXP(-LN(2)/25))/(LN(2)/25)*Calculateur!BL45*Calculateur!BN45*VLOOKUP('Données projet'!$B$11,Paramètres!$A$1:$I$89,3,0)*0.475*44/12</f>
        <v>14.426546663009121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52.709153669939305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142.72679502162805</v>
      </c>
      <c r="CE45" s="62">
        <f t="shared" si="40"/>
        <v>372.84389296423961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34.787201470835697</v>
      </c>
      <c r="CL45" s="23">
        <f>EXP(-LN(2)/25)*CL44+(1-EXP(-LN(2)/25))/(LN(2)/25)*Calculateur!CG45*Calculateur!CI45*VLOOKUP('Données projet'!$B$12,Paramètres!$A$1:$I$89,3,0)*0.475*44/12</f>
        <v>12.700446836366007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47.487648307201702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28.173600000000018</v>
      </c>
      <c r="D46" s="12">
        <f t="shared" si="32"/>
        <v>8.8030417244771488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285.43372559245535</v>
      </c>
      <c r="H46" s="70">
        <f t="shared" si="1"/>
        <v>357.73431767013108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133.56954582136541</v>
      </c>
      <c r="T46" s="62">
        <f t="shared" si="34"/>
        <v>412.851273435613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37.610286472866377</v>
      </c>
      <c r="AA46" s="23">
        <f>EXP(-LN(2)/25)*AA45+(1-EXP(-LN(2)/25))/(LN(2)/25)*Calculateur!V46*Calculateur!X46*VLOOKUP('Données projet'!$B$9,Paramètres!$A$1:$I$89,3,0)*0.475*44/12</f>
        <v>13.622782007072299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51.23306847993868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142.72679502162805</v>
      </c>
      <c r="AO46" s="62">
        <f t="shared" si="36"/>
        <v>372.84389296423961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34.105045668090391</v>
      </c>
      <c r="AV46" s="23">
        <f>EXP(-LN(2)/25)*AV45+(1-EXP(-LN(2)/25))/(LN(2)/25)*Calculateur!AQ46*Calculateur!AS46*VLOOKUP('Données projet'!$B$10,Paramètres!$A$1:$I$89,3,0)*0.475*44/12</f>
        <v>12.353152449738106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46.458198117828495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169.10494041758477</v>
      </c>
      <c r="BJ46" s="62">
        <f t="shared" si="38"/>
        <v>373.38644103117821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37.531908433608926</v>
      </c>
      <c r="BQ46" s="23">
        <f>EXP(-LN(2)/25)*BQ45+(1-EXP(-LN(2)/25))/(LN(2)/25)*Calculateur!BL46*Calculateur!BN46*VLOOKUP('Données projet'!$B$11,Paramètres!$A$1:$I$89,3,0)*0.475*44/12</f>
        <v>14.032051985850021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51.563960419458951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142.72679502162805</v>
      </c>
      <c r="CE46" s="62">
        <f t="shared" si="40"/>
        <v>372.84389296423961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34.105045668090391</v>
      </c>
      <c r="CL46" s="23">
        <f>EXP(-LN(2)/25)*CL45+(1-EXP(-LN(2)/25))/(LN(2)/25)*Calculateur!CG46*Calculateur!CI46*VLOOKUP('Données projet'!$B$12,Paramètres!$A$1:$I$89,3,0)*0.475*44/12</f>
        <v>12.353152449738106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46.458198117828495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28.828800000000019</v>
      </c>
      <c r="D47" s="12">
        <f t="shared" si="32"/>
        <v>8.9836912534059543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291.8858973947128</v>
      </c>
      <c r="H47" s="70">
        <f t="shared" si="1"/>
        <v>359.19008893301537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133.56954582136541</v>
      </c>
      <c r="T47" s="62">
        <f t="shared" si="34"/>
        <v>412.851273435613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36.872771695143079</v>
      </c>
      <c r="AA47" s="23">
        <f>EXP(-LN(2)/25)*AA46+(1-EXP(-LN(2)/25))/(LN(2)/25)*Calculateur!V47*Calculateur!X47*VLOOKUP('Données projet'!$B$9,Paramètres!$A$1:$I$89,3,0)*0.475*44/12</f>
        <v>13.250266316697937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50.123038011841018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142.72679502162805</v>
      </c>
      <c r="AO47" s="62">
        <f t="shared" si="36"/>
        <v>372.84389296423961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33.436266524562967</v>
      </c>
      <c r="AV47" s="23">
        <f>EXP(-LN(2)/25)*AV46+(1-EXP(-LN(2)/25))/(LN(2)/25)*Calculateur!AQ47*Calculateur!AS47*VLOOKUP('Données projet'!$B$10,Paramètres!$A$1:$I$89,3,0)*0.475*44/12</f>
        <v>12.015354846375963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45.451621370938931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169.10494041758477</v>
      </c>
      <c r="BJ47" s="62">
        <f t="shared" si="38"/>
        <v>373.38644103117821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36.795930601429582</v>
      </c>
      <c r="BQ47" s="23">
        <f>EXP(-LN(2)/25)*BQ46+(1-EXP(-LN(2)/25))/(LN(2)/25)*Calculateur!BL47*Calculateur!BN47*VLOOKUP('Données projet'!$B$11,Paramètres!$A$1:$I$89,3,0)*0.475*44/12</f>
        <v>13.64834478638341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50.444275387812993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142.72679502162805</v>
      </c>
      <c r="CE47" s="62">
        <f t="shared" si="40"/>
        <v>372.84389296423961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33.436266524562967</v>
      </c>
      <c r="CL47" s="23">
        <f>EXP(-LN(2)/25)*CL46+(1-EXP(-LN(2)/25))/(LN(2)/25)*Calculateur!CG47*Calculateur!CI47*VLOOKUP('Données projet'!$B$12,Paramètres!$A$1:$I$89,3,0)*0.475*44/12</f>
        <v>12.015354846375963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45.451621370938931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29.48400000000002</v>
      </c>
      <c r="D48" s="12">
        <f t="shared" si="32"/>
        <v>9.1638634703614414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298.33438468349198</v>
      </c>
      <c r="H48" s="70">
        <f t="shared" si="1"/>
        <v>360.64502887754617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133.56954582136541</v>
      </c>
      <c r="T48" s="62">
        <f t="shared" si="34"/>
        <v>412.851273435613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36.149719132371338</v>
      </c>
      <c r="AA48" s="23">
        <f>EXP(-LN(2)/25)*AA47+(1-EXP(-LN(2)/25))/(LN(2)/25)*Calculateur!V48*Calculateur!X48*VLOOKUP('Données projet'!$B$9,Paramètres!$A$1:$I$89,3,0)*0.475*44/12</f>
        <v>12.887937087466611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49.037656219837949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142.72679502162805</v>
      </c>
      <c r="AO48" s="62">
        <f t="shared" si="36"/>
        <v>372.84389296423961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32.780601732125113</v>
      </c>
      <c r="AV48" s="23">
        <f>EXP(-LN(2)/25)*AV47+(1-EXP(-LN(2)/25))/(LN(2)/25)*Calculateur!AQ48*Calculateur!AS48*VLOOKUP('Données projet'!$B$10,Paramètres!$A$1:$I$89,3,0)*0.475*44/12</f>
        <v>11.686794336241762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44.467396068366874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169.10494041758477</v>
      </c>
      <c r="BJ48" s="62">
        <f t="shared" si="38"/>
        <v>373.38644103117821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36.07438484563712</v>
      </c>
      <c r="BQ48" s="23">
        <f>EXP(-LN(2)/25)*BQ47+(1-EXP(-LN(2)/25))/(LN(2)/25)*Calculateur!BL48*Calculateur!BN48*VLOOKUP('Données projet'!$B$11,Paramètres!$A$1:$I$89,3,0)*0.475*44/12</f>
        <v>13.275130080464496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49.349514926101619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142.72679502162805</v>
      </c>
      <c r="CE48" s="62">
        <f t="shared" si="40"/>
        <v>372.84389296423961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32.780601732125113</v>
      </c>
      <c r="CL48" s="23">
        <f>EXP(-LN(2)/25)*CL47+(1-EXP(-LN(2)/25))/(LN(2)/25)*Calculateur!CG48*Calculateur!CI48*VLOOKUP('Données projet'!$B$12,Paramètres!$A$1:$I$89,3,0)*0.475*44/12</f>
        <v>11.686794336241762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44.467396068366874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30.13920000000002</v>
      </c>
      <c r="D49" s="12">
        <f t="shared" si="32"/>
        <v>9.3435702035882571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304.77927876454106</v>
      </c>
      <c r="H49" s="70">
        <f t="shared" si="1"/>
        <v>362.0991581045829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133.56954582136541</v>
      </c>
      <c r="T49" s="62">
        <f t="shared" si="34"/>
        <v>412.851273435613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35.440845189337033</v>
      </c>
      <c r="AA49" s="23">
        <f>EXP(-LN(2)/25)*AA48+(1-EXP(-LN(2)/25))/(LN(2)/25)*Calculateur!V49*Calculateur!X49*VLOOKUP('Données projet'!$B$9,Paramètres!$A$1:$I$89,3,0)*0.475*44/12</f>
        <v>12.53551577006268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47.976360959399713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142.72679502162805</v>
      </c>
      <c r="AO49" s="62">
        <f t="shared" si="36"/>
        <v>372.84389296423961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32.137794126350933</v>
      </c>
      <c r="AV49" s="23">
        <f>EXP(-LN(2)/25)*AV48+(1-EXP(-LN(2)/25))/(LN(2)/25)*Calculateur!AQ49*Calculateur!AS49*VLOOKUP('Données projet'!$B$10,Paramètres!$A$1:$I$89,3,0)*0.475*44/12</f>
        <v>11.367218330535428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43.505012456886362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169.10494041758477</v>
      </c>
      <c r="BJ49" s="62">
        <f t="shared" si="38"/>
        <v>373.38644103117821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35.366988162016298</v>
      </c>
      <c r="BQ49" s="23">
        <f>EXP(-LN(2)/25)*BQ48+(1-EXP(-LN(2)/25))/(LN(2)/25)*Calculateur!BL49*Calculateur!BN49*VLOOKUP('Données projet'!$B$11,Paramètres!$A$1:$I$89,3,0)*0.475*44/12</f>
        <v>12.912120950305445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48.279109112321741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142.72679502162805</v>
      </c>
      <c r="CE49" s="62">
        <f t="shared" si="40"/>
        <v>372.84389296423961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32.137794126350933</v>
      </c>
      <c r="CL49" s="23">
        <f>EXP(-LN(2)/25)*CL48+(1-EXP(-LN(2)/25))/(LN(2)/25)*Calculateur!CG49*Calculateur!CI49*VLOOKUP('Données projet'!$B$12,Paramètres!$A$1:$I$89,3,0)*0.475*44/12</f>
        <v>11.367218330535428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43.505012456886362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30.794400000000021</v>
      </c>
      <c r="D50" s="12">
        <f t="shared" si="32"/>
        <v>9.5228227376882391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311.2206667470673</v>
      </c>
      <c r="H50" s="70">
        <f t="shared" si="1"/>
        <v>363.55249626814037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133.56954582136541</v>
      </c>
      <c r="T50" s="62">
        <f t="shared" si="34"/>
        <v>412.851273435613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34.74587183195522</v>
      </c>
      <c r="AA50" s="23">
        <f>EXP(-LN(2)/25)*AA49+(1-EXP(-LN(2)/25))/(LN(2)/25)*Calculateur!V50*Calculateur!X50*VLOOKUP('Données projet'!$B$9,Paramètres!$A$1:$I$89,3,0)*0.475*44/12</f>
        <v>12.192731432116192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46.938603264071411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142.72679502162805</v>
      </c>
      <c r="AO50" s="62">
        <f t="shared" si="36"/>
        <v>372.84389296423961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31.507591585652058</v>
      </c>
      <c r="AV50" s="23">
        <f>EXP(-LN(2)/25)*AV49+(1-EXP(-LN(2)/25))/(LN(2)/25)*Calculateur!AQ50*Calculateur!AS50*VLOOKUP('Données projet'!$B$10,Paramètres!$A$1:$I$89,3,0)*0.475*44/12</f>
        <v>11.056381147510905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42.563972733162963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169.10494041758477</v>
      </c>
      <c r="BJ50" s="62">
        <f t="shared" si="38"/>
        <v>373.38644103117821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34.673463095891904</v>
      </c>
      <c r="BQ50" s="23">
        <f>EXP(-LN(2)/25)*BQ49+(1-EXP(-LN(2)/25))/(LN(2)/25)*Calculateur!BL50*Calculateur!BN50*VLOOKUP('Données projet'!$B$11,Paramètres!$A$1:$I$89,3,0)*0.475*44/12</f>
        <v>12.559038323900413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47.232501419792314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142.72679502162805</v>
      </c>
      <c r="CE50" s="62">
        <f t="shared" si="40"/>
        <v>372.84389296423961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31.507591585652058</v>
      </c>
      <c r="CL50" s="23">
        <f>EXP(-LN(2)/25)*CL49+(1-EXP(-LN(2)/25))/(LN(2)/25)*Calculateur!CG50*Calculateur!CI50*VLOOKUP('Données projet'!$B$12,Paramètres!$A$1:$I$89,3,0)*0.475*44/12</f>
        <v>11.056381147510905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42.563972733162963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31.449600000000022</v>
      </c>
      <c r="D51" s="12">
        <f t="shared" si="32"/>
        <v>9.7016318496336886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317.65863182173393</v>
      </c>
      <c r="H51" s="70">
        <f t="shared" si="1"/>
        <v>365.00506213811201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133.56954582136541</v>
      </c>
      <c r="T51" s="62">
        <f t="shared" si="34"/>
        <v>412.851273435613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34.064526478219769</v>
      </c>
      <c r="AA51" s="23">
        <f>EXP(-LN(2)/25)*AA50+(1-EXP(-LN(2)/25))/(LN(2)/25)*Calculateur!V51*Calculateur!X51*VLOOKUP('Données projet'!$B$9,Paramètres!$A$1:$I$89,3,0)*0.475*44/12</f>
        <v>11.859320549917095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45.923847028136862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142.72679502162805</v>
      </c>
      <c r="AO51" s="62">
        <f t="shared" si="36"/>
        <v>372.84389296423961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30.889746932390693</v>
      </c>
      <c r="AV51" s="23">
        <f>EXP(-LN(2)/25)*AV50+(1-EXP(-LN(2)/25))/(LN(2)/25)*Calculateur!AQ51*Calculateur!AS51*VLOOKUP('Données projet'!$B$10,Paramètres!$A$1:$I$89,3,0)*0.475*44/12</f>
        <v>10.754043823602405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41.643790755993095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169.10494041758477</v>
      </c>
      <c r="BJ51" s="62">
        <f t="shared" si="38"/>
        <v>373.38644103117821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33.993537633305692</v>
      </c>
      <c r="BQ51" s="23">
        <f>EXP(-LN(2)/25)*BQ50+(1-EXP(-LN(2)/25))/(LN(2)/25)*Calculateur!BL51*Calculateur!BN51*VLOOKUP('Données projet'!$B$11,Paramètres!$A$1:$I$89,3,0)*0.475*44/12</f>
        <v>12.215610760482235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46.209148393787927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142.72679502162805</v>
      </c>
      <c r="CE51" s="62">
        <f t="shared" si="40"/>
        <v>372.84389296423961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30.889746932390693</v>
      </c>
      <c r="CL51" s="23">
        <f>EXP(-LN(2)/25)*CL50+(1-EXP(-LN(2)/25))/(LN(2)/25)*Calculateur!CG51*Calculateur!CI51*VLOOKUP('Données projet'!$B$12,Paramètres!$A$1:$I$89,3,0)*0.475*44/12</f>
        <v>10.754043823602405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41.643790755993095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32.104800000000019</v>
      </c>
      <c r="D52" s="12">
        <f t="shared" si="32"/>
        <v>9.8800078416948285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324.09325351483739</v>
      </c>
      <c r="H52" s="70">
        <f t="shared" si="1"/>
        <v>366.45687365761853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133.56954582136541</v>
      </c>
      <c r="T52" s="62">
        <f t="shared" si="34"/>
        <v>412.851273435613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33.396541891291442</v>
      </c>
      <c r="AA52" s="23">
        <f>EXP(-LN(2)/25)*AA51+(1-EXP(-LN(2)/25))/(LN(2)/25)*Calculateur!V52*Calculateur!X52*VLOOKUP('Données projet'!$B$9,Paramètres!$A$1:$I$89,3,0)*0.475*44/12</f>
        <v>11.53502680582505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44.931568697116489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142.72679502162805</v>
      </c>
      <c r="AO52" s="62">
        <f t="shared" si="36"/>
        <v>372.84389296423961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30.284017835931756</v>
      </c>
      <c r="AV52" s="23">
        <f>EXP(-LN(2)/25)*AV51+(1-EXP(-LN(2)/25))/(LN(2)/25)*Calculateur!AQ52*Calculateur!AS52*VLOOKUP('Données projet'!$B$10,Paramètres!$A$1:$I$89,3,0)*0.475*44/12</f>
        <v>10.459973929715412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40.743991765647166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169.10494041758477</v>
      </c>
      <c r="BJ52" s="62">
        <f t="shared" si="38"/>
        <v>373.38644103117821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33.326945094327208</v>
      </c>
      <c r="BQ52" s="23">
        <f>EXP(-LN(2)/25)*BQ51+(1-EXP(-LN(2)/25))/(LN(2)/25)*Calculateur!BL52*Calculateur!BN52*VLOOKUP('Données projet'!$B$11,Paramètres!$A$1:$I$89,3,0)*0.475*44/12</f>
        <v>11.881574241845797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45.208519336173005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142.72679502162805</v>
      </c>
      <c r="CE52" s="62">
        <f t="shared" si="40"/>
        <v>372.84389296423961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30.284017835931756</v>
      </c>
      <c r="CL52" s="23">
        <f>EXP(-LN(2)/25)*CL51+(1-EXP(-LN(2)/25))/(LN(2)/25)*Calculateur!CG52*Calculateur!CI52*VLOOKUP('Données projet'!$B$12,Paramètres!$A$1:$I$89,3,0)*0.475*44/12</f>
        <v>10.459973929715412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40.743991765647166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32.760000000000019</v>
      </c>
      <c r="D53" s="12">
        <f t="shared" si="32"/>
        <v>10.057960571603434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330.52460792114942</v>
      </c>
      <c r="H53" s="70">
        <f t="shared" si="1"/>
        <v>367.90794799554266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133.56954582136541</v>
      </c>
      <c r="T53" s="62">
        <f t="shared" si="34"/>
        <v>412.851273435613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32.74165607468241</v>
      </c>
      <c r="AA53" s="23">
        <f>EXP(-LN(2)/25)*AA52+(1-EXP(-LN(2)/25))/(LN(2)/25)*Calculateur!V53*Calculateur!X53*VLOOKUP('Données projet'!$B$9,Paramètres!$A$1:$I$89,3,0)*0.475*44/12</f>
        <v>11.219600891219068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43.961256965901477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142.72679502162805</v>
      </c>
      <c r="AO53" s="62">
        <f t="shared" si="36"/>
        <v>372.84389296423961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29.690166717596114</v>
      </c>
      <c r="AV53" s="23">
        <f>EXP(-LN(2)/25)*AV52+(1-EXP(-LN(2)/25))/(LN(2)/25)*Calculateur!AQ53*Calculateur!AS53*VLOOKUP('Données projet'!$B$10,Paramètres!$A$1:$I$89,3,0)*0.475*44/12</f>
        <v>10.173945392541222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39.864112110137334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169.10494041758477</v>
      </c>
      <c r="BJ53" s="62">
        <f t="shared" si="38"/>
        <v>373.38644103117821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32.673424028456793</v>
      </c>
      <c r="BQ53" s="23">
        <f>EXP(-LN(2)/25)*BQ52+(1-EXP(-LN(2)/25))/(LN(2)/25)*Calculateur!BL53*Calculateur!BN53*VLOOKUP('Données projet'!$B$11,Paramètres!$A$1:$I$89,3,0)*0.475*44/12</f>
        <v>11.556671969377691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44.230095997834482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142.72679502162805</v>
      </c>
      <c r="CE53" s="62">
        <f t="shared" si="40"/>
        <v>372.84389296423961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29.690166717596114</v>
      </c>
      <c r="CL53" s="23">
        <f>EXP(-LN(2)/25)*CL52+(1-EXP(-LN(2)/25))/(LN(2)/25)*Calculateur!CG53*Calculateur!CI53*VLOOKUP('Données projet'!$B$12,Paramètres!$A$1:$I$89,3,0)*0.475*44/12</f>
        <v>10.173945392541222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39.864112110137334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33.41520000000002</v>
      </c>
      <c r="D54" s="12">
        <f t="shared" si="32"/>
        <v>10.235499480235138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336.95276791760477</v>
      </c>
      <c r="H54" s="70">
        <f t="shared" si="1"/>
        <v>369.3583015947429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133.56954582136541</v>
      </c>
      <c r="T54" s="62">
        <f t="shared" si="34"/>
        <v>412.851273435613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32.099612169496176</v>
      </c>
      <c r="AA54" s="23">
        <f>EXP(-LN(2)/25)*AA53+(1-EXP(-LN(2)/25))/(LN(2)/25)*Calculateur!V54*Calculateur!X54*VLOOKUP('Données projet'!$B$9,Paramètres!$A$1:$I$89,3,0)*0.475*44/12</f>
        <v>10.912800314835515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43.012412484331691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142.72679502162805</v>
      </c>
      <c r="AO54" s="62">
        <f t="shared" si="36"/>
        <v>372.84389296423961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29.107960657477616</v>
      </c>
      <c r="AV54" s="23">
        <f>EXP(-LN(2)/25)*AV53+(1-EXP(-LN(2)/25))/(LN(2)/25)*Calculateur!AQ54*Calculateur!AS54*VLOOKUP('Données projet'!$B$10,Paramètres!$A$1:$I$89,3,0)*0.475*44/12</f>
        <v>9.8957383207576477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39.003698978235263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169.10494041758477</v>
      </c>
      <c r="BJ54" s="62">
        <f t="shared" si="38"/>
        <v>373.38644103117821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32.032718112079607</v>
      </c>
      <c r="BQ54" s="23">
        <f>EXP(-LN(2)/25)*BQ53+(1-EXP(-LN(2)/25))/(LN(2)/25)*Calculateur!BL54*Calculateur!BN54*VLOOKUP('Données projet'!$B$11,Paramètres!$A$1:$I$89,3,0)*0.475*44/12</f>
        <v>11.240654166636093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43.273372278715698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142.72679502162805</v>
      </c>
      <c r="CE54" s="62">
        <f t="shared" si="40"/>
        <v>372.84389296423961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29.107960657477616</v>
      </c>
      <c r="CL54" s="23">
        <f>EXP(-LN(2)/25)*CL53+(1-EXP(-LN(2)/25))/(LN(2)/25)*Calculateur!CG54*Calculateur!CI54*VLOOKUP('Données projet'!$B$12,Paramètres!$A$1:$I$89,3,0)*0.475*44/12</f>
        <v>9.8957383207576477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39.003698978235263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34.070400000000021</v>
      </c>
      <c r="D55" s="12">
        <f t="shared" si="32"/>
        <v>10.412633617059319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343.37780335975634</v>
      </c>
      <c r="H55" s="70">
        <f t="shared" si="1"/>
        <v>370.80795021637834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133.56954582136541</v>
      </c>
      <c r="T55" s="62">
        <f t="shared" si="34"/>
        <v>412.851273435613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31.470158353682532</v>
      </c>
      <c r="AA55" s="23">
        <f>EXP(-LN(2)/25)*AA54+(1-EXP(-LN(2)/25))/(LN(2)/25)*Calculateur!V55*Calculateur!X55*VLOOKUP('Données projet'!$B$9,Paramètres!$A$1:$I$89,3,0)*0.475*44/12</f>
        <v>10.61438921634711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42.084547570029642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142.72679502162805</v>
      </c>
      <c r="AO55" s="62">
        <f t="shared" si="36"/>
        <v>372.84389296423961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28.537171303087408</v>
      </c>
      <c r="AV55" s="23">
        <f>EXP(-LN(2)/25)*AV54+(1-EXP(-LN(2)/25))/(LN(2)/25)*Calculateur!AQ55*Calculateur!AS55*VLOOKUP('Données projet'!$B$10,Paramètres!$A$1:$I$89,3,0)*0.475*44/12</f>
        <v>9.625138835982268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38.162310139069675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169.10494041758477</v>
      </c>
      <c r="BJ55" s="62">
        <f t="shared" si="38"/>
        <v>373.38644103117821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31.404576047930554</v>
      </c>
      <c r="BQ55" s="23">
        <f>EXP(-LN(2)/25)*BQ54+(1-EXP(-LN(2)/25))/(LN(2)/25)*Calculateur!BL55*Calculateur!BN55*VLOOKUP('Données projet'!$B$11,Paramètres!$A$1:$I$89,3,0)*0.475*44/12</f>
        <v>10.933277887329117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42.337853935259673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142.72679502162805</v>
      </c>
      <c r="CE55" s="62">
        <f t="shared" si="40"/>
        <v>372.84389296423961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28.537171303087408</v>
      </c>
      <c r="CL55" s="23">
        <f>EXP(-LN(2)/25)*CL54+(1-EXP(-LN(2)/25))/(LN(2)/25)*Calculateur!CG55*Calculateur!CI55*VLOOKUP('Données projet'!$B$12,Paramètres!$A$1:$I$89,3,0)*0.475*44/12</f>
        <v>9.625138835982268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38.162310139069675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34.725600000000021</v>
      </c>
      <c r="D56" s="12">
        <f t="shared" si="32"/>
        <v>10.589371663575879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349.79978126269117</v>
      </c>
      <c r="H56" s="70">
        <f t="shared" si="1"/>
        <v>372.25690898072799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133.56954582136541</v>
      </c>
      <c r="T56" s="62">
        <f t="shared" si="34"/>
        <v>412.851273435613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30.853047743268075</v>
      </c>
      <c r="AA56" s="23">
        <f>EXP(-LN(2)/25)*AA55+(1-EXP(-LN(2)/25))/(LN(2)/25)*Calculateur!V56*Calculateur!X56*VLOOKUP('Données projet'!$B$9,Paramètres!$A$1:$I$89,3,0)*0.475*44/12</f>
        <v>10.324138185039629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41.177185928307708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142.72679502162805</v>
      </c>
      <c r="AO56" s="62">
        <f t="shared" si="36"/>
        <v>372.84389296423961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27.977574779789663</v>
      </c>
      <c r="AV56" s="23">
        <f>EXP(-LN(2)/25)*AV55+(1-EXP(-LN(2)/25))/(LN(2)/25)*Calculateur!AQ56*Calculateur!AS56*VLOOKUP('Données projet'!$B$10,Paramètres!$A$1:$I$89,3,0)*0.475*44/12</f>
        <v>9.3619389083482805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37.339513688137941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169.10494041758477</v>
      </c>
      <c r="BJ56" s="62">
        <f t="shared" si="38"/>
        <v>373.38644103117821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30.788751466530638</v>
      </c>
      <c r="BQ56" s="23">
        <f>EXP(-LN(2)/25)*BQ55+(1-EXP(-LN(2)/25))/(LN(2)/25)*Calculateur!BL56*Calculateur!BN56*VLOOKUP('Données projet'!$B$11,Paramètres!$A$1:$I$89,3,0)*0.475*44/12</f>
        <v>10.634306828544007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41.423058295074647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142.72679502162805</v>
      </c>
      <c r="CE56" s="62">
        <f t="shared" si="40"/>
        <v>372.84389296423961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27.977574779789663</v>
      </c>
      <c r="CL56" s="23">
        <f>EXP(-LN(2)/25)*CL55+(1-EXP(-LN(2)/25))/(LN(2)/25)*Calculateur!CG56*Calculateur!CI56*VLOOKUP('Données projet'!$B$12,Paramètres!$A$1:$I$89,3,0)*0.475*44/12</f>
        <v>9.3619389083482805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37.339513688137941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35.380800000000022</v>
      </c>
      <c r="D57" s="12">
        <f t="shared" si="32"/>
        <v>10.765721954933252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356.21876596790599</v>
      </c>
      <c r="H57" s="70">
        <f t="shared" si="1"/>
        <v>373.70519240484208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133.56954582136541</v>
      </c>
      <c r="T57" s="62">
        <f t="shared" si="34"/>
        <v>412.851273435613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30.248038295523539</v>
      </c>
      <c r="AA57" s="23">
        <f>EXP(-LN(2)/25)*AA56+(1-EXP(-LN(2)/25))/(LN(2)/25)*Calculateur!V57*Calculateur!X57*VLOOKUP('Données projet'!$B$9,Paramètres!$A$1:$I$89,3,0)*0.475*44/12</f>
        <v>10.04182408344689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40.289862378970426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142.72679502162805</v>
      </c>
      <c r="AO57" s="62">
        <f t="shared" si="36"/>
        <v>372.84389296423961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27.42895160299361</v>
      </c>
      <c r="AV57" s="23">
        <f>EXP(-LN(2)/25)*AV56+(1-EXP(-LN(2)/25))/(LN(2)/25)*Calculateur!AQ57*Calculateur!AS57*VLOOKUP('Données projet'!$B$10,Paramètres!$A$1:$I$89,3,0)*0.475*44/12</f>
        <v>9.1059361965765273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36.534887799570136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169.10494041758477</v>
      </c>
      <c r="BJ57" s="62">
        <f t="shared" si="38"/>
        <v>373.38644103117821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30.185002829556066</v>
      </c>
      <c r="BQ57" s="23">
        <f>EXP(-LN(2)/25)*BQ56+(1-EXP(-LN(2)/25))/(LN(2)/25)*Calculateur!BL57*Calculateur!BN57*VLOOKUP('Données projet'!$B$11,Paramètres!$A$1:$I$89,3,0)*0.475*44/12</f>
        <v>10.34351114908358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40.528513978639644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142.72679502162805</v>
      </c>
      <c r="CE57" s="62">
        <f t="shared" si="40"/>
        <v>372.84389296423961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27.42895160299361</v>
      </c>
      <c r="CL57" s="23">
        <f>EXP(-LN(2)/25)*CL56+(1-EXP(-LN(2)/25))/(LN(2)/25)*Calculateur!CG57*Calculateur!CI57*VLOOKUP('Données projet'!$B$12,Paramètres!$A$1:$I$89,3,0)*0.475*44/12</f>
        <v>9.1059361965765273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36.534887799570136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36.036000000000023</v>
      </c>
      <c r="D58" s="12">
        <f t="shared" si="32"/>
        <v>10.941692499899746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362.63481929747189</v>
      </c>
      <c r="H58" s="70">
        <f t="shared" si="1"/>
        <v>375.15281443732539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133.56954582136541</v>
      </c>
      <c r="T58" s="62">
        <f t="shared" si="34"/>
        <v>412.851273435613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29.654892714029948</v>
      </c>
      <c r="AA58" s="23">
        <f>EXP(-LN(2)/25)*AA57+(1-EXP(-LN(2)/25))/(LN(2)/25)*Calculateur!V58*Calculateur!X58*VLOOKUP('Données projet'!$B$9,Paramètres!$A$1:$I$89,3,0)*0.475*44/12</f>
        <v>9.7672298758084573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39.422122589838409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142.72679502162805</v>
      </c>
      <c r="AO58" s="62">
        <f t="shared" si="36"/>
        <v>372.84389296423961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26.891086592067431</v>
      </c>
      <c r="AV58" s="23">
        <f>EXP(-LN(2)/25)*AV57+(1-EXP(-LN(2)/25))/(LN(2)/25)*Calculateur!AQ58*Calculateur!AS58*VLOOKUP('Données projet'!$B$10,Paramètres!$A$1:$I$89,3,0)*0.475*44/12</f>
        <v>8.8569338924207699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35.748020484488201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169.10494041758477</v>
      </c>
      <c r="BJ58" s="62">
        <f t="shared" si="38"/>
        <v>373.38644103117821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29.59309333510226</v>
      </c>
      <c r="BQ58" s="23">
        <f>EXP(-LN(2)/25)*BQ57+(1-EXP(-LN(2)/25))/(LN(2)/25)*Calculateur!BL58*Calculateur!BN58*VLOOKUP('Données projet'!$B$11,Paramètres!$A$1:$I$89,3,0)*0.475*44/12</f>
        <v>10.06066729277028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39.653760627872543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142.72679502162805</v>
      </c>
      <c r="CE58" s="62">
        <f t="shared" si="40"/>
        <v>372.84389296423961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26.891086592067431</v>
      </c>
      <c r="CL58" s="23">
        <f>EXP(-LN(2)/25)*CL57+(1-EXP(-LN(2)/25))/(LN(2)/25)*Calculateur!CG58*Calculateur!CI58*VLOOKUP('Données projet'!$B$12,Paramètres!$A$1:$I$89,3,0)*0.475*44/12</f>
        <v>8.8569338924207699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35.748020484488201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36.691200000000023</v>
      </c>
      <c r="D59" s="12">
        <f t="shared" si="32"/>
        <v>11.117290999341371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369.04800069667044</v>
      </c>
      <c r="H59" s="70">
        <f t="shared" si="1"/>
        <v>376.59978849051959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133.56954582136541</v>
      </c>
      <c r="T59" s="62">
        <f t="shared" si="34"/>
        <v>412.851273435613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29.073378355606366</v>
      </c>
      <c r="AA59" s="23">
        <f>EXP(-LN(2)/25)*AA58+(1-EXP(-LN(2)/25))/(LN(2)/25)*Calculateur!V59*Calculateur!X59*VLOOKUP('Données projet'!$B$9,Paramètres!$A$1:$I$89,3,0)*0.475*44/12</f>
        <v>9.5001444612181789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38.573522816824543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142.72679502162805</v>
      </c>
      <c r="AO59" s="62">
        <f t="shared" si="36"/>
        <v>372.84389296423961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26.363768785940252</v>
      </c>
      <c r="AV59" s="23">
        <f>EXP(-LN(2)/25)*AV58+(1-EXP(-LN(2)/25))/(LN(2)/25)*Calculateur!AQ59*Calculateur!AS59*VLOOKUP('Données projet'!$B$10,Paramètres!$A$1:$I$89,3,0)*0.475*44/12</f>
        <v>8.6147405693666137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34.978509355306869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169.10494041758477</v>
      </c>
      <c r="BJ59" s="62">
        <f t="shared" si="38"/>
        <v>373.38644103117821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29.012790824805549</v>
      </c>
      <c r="BQ59" s="23">
        <f>EXP(-LN(2)/25)*BQ58+(1-EXP(-LN(2)/25))/(LN(2)/25)*Calculateur!BL59*Calculateur!BN59*VLOOKUP('Données projet'!$B$11,Paramètres!$A$1:$I$89,3,0)*0.475*44/12</f>
        <v>9.7855578165819779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38.798348641387527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142.72679502162805</v>
      </c>
      <c r="CE59" s="62">
        <f t="shared" si="40"/>
        <v>372.84389296423961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26.363768785940252</v>
      </c>
      <c r="CL59" s="23">
        <f>EXP(-LN(2)/25)*CL58+(1-EXP(-LN(2)/25))/(LN(2)/25)*Calculateur!CG59*Calculateur!CI59*VLOOKUP('Données projet'!$B$12,Paramètres!$A$1:$I$89,3,0)*0.475*44/12</f>
        <v>8.6147405693666137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34.978509355306869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37.346400000000024</v>
      </c>
      <c r="D60" s="12">
        <f t="shared" si="32"/>
        <v>11.292524863342402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375.45836736615206</v>
      </c>
      <c r="H60" s="70">
        <f t="shared" si="1"/>
        <v>378.04612747032138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133.56954582136541</v>
      </c>
      <c r="T60" s="62">
        <f t="shared" si="34"/>
        <v>412.851273435613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28.503267139062732</v>
      </c>
      <c r="AA60" s="23">
        <f>EXP(-LN(2)/25)*AA59+(1-EXP(-LN(2)/25))/(LN(2)/25)*Calculateur!V60*Calculateur!X60*VLOOKUP('Données projet'!$B$9,Paramètres!$A$1:$I$89,3,0)*0.475*44/12</f>
        <v>9.2403625113352827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37.743629650398013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142.72679502162805</v>
      </c>
      <c r="AO60" s="62">
        <f t="shared" si="36"/>
        <v>372.84389296423961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25.846791360359124</v>
      </c>
      <c r="AV60" s="23">
        <f>EXP(-LN(2)/25)*AV59+(1-EXP(-LN(2)/25))/(LN(2)/25)*Calculateur!AQ60*Calculateur!AS60*VLOOKUP('Données projet'!$B$10,Paramètres!$A$1:$I$89,3,0)*0.475*44/12</f>
        <v>8.3791700354677658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34.225961395826886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169.10494041758477</v>
      </c>
      <c r="BJ60" s="62">
        <f t="shared" si="38"/>
        <v>373.38644103117821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28.443867692786174</v>
      </c>
      <c r="BQ60" s="23">
        <f>EXP(-LN(2)/25)*BQ59+(1-EXP(-LN(2)/25))/(LN(2)/25)*Calculateur!BL60*Calculateur!BN60*VLOOKUP('Données projet'!$B$11,Paramètres!$A$1:$I$89,3,0)*0.475*44/12</f>
        <v>9.5179712234874234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37.961838916273599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142.72679502162805</v>
      </c>
      <c r="CE60" s="62">
        <f t="shared" si="40"/>
        <v>372.84389296423961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25.846791360359124</v>
      </c>
      <c r="CL60" s="23">
        <f>EXP(-LN(2)/25)*CL59+(1-EXP(-LN(2)/25))/(LN(2)/25)*Calculateur!CG60*Calculateur!CI60*VLOOKUP('Données projet'!$B$12,Paramètres!$A$1:$I$89,3,0)*0.475*44/12</f>
        <v>8.3791700354677658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34.225961395826886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38.001600000000025</v>
      </c>
      <c r="D61" s="12">
        <f t="shared" si="32"/>
        <v>11.467401227090523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381.86597438455857</v>
      </c>
      <c r="H61" s="70">
        <f t="shared" si="1"/>
        <v>379.49184380384935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133.56954582136541</v>
      </c>
      <c r="T61" s="62">
        <f t="shared" si="34"/>
        <v>412.851273435613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27.944335455742014</v>
      </c>
      <c r="AA61" s="23">
        <f>EXP(-LN(2)/25)*AA60+(1-EXP(-LN(2)/25))/(LN(2)/25)*Calculateur!V61*Calculateur!X61*VLOOKUP('Données projet'!$B$9,Paramètres!$A$1:$I$89,3,0)*0.475*44/12</f>
        <v>8.9876843125332737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36.932019768275289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142.72679502162805</v>
      </c>
      <c r="AO61" s="62">
        <f t="shared" si="36"/>
        <v>372.84389296423961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25.339951546768546</v>
      </c>
      <c r="AV61" s="23">
        <f>EXP(-LN(2)/25)*AV60+(1-EXP(-LN(2)/25))/(LN(2)/25)*Calculateur!AQ61*Calculateur!AS61*VLOOKUP('Données projet'!$B$10,Paramètres!$A$1:$I$89,3,0)*0.475*44/12</f>
        <v>8.1500411902064993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33.489992736975047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169.10494041758477</v>
      </c>
      <c r="BJ61" s="62">
        <f t="shared" si="38"/>
        <v>373.38644103117821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27.886100796376855</v>
      </c>
      <c r="BQ61" s="23">
        <f>EXP(-LN(2)/25)*BQ60+(1-EXP(-LN(2)/25))/(LN(2)/25)*Calculateur!BL61*Calculateur!BN61*VLOOKUP('Données projet'!$B$11,Paramètres!$A$1:$I$89,3,0)*0.475*44/12</f>
        <v>9.2577017998528071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37.143802596229662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142.72679502162805</v>
      </c>
      <c r="CE61" s="62">
        <f t="shared" si="40"/>
        <v>372.84389296423961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25.339951546768546</v>
      </c>
      <c r="CL61" s="23">
        <f>EXP(-LN(2)/25)*CL60+(1-EXP(-LN(2)/25))/(LN(2)/25)*Calculateur!CG61*Calculateur!CI61*VLOOKUP('Données projet'!$B$12,Paramètres!$A$1:$I$89,3,0)*0.475*44/12</f>
        <v>8.1500411902064993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33.489992736975047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38.656800000000025</v>
      </c>
      <c r="D62" s="12">
        <f t="shared" si="32"/>
        <v>11.641926965635415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388.27087482244906</v>
      </c>
      <c r="H62" s="70">
        <f t="shared" si="1"/>
        <v>380.93694946514836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133.56954582136541</v>
      </c>
      <c r="T62" s="62">
        <f t="shared" si="34"/>
        <v>412.851273435613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27.39636408181655</v>
      </c>
      <c r="AA62" s="23">
        <f>EXP(-LN(2)/25)*AA61+(1-EXP(-LN(2)/25))/(LN(2)/25)*Calculateur!V62*Calculateur!X62*VLOOKUP('Données projet'!$B$9,Paramètres!$A$1:$I$89,3,0)*0.475*44/12</f>
        <v>8.7419156123652755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36.138279694181826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142.72679502162805</v>
      </c>
      <c r="AO62" s="62">
        <f t="shared" si="36"/>
        <v>372.84389296423961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24.843050552780721</v>
      </c>
      <c r="AV62" s="23">
        <f>EXP(-LN(2)/25)*AV61+(1-EXP(-LN(2)/25))/(LN(2)/25)*Calculateur!AQ62*Calculateur!AS62*VLOOKUP('Données projet'!$B$10,Paramètres!$A$1:$I$89,3,0)*0.475*44/12</f>
        <v>7.9271778852682635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32.770228438048981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169.10494041758477</v>
      </c>
      <c r="BJ62" s="62">
        <f t="shared" si="38"/>
        <v>373.38644103117821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27.339271368601906</v>
      </c>
      <c r="BQ62" s="23">
        <f>EXP(-LN(2)/25)*BQ61+(1-EXP(-LN(2)/25))/(LN(2)/25)*Calculateur!BL62*Calculateur!BN62*VLOOKUP('Données projet'!$B$11,Paramètres!$A$1:$I$89,3,0)*0.475*44/12</f>
        <v>9.0045494572944538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36.343820825896358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142.72679502162805</v>
      </c>
      <c r="CE62" s="62">
        <f t="shared" si="40"/>
        <v>372.84389296423961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24.843050552780721</v>
      </c>
      <c r="CL62" s="23">
        <f>EXP(-LN(2)/25)*CL61+(1-EXP(-LN(2)/25))/(LN(2)/25)*Calculateur!CG62*Calculateur!CI62*VLOOKUP('Données projet'!$B$12,Paramètres!$A$1:$I$89,3,0)*0.475*44/12</f>
        <v>7.9271778852682635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32.770228438048981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39.312000000000026</v>
      </c>
      <c r="D63" s="12">
        <f t="shared" si="32"/>
        <v>11.81610870761841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394.67311984828262</v>
      </c>
      <c r="H63" s="70">
        <f t="shared" si="1"/>
        <v>382.38145599910212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133.56954582136541</v>
      </c>
      <c r="T63" s="62">
        <f t="shared" si="34"/>
        <v>412.851273435613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26.859138092304228</v>
      </c>
      <c r="AA63" s="23">
        <f>EXP(-LN(2)/25)*AA62+(1-EXP(-LN(2)/25))/(LN(2)/25)*Calculateur!V63*Calculateur!X63*VLOOKUP('Données projet'!$B$9,Paramètres!$A$1:$I$89,3,0)*0.475*44/12</f>
        <v>8.5028674702277858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35.362005562532012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142.72679502162805</v>
      </c>
      <c r="AO63" s="62">
        <f t="shared" si="36"/>
        <v>372.84389296423961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24.355893484205318</v>
      </c>
      <c r="AV63" s="23">
        <f>EXP(-LN(2)/25)*AV62+(1-EXP(-LN(2)/25))/(LN(2)/25)*Calculateur!AQ63*Calculateur!AS63*VLOOKUP('Données projet'!$B$10,Paramètres!$A$1:$I$89,3,0)*0.475*44/12</f>
        <v>7.7104087891234361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32.066302273328752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169.10494041758477</v>
      </c>
      <c r="BJ63" s="62">
        <f t="shared" si="38"/>
        <v>373.38644103117821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26.803164932372606</v>
      </c>
      <c r="BQ63" s="23">
        <f>EXP(-LN(2)/25)*BQ62+(1-EXP(-LN(2)/25))/(LN(2)/25)*Calculateur!BL63*Calculateur!BN63*VLOOKUP('Données projet'!$B$11,Paramètres!$A$1:$I$89,3,0)*0.475*44/12</f>
        <v>8.7583195788560619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35.56148451122867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142.72679502162805</v>
      </c>
      <c r="CE63" s="62">
        <f t="shared" si="40"/>
        <v>372.84389296423961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24.355893484205318</v>
      </c>
      <c r="CL63" s="23">
        <f>EXP(-LN(2)/25)*CL62+(1-EXP(-LN(2)/25))/(LN(2)/25)*Calculateur!CG63*Calculateur!CI63*VLOOKUP('Données projet'!$B$12,Paramètres!$A$1:$I$89,3,0)*0.475*44/12</f>
        <v>7.7104087891234361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32.066302273328752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39.967200000000027</v>
      </c>
      <c r="D64" s="12">
        <f t="shared" si="32"/>
        <v>11.989952848060877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401.07275882713679</v>
      </c>
      <c r="H64" s="70">
        <f t="shared" si="1"/>
        <v>383.82537454370606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133.56954582136541</v>
      </c>
      <c r="T64" s="62">
        <f t="shared" si="34"/>
        <v>412.851273435613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26.332446776770745</v>
      </c>
      <c r="AA64" s="23">
        <f>EXP(-LN(2)/25)*AA63+(1-EXP(-LN(2)/25))/(LN(2)/25)*Calculateur!V64*Calculateur!X64*VLOOKUP('Données projet'!$B$9,Paramètres!$A$1:$I$89,3,0)*0.475*44/12</f>
        <v>8.2703561121080398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34.602802888878784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142.72679502162805</v>
      </c>
      <c r="AO64" s="62">
        <f t="shared" si="36"/>
        <v>372.84389296423961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23.878289268608206</v>
      </c>
      <c r="AV64" s="23">
        <f>EXP(-LN(2)/25)*AV63+(1-EXP(-LN(2)/25))/(LN(2)/25)*Calculateur!AQ64*Calculateur!AS64*VLOOKUP('Données projet'!$B$10,Paramètres!$A$1:$I$89,3,0)*0.475*44/12</f>
        <v>7.4995672553120798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31.377856523920286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169.10494041758477</v>
      </c>
      <c r="BJ64" s="62">
        <f t="shared" si="38"/>
        <v>373.38644103117821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26.277571216365125</v>
      </c>
      <c r="BQ64" s="23">
        <f>EXP(-LN(2)/25)*BQ63+(1-EXP(-LN(2)/25))/(LN(2)/25)*Calculateur!BL64*Calculateur!BN64*VLOOKUP('Données projet'!$B$11,Paramètres!$A$1:$I$89,3,0)*0.475*44/12</f>
        <v>8.518822869392233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34.796394085757356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142.72679502162805</v>
      </c>
      <c r="CE64" s="62">
        <f t="shared" si="40"/>
        <v>372.84389296423961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23.878289268608206</v>
      </c>
      <c r="CL64" s="23">
        <f>EXP(-LN(2)/25)*CL63+(1-EXP(-LN(2)/25))/(LN(2)/25)*Calculateur!CG64*Calculateur!CI64*VLOOKUP('Données projet'!$B$12,Paramètres!$A$1:$I$89,3,0)*0.475*44/12</f>
        <v>7.4995672553120798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31.377856523920286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40.622400000000027</v>
      </c>
      <c r="D65" s="12">
        <f t="shared" si="32"/>
        <v>12.163465560290275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407.46983941276727</v>
      </c>
      <c r="H65" s="70">
        <f t="shared" si="1"/>
        <v>385.26871585083893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133.56954582136541</v>
      </c>
      <c r="T65" s="62">
        <f t="shared" si="34"/>
        <v>412.851273435613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25.816083556684891</v>
      </c>
      <c r="AA65" s="23">
        <f>EXP(-LN(2)/25)*AA64+(1-EXP(-LN(2)/25))/(LN(2)/25)*Calculateur!V65*Calculateur!X65*VLOOKUP('Données projet'!$B$9,Paramètres!$A$1:$I$89,3,0)*0.475*44/12</f>
        <v>8.0442027893033199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33.860286345988214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142.72679502162805</v>
      </c>
      <c r="AO65" s="62">
        <f t="shared" si="36"/>
        <v>372.84389296423961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23.410050580369145</v>
      </c>
      <c r="AV65" s="23">
        <f>EXP(-LN(2)/25)*AV64+(1-EXP(-LN(2)/25))/(LN(2)/25)*Calculateur!AQ65*Calculateur!AS65*VLOOKUP('Données projet'!$B$10,Paramètres!$A$1:$I$89,3,0)*0.475*44/12</f>
        <v>7.2944911943304698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30.704541774699614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169.10494041758477</v>
      </c>
      <c r="BJ65" s="62">
        <f t="shared" si="38"/>
        <v>373.38644103117821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25.762284072548038</v>
      </c>
      <c r="BQ65" s="23">
        <f>EXP(-LN(2)/25)*BQ64+(1-EXP(-LN(2)/25))/(LN(2)/25)*Calculateur!BL65*Calculateur!BN65*VLOOKUP('Données projet'!$B$11,Paramètres!$A$1:$I$89,3,0)*0.475*44/12</f>
        <v>8.2858752100432778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34.048159282591314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142.72679502162805</v>
      </c>
      <c r="CE65" s="62">
        <f t="shared" si="40"/>
        <v>372.84389296423961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23.410050580369145</v>
      </c>
      <c r="CL65" s="23">
        <f>EXP(-LN(2)/25)*CL64+(1-EXP(-LN(2)/25))/(LN(2)/25)*Calculateur!CG65*Calculateur!CI65*VLOOKUP('Données projet'!$B$12,Paramètres!$A$1:$I$89,3,0)*0.475*44/12</f>
        <v>7.2944911943304698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30.704541774699614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41.277600000000028</v>
      </c>
      <c r="D66" s="12">
        <f t="shared" si="32"/>
        <v>12.336652807074955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413.86440763356131</v>
      </c>
      <c r="H66" s="70">
        <f t="shared" si="1"/>
        <v>386.71149030565556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133.56954582136541</v>
      </c>
      <c r="T66" s="62">
        <f t="shared" si="34"/>
        <v>412.851273435613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25.309845904394457</v>
      </c>
      <c r="AA66" s="23">
        <f>EXP(-LN(2)/25)*AA65+(1-EXP(-LN(2)/25))/(LN(2)/25)*Calculateur!V66*Calculateur!X66*VLOOKUP('Données projet'!$B$9,Paramètres!$A$1:$I$89,3,0)*0.475*44/12</f>
        <v>7.8242336410035813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33.134079545398038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142.72679502162805</v>
      </c>
      <c r="AO66" s="62">
        <f t="shared" si="36"/>
        <v>372.84389296423961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22.950993767209052</v>
      </c>
      <c r="AV66" s="23">
        <f>EXP(-LN(2)/25)*AV65+(1-EXP(-LN(2)/25))/(LN(2)/25)*Calculateur!AQ66*Calculateur!AS66*VLOOKUP('Données projet'!$B$10,Paramètres!$A$1:$I$89,3,0)*0.475*44/12</f>
        <v>7.0950229490208834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30.046016716229936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169.10494041758477</v>
      </c>
      <c r="BJ66" s="62">
        <f t="shared" si="38"/>
        <v>373.38644103117821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25.25710139532708</v>
      </c>
      <c r="BQ66" s="23">
        <f>EXP(-LN(2)/25)*BQ65+(1-EXP(-LN(2)/25))/(LN(2)/25)*Calculateur!BL66*Calculateur!BN66*VLOOKUP('Données projet'!$B$11,Paramètres!$A$1:$I$89,3,0)*0.475*44/12</f>
        <v>8.059297516689405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33.316398912016481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142.72679502162805</v>
      </c>
      <c r="CE66" s="62">
        <f t="shared" si="40"/>
        <v>372.84389296423961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22.950993767209052</v>
      </c>
      <c r="CL66" s="23">
        <f>EXP(-LN(2)/25)*CL65+(1-EXP(-LN(2)/25))/(LN(2)/25)*Calculateur!CG66*Calculateur!CI66*VLOOKUP('Données projet'!$B$12,Paramètres!$A$1:$I$89,3,0)*0.475*44/12</f>
        <v>7.0950229490208834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30.046016716229936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67" s="12">
        <f t="shared" si="32"/>
        <v>12.50952035103195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420.25650797287852</v>
      </c>
      <c r="H67" s="70">
        <f t="shared" si="1"/>
        <v>388.15370794471403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133.56954582136541</v>
      </c>
      <c r="T67" s="62">
        <f t="shared" si="34"/>
        <v>412.851273435613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24.813535263690959</v>
      </c>
      <c r="AA67" s="23">
        <f>EXP(-LN(2)/25)*AA66+(1-EXP(-LN(2)/25))/(LN(2)/25)*Calculateur!V67*Calculateur!X67*VLOOKUP('Données projet'!$B$9,Paramètres!$A$1:$I$89,3,0)*0.475*44/12</f>
        <v>7.6102795606317741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32.423814824322733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142.72679502162805</v>
      </c>
      <c r="AO67" s="62">
        <f t="shared" si="36"/>
        <v>372.84389296423961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22.500938778158023</v>
      </c>
      <c r="AV67" s="23">
        <f>EXP(-LN(2)/25)*AV66+(1-EXP(-LN(2)/25))/(LN(2)/25)*Calculateur!AQ67*Calculateur!AS67*VLOOKUP('Données projet'!$B$10,Paramètres!$A$1:$I$89,3,0)*0.475*44/12</f>
        <v>6.9010091733688661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29.401947951526889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169.10494041758477</v>
      </c>
      <c r="BJ67" s="62">
        <f t="shared" si="38"/>
        <v>373.38644103117821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24.761825042275419</v>
      </c>
      <c r="BQ67" s="23">
        <f>EXP(-LN(2)/25)*BQ66+(1-EXP(-LN(2)/25))/(LN(2)/25)*Calculateur!BL67*Calculateur!BN67*VLOOKUP('Données projet'!$B$11,Paramètres!$A$1:$I$89,3,0)*0.475*44/12</f>
        <v>7.8389156022754962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32.600740644550918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142.72679502162805</v>
      </c>
      <c r="CE67" s="62">
        <f t="shared" si="40"/>
        <v>372.84389296423961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22.500938778158023</v>
      </c>
      <c r="CL67" s="23">
        <f>EXP(-LN(2)/25)*CL66+(1-EXP(-LN(2)/25))/(LN(2)/25)*Calculateur!CG67*Calculateur!CI67*VLOOKUP('Données projet'!$B$12,Paramètres!$A$1:$I$89,3,0)*0.475*44/12</f>
        <v>6.9010091733688661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29.401947951526889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42.588000000000029</v>
      </c>
      <c r="D68" s="12">
        <f t="shared" si="32"/>
        <v>12.682073764365775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426.64618344422729</v>
      </c>
      <c r="H68" s="70">
        <f t="shared" ref="H68:H131" si="56">(B68+E68+F68)*44/12+(C68+D68)*0.475*44/12</f>
        <v>389.59537847293711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133.56954582136541</v>
      </c>
      <c r="T68" s="62">
        <f t="shared" si="34"/>
        <v>412.851273435613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24.326956971932056</v>
      </c>
      <c r="AA68" s="23">
        <f>EXP(-LN(2)/25)*AA67+(1-EXP(-LN(2)/25))/(LN(2)/25)*Calculateur!V68*Calculateur!X68*VLOOKUP('Données projet'!$B$9,Paramètres!$A$1:$I$89,3,0)*0.475*44/12</f>
        <v>7.4021760658390896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31.729133037771145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142.72679502162805</v>
      </c>
      <c r="AO68" s="62">
        <f t="shared" si="36"/>
        <v>372.84389296423961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22.059709092935844</v>
      </c>
      <c r="AV68" s="23">
        <f>EXP(-LN(2)/25)*AV67+(1-EXP(-LN(2)/25))/(LN(2)/25)*Calculateur!AQ68*Calculateur!AS68*VLOOKUP('Données projet'!$B$10,Paramètres!$A$1:$I$89,3,0)*0.475*44/12</f>
        <v>6.7123007146147948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28.772009807550639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169.10494041758477</v>
      </c>
      <c r="BJ68" s="62">
        <f t="shared" si="38"/>
        <v>373.38644103117821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24.276260756418353</v>
      </c>
      <c r="BQ68" s="23">
        <f>EXP(-LN(2)/25)*BQ67+(1-EXP(-LN(2)/25))/(LN(2)/25)*Calculateur!BL68*Calculateur!BN68*VLOOKUP('Données projet'!$B$11,Paramètres!$A$1:$I$89,3,0)*0.475*44/12</f>
        <v>7.6245600429006171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31.900820799318971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142.72679502162805</v>
      </c>
      <c r="CE68" s="62">
        <f t="shared" si="40"/>
        <v>372.84389296423961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22.059709092935844</v>
      </c>
      <c r="CL68" s="23">
        <f>EXP(-LN(2)/25)*CL67+(1-EXP(-LN(2)/25))/(LN(2)/25)*Calculateur!CG68*Calculateur!CI68*VLOOKUP('Données projet'!$B$12,Paramètres!$A$1:$I$89,3,0)*0.475*44/12</f>
        <v>6.7123007146147948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28.772009807550639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43.24320000000003</v>
      </c>
      <c r="D69" s="12">
        <f t="shared" ref="D69:D132" si="86">IFERROR(EXP(-1.0587+0.8836*LN(C69)+0.284),0)</f>
        <v>12.854318437990992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433.03347566168509</v>
      </c>
      <c r="H69" s="70">
        <f t="shared" si="56"/>
        <v>391.03651127950098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133.56954582136541</v>
      </c>
      <c r="T69" s="62">
        <f t="shared" ref="T69:T132" si="88">$T$3</f>
        <v>412.851273435613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23.849920183691093</v>
      </c>
      <c r="AA69" s="23">
        <f>EXP(-LN(2)/25)*AA68+(1-EXP(-LN(2)/25))/(LN(2)/25)*Calculateur!V69*Calculateur!X69*VLOOKUP('Données projet'!$B$9,Paramètres!$A$1:$I$89,3,0)*0.475*44/12</f>
        <v>7.1997631720551984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31.049683355746293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142.72679502162805</v>
      </c>
      <c r="AO69" s="62">
        <f t="shared" ref="AO69:AO132" si="90">$AO$3</f>
        <v>372.84389296423961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21.627131652717338</v>
      </c>
      <c r="AV69" s="23">
        <f>EXP(-LN(2)/25)*AV68+(1-EXP(-LN(2)/25))/(LN(2)/25)*Calculateur!AQ69*Calculateur!AS69*VLOOKUP('Données projet'!$B$10,Paramètres!$A$1:$I$89,3,0)*0.475*44/12</f>
        <v>6.5287524985890997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28.155884151306438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169.10494041758477</v>
      </c>
      <c r="BJ69" s="62">
        <f t="shared" ref="BJ69:BJ132" si="92">$BJ$3</f>
        <v>373.38644103117821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23.800218090041973</v>
      </c>
      <c r="BQ69" s="23">
        <f>EXP(-LN(2)/25)*BQ68+(1-EXP(-LN(2)/25))/(LN(2)/25)*Calculateur!BL69*Calculateur!BN69*VLOOKUP('Données projet'!$B$11,Paramètres!$A$1:$I$89,3,0)*0.475*44/12</f>
        <v>7.4160660475693128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31.216284137611286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142.72679502162805</v>
      </c>
      <c r="CE69" s="62">
        <f t="shared" ref="CE69:CE132" si="94">$CE$3</f>
        <v>372.84389296423961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21.627131652717338</v>
      </c>
      <c r="CL69" s="23">
        <f>EXP(-LN(2)/25)*CL68+(1-EXP(-LN(2)/25))/(LN(2)/25)*Calculateur!CG69*Calculateur!CI69*VLOOKUP('Données projet'!$B$12,Paramètres!$A$1:$I$89,3,0)*0.475*44/12</f>
        <v>6.5287524985890997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28.155884151306438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43.898400000000031</v>
      </c>
      <c r="D70" s="12">
        <f t="shared" si="86"/>
        <v>13.026259590086111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439.41842490592813</v>
      </c>
      <c r="H70" s="70">
        <f t="shared" si="56"/>
        <v>392.47711545273336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133.56954582136541</v>
      </c>
      <c r="T70" s="62">
        <f t="shared" si="88"/>
        <v>412.851273435613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23.382237795903826</v>
      </c>
      <c r="AA70" s="23">
        <f>EXP(-LN(2)/25)*AA69+(1-EXP(-LN(2)/25))/(LN(2)/25)*Calculateur!V70*Calculateur!X70*VLOOKUP('Données projet'!$B$9,Paramètres!$A$1:$I$89,3,0)*0.475*44/12</f>
        <v>7.0028852694962591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30.385123065400087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142.72679502162805</v>
      </c>
      <c r="AO70" s="62">
        <f t="shared" si="90"/>
        <v>372.84389296423961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21.203036792255332</v>
      </c>
      <c r="AV70" s="23">
        <f>EXP(-LN(2)/25)*AV69+(1-EXP(-LN(2)/25))/(LN(2)/25)*Calculateur!AQ70*Calculateur!AS70*VLOOKUP('Données projet'!$B$10,Paramètres!$A$1:$I$89,3,0)*0.475*44/12</f>
        <v>6.3502234181830088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27.553260210438342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169.10494041758477</v>
      </c>
      <c r="BJ70" s="62">
        <f t="shared" si="92"/>
        <v>373.38644103117821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23.333510329995878</v>
      </c>
      <c r="BQ70" s="23">
        <f>EXP(-LN(2)/25)*BQ69+(1-EXP(-LN(2)/25))/(LN(2)/25)*Calculateur!BL70*Calculateur!BN70*VLOOKUP('Données projet'!$B$11,Paramètres!$A$1:$I$89,3,0)*0.475*44/12</f>
        <v>7.2132733315045661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30.546783661500445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142.72679502162805</v>
      </c>
      <c r="CE70" s="62">
        <f t="shared" si="94"/>
        <v>372.84389296423961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21.203036792255332</v>
      </c>
      <c r="CL70" s="23">
        <f>EXP(-LN(2)/25)*CL69+(1-EXP(-LN(2)/25))/(LN(2)/25)*Calculateur!CG70*Calculateur!CI70*VLOOKUP('Données projet'!$B$12,Paramètres!$A$1:$I$89,3,0)*0.475*44/12</f>
        <v>6.3502234181830088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27.553260210438342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44.553600000000031</v>
      </c>
      <c r="D71" s="12">
        <f t="shared" si="86"/>
        <v>13.19790227412237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445.80107018620805</v>
      </c>
      <c r="H71" s="70">
        <f t="shared" si="56"/>
        <v>393.91719979409652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133.56954582136541</v>
      </c>
      <c r="T71" s="62">
        <f t="shared" si="88"/>
        <v>412.851273435613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22.923726374482975</v>
      </c>
      <c r="AA71" s="23">
        <f>EXP(-LN(2)/25)*AA70+(1-EXP(-LN(2)/25))/(LN(2)/25)*Calculateur!V71*Calculateur!X71*VLOOKUP('Données projet'!$B$9,Paramètres!$A$1:$I$89,3,0)*0.475*44/12</f>
        <v>6.8113910035361531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29.735117378019126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142.72679502162805</v>
      </c>
      <c r="AO71" s="62">
        <f t="shared" si="90"/>
        <v>372.84389296423961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20.787258173334664</v>
      </c>
      <c r="AV71" s="23">
        <f>EXP(-LN(2)/25)*AV70+(1-EXP(-LN(2)/25))/(LN(2)/25)*Calculateur!AQ71*Calculateur!AS71*VLOOKUP('Données projet'!$B$10,Paramètres!$A$1:$I$89,3,0)*0.475*44/12</f>
        <v>6.1765762248690583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26.963834398203723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169.10494041758477</v>
      </c>
      <c r="BJ71" s="62">
        <f t="shared" si="92"/>
        <v>373.38644103117821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22.875954424460662</v>
      </c>
      <c r="BQ71" s="23">
        <f>EXP(-LN(2)/25)*BQ70+(1-EXP(-LN(2)/25))/(LN(2)/25)*Calculateur!BL71*Calculateur!BN71*VLOOKUP('Données projet'!$B$11,Paramètres!$A$1:$I$89,3,0)*0.475*44/12</f>
        <v>7.0160259929250151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29.891980417385678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142.72679502162805</v>
      </c>
      <c r="CE71" s="62">
        <f t="shared" si="94"/>
        <v>372.84389296423961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20.787258173334664</v>
      </c>
      <c r="CL71" s="23">
        <f>EXP(-LN(2)/25)*CL70+(1-EXP(-LN(2)/25))/(LN(2)/25)*Calculateur!CG71*Calculateur!CI71*VLOOKUP('Données projet'!$B$12,Paramètres!$A$1:$I$89,3,0)*0.475*44/12</f>
        <v>6.1765762248690583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26.963834398203723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45.208800000000032</v>
      </c>
      <c r="D72" s="12">
        <f t="shared" si="86"/>
        <v>13.369251386406756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452.18144929857868</v>
      </c>
      <c r="H72" s="70">
        <f t="shared" si="56"/>
        <v>395.35677283132515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133.56954582136541</v>
      </c>
      <c r="T72" s="62">
        <f t="shared" si="88"/>
        <v>412.851273435613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22.474206082371836</v>
      </c>
      <c r="AA72" s="23">
        <f>EXP(-LN(2)/25)*AA71+(1-EXP(-LN(2)/25))/(LN(2)/25)*Calculateur!V72*Calculateur!X72*VLOOKUP('Données projet'!$B$9,Paramètres!$A$1:$I$89,3,0)*0.475*44/12</f>
        <v>6.6251331583489721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29.099339240720809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142.72679502162805</v>
      </c>
      <c r="AO72" s="62">
        <f t="shared" si="90"/>
        <v>372.84389296423961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20.379632719531113</v>
      </c>
      <c r="AV72" s="23">
        <f>EXP(-LN(2)/25)*AV71+(1-EXP(-LN(2)/25))/(LN(2)/25)*Calculateur!AQ72*Calculateur!AS72*VLOOKUP('Données projet'!$B$10,Paramètres!$A$1:$I$89,3,0)*0.475*44/12</f>
        <v>6.007677423187987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26.387310142719102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169.10494041758477</v>
      </c>
      <c r="BJ72" s="62">
        <f t="shared" si="92"/>
        <v>373.38644103117821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22.427370911151449</v>
      </c>
      <c r="BQ72" s="23">
        <f>EXP(-LN(2)/25)*BQ71+(1-EXP(-LN(2)/25))/(LN(2)/25)*Calculateur!BL72*Calculateur!BN72*VLOOKUP('Données projet'!$B$11,Paramètres!$A$1:$I$89,3,0)*0.475*44/12</f>
        <v>6.8241723931917093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29.251543304343159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142.72679502162805</v>
      </c>
      <c r="CE72" s="62">
        <f t="shared" si="94"/>
        <v>372.84389296423961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20.379632719531113</v>
      </c>
      <c r="CL72" s="23">
        <f>EXP(-LN(2)/25)*CL71+(1-EXP(-LN(2)/25))/(LN(2)/25)*Calculateur!CG72*Calculateur!CI72*VLOOKUP('Données projet'!$B$12,Paramètres!$A$1:$I$89,3,0)*0.475*44/12</f>
        <v>6.007677423187987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26.387310142719102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45.864000000000033</v>
      </c>
      <c r="D73" s="12">
        <f t="shared" si="86"/>
        <v>13.540311673175408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458.55959888065257</v>
      </c>
      <c r="H73" s="70">
        <f t="shared" si="56"/>
        <v>396.79584283078054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133.56954582136541</v>
      </c>
      <c r="T73" s="62">
        <f t="shared" si="88"/>
        <v>412.851273435613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22.033500609008691</v>
      </c>
      <c r="AA73" s="23">
        <f>EXP(-LN(2)/25)*AA72+(1-EXP(-LN(2)/25))/(LN(2)/25)*Calculateur!V73*Calculateur!X73*VLOOKUP('Données projet'!$B$9,Paramètres!$A$1:$I$89,3,0)*0.475*44/12</f>
        <v>6.443968543733309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28.477469152742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142.72679502162805</v>
      </c>
      <c r="AO73" s="62">
        <f t="shared" si="90"/>
        <v>372.84389296423961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19.98000055224967</v>
      </c>
      <c r="AV73" s="23">
        <f>EXP(-LN(2)/25)*AV72+(1-EXP(-LN(2)/25))/(LN(2)/25)*Calculateur!AQ73*Calculateur!AS73*VLOOKUP('Données projet'!$B$10,Paramètres!$A$1:$I$89,3,0)*0.475*44/12</f>
        <v>5.8433971681208865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25.823397720370558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169.10494041758477</v>
      </c>
      <c r="BJ73" s="62">
        <f t="shared" si="92"/>
        <v>373.38644103117821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21.987583846929301</v>
      </c>
      <c r="BQ73" s="23">
        <f>EXP(-LN(2)/25)*BQ72+(1-EXP(-LN(2)/25))/(LN(2)/25)*Calculateur!BL73*Calculateur!BN73*VLOOKUP('Données projet'!$B$11,Paramètres!$A$1:$I$89,3,0)*0.475*44/12</f>
        <v>6.6375650402322526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28.625148887161554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142.72679502162805</v>
      </c>
      <c r="CE73" s="62">
        <f t="shared" si="94"/>
        <v>372.84389296423961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19.98000055224967</v>
      </c>
      <c r="CL73" s="23">
        <f>EXP(-LN(2)/25)*CL72+(1-EXP(-LN(2)/25))/(LN(2)/25)*Calculateur!CG73*Calculateur!CI73*VLOOKUP('Données projet'!$B$12,Paramètres!$A$1:$I$89,3,0)*0.475*44/12</f>
        <v>5.8433971681208865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25.823397720370558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46.519200000000033</v>
      </c>
      <c r="D74" s="12">
        <f t="shared" si="86"/>
        <v>13.711087737270113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464.93555446313798</v>
      </c>
      <c r="H74" s="70">
        <f t="shared" si="56"/>
        <v>398.23441780907882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133.56954582136541</v>
      </c>
      <c r="T74" s="62">
        <f t="shared" si="88"/>
        <v>412.851273435613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21.601437101174401</v>
      </c>
      <c r="AA74" s="23">
        <f>EXP(-LN(2)/25)*AA73+(1-EXP(-LN(2)/25))/(LN(2)/25)*Calculateur!V74*Calculateur!X74*VLOOKUP('Données projet'!$B$9,Paramètres!$A$1:$I$89,3,0)*0.475*44/12</f>
        <v>6.2677578850313438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27.869194986205745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142.72679502162805</v>
      </c>
      <c r="AO74" s="62">
        <f t="shared" si="90"/>
        <v>372.84389296423961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19.588204928017063</v>
      </c>
      <c r="AV74" s="23">
        <f>EXP(-LN(2)/25)*AV73+(1-EXP(-LN(2)/25))/(LN(2)/25)*Calculateur!AQ74*Calculateur!AS74*VLOOKUP('Données projet'!$B$10,Paramètres!$A$1:$I$89,3,0)*0.475*44/12</f>
        <v>5.6836091652677192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25.271814093284782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169.10494041758477</v>
      </c>
      <c r="BJ74" s="62">
        <f t="shared" si="92"/>
        <v>373.38644103117821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21.556420738792927</v>
      </c>
      <c r="BQ74" s="23">
        <f>EXP(-LN(2)/25)*BQ73+(1-EXP(-LN(2)/25))/(LN(2)/25)*Calculateur!BL74*Calculateur!BN74*VLOOKUP('Données projet'!$B$11,Paramètres!$A$1:$I$89,3,0)*0.475*44/12</f>
        <v>6.4560604751527269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28.012481213945655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142.72679502162805</v>
      </c>
      <c r="CE74" s="62">
        <f t="shared" si="94"/>
        <v>372.84389296423961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19.588204928017063</v>
      </c>
      <c r="CL74" s="23">
        <f>EXP(-LN(2)/25)*CL73+(1-EXP(-LN(2)/25))/(LN(2)/25)*Calculateur!CG74*Calculateur!CI74*VLOOKUP('Données projet'!$B$12,Paramètres!$A$1:$I$89,3,0)*0.475*44/12</f>
        <v>5.6836091652677192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25.271814093284782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47.174400000000034</v>
      </c>
      <c r="D75" s="12">
        <f t="shared" si="86"/>
        <v>13.881584044427939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471.30935051839145</v>
      </c>
      <c r="H75" s="70">
        <f t="shared" si="56"/>
        <v>399.67250554404535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133.56954582136541</v>
      </c>
      <c r="T75" s="62">
        <f t="shared" si="88"/>
        <v>412.851273435613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21.177846095196024</v>
      </c>
      <c r="AA75" s="23">
        <f>EXP(-LN(2)/25)*AA74+(1-EXP(-LN(2)/25))/(LN(2)/25)*Calculateur!V75*Calculateur!X75*VLOOKUP('Données projet'!$B$9,Paramètres!$A$1:$I$89,3,0)*0.475*44/12</f>
        <v>6.0963657160580995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27.274211811254123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142.72679502162805</v>
      </c>
      <c r="AO75" s="62">
        <f t="shared" si="90"/>
        <v>372.84389296423961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19.204092177003925</v>
      </c>
      <c r="AV75" s="23">
        <f>EXP(-LN(2)/25)*AV74+(1-EXP(-LN(2)/25))/(LN(2)/25)*Calculateur!AQ75*Calculateur!AS75*VLOOKUP('Données projet'!$B$10,Paramètres!$A$1:$I$89,3,0)*0.475*44/12</f>
        <v>5.5281905737554577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24.732282750759381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169.10494041758477</v>
      </c>
      <c r="BJ75" s="62">
        <f t="shared" si="92"/>
        <v>373.38644103117821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21.133712476223579</v>
      </c>
      <c r="BQ75" s="23">
        <f>EXP(-LN(2)/25)*BQ74+(1-EXP(-LN(2)/25))/(LN(2)/25)*Calculateur!BL75*Calculateur!BN75*VLOOKUP('Données projet'!$B$11,Paramètres!$A$1:$I$89,3,0)*0.475*44/12</f>
        <v>6.2795191619502111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27.413231638173791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142.72679502162805</v>
      </c>
      <c r="CE75" s="62">
        <f t="shared" si="94"/>
        <v>372.84389296423961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19.204092177003925</v>
      </c>
      <c r="CL75" s="23">
        <f>EXP(-LN(2)/25)*CL74+(1-EXP(-LN(2)/25))/(LN(2)/25)*Calculateur!CG75*Calculateur!CI75*VLOOKUP('Données projet'!$B$12,Paramètres!$A$1:$I$89,3,0)*0.475*44/12</f>
        <v>5.5281905737554577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24.732282750759381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47.829600000000035</v>
      </c>
      <c r="D76" s="12">
        <f t="shared" si="86"/>
        <v>14.051804929211594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477.68102050619501</v>
      </c>
      <c r="H76" s="70">
        <f t="shared" si="56"/>
        <v>401.11011358504356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133.56954582136541</v>
      </c>
      <c r="T76" s="62">
        <f t="shared" si="88"/>
        <v>412.851273435613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20.762561450479879</v>
      </c>
      <c r="AA76" s="23">
        <f>EXP(-LN(2)/25)*AA75+(1-EXP(-LN(2)/25))/(LN(2)/25)*Calculateur!V76*Calculateur!X76*VLOOKUP('Données projet'!$B$9,Paramètres!$A$1:$I$89,3,0)*0.475*44/12</f>
        <v>5.9296602749585512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26.692221725438429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142.72679502162805</v>
      </c>
      <c r="AO76" s="62">
        <f t="shared" si="90"/>
        <v>372.84389296423961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18.827511642752512</v>
      </c>
      <c r="AV76" s="23">
        <f>EXP(-LN(2)/25)*AV75+(1-EXP(-LN(2)/25))/(LN(2)/25)*Calculateur!AQ76*Calculateur!AS76*VLOOKUP('Données projet'!$B$10,Paramètres!$A$1:$I$89,3,0)*0.475*44/12</f>
        <v>5.377021911801207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24.20453355455372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169.10494041758477</v>
      </c>
      <c r="BJ76" s="62">
        <f t="shared" si="92"/>
        <v>373.38644103117821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20.719293264856635</v>
      </c>
      <c r="BQ76" s="23">
        <f>EXP(-LN(2)/25)*BQ75+(1-EXP(-LN(2)/25))/(LN(2)/25)*Calculateur!BL76*Calculateur!BN76*VLOOKUP('Données projet'!$B$11,Paramètres!$A$1:$I$89,3,0)*0.475*44/12</f>
        <v>6.1078053802411221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26.827098645097756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142.72679502162805</v>
      </c>
      <c r="CE76" s="62">
        <f t="shared" si="94"/>
        <v>372.84389296423961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18.827511642752512</v>
      </c>
      <c r="CL76" s="23">
        <f>EXP(-LN(2)/25)*CL75+(1-EXP(-LN(2)/25))/(LN(2)/25)*Calculateur!CG76*Calculateur!CI76*VLOOKUP('Données projet'!$B$12,Paramètres!$A$1:$I$89,3,0)*0.475*44/12</f>
        <v>5.377021911801207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24.20453355455372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48.484800000000035</v>
      </c>
      <c r="D77" s="12">
        <f t="shared" si="86"/>
        <v>14.221754600605509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484.0505969169551</v>
      </c>
      <c r="H77" s="70">
        <f t="shared" si="56"/>
        <v>402.54724926272132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133.56954582136541</v>
      </c>
      <c r="T77" s="62">
        <f t="shared" si="88"/>
        <v>412.851273435613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20.355420284347996</v>
      </c>
      <c r="AA77" s="23">
        <f>EXP(-LN(2)/25)*AA76+(1-EXP(-LN(2)/25))/(LN(2)/25)*Calculateur!V77*Calculateur!X77*VLOOKUP('Données projet'!$B$9,Paramètres!$A$1:$I$89,3,0)*0.475*44/12</f>
        <v>5.7675134029125283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26.122933687260524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142.72679502162805</v>
      </c>
      <c r="AO77" s="62">
        <f t="shared" si="90"/>
        <v>372.84389296423961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18.458315623086321</v>
      </c>
      <c r="AV77" s="23">
        <f>EXP(-LN(2)/25)*AV76+(1-EXP(-LN(2)/25))/(LN(2)/25)*Calculateur!AQ77*Calculateur!AS77*VLOOKUP('Données projet'!$B$10,Paramètres!$A$1:$I$89,3,0)*0.475*44/12</f>
        <v>5.2299869648577104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23.68830258794403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169.10494041758477</v>
      </c>
      <c r="BJ77" s="62">
        <f t="shared" si="92"/>
        <v>373.38644103117821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20.313000561453837</v>
      </c>
      <c r="BQ77" s="23">
        <f>EXP(-LN(2)/25)*BQ76+(1-EXP(-LN(2)/25))/(LN(2)/25)*Calculateur!BL77*Calculateur!BN77*VLOOKUP('Données projet'!$B$11,Paramètres!$A$1:$I$89,3,0)*0.475*44/12</f>
        <v>5.9407871209229031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26.253787682376739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142.72679502162805</v>
      </c>
      <c r="CE77" s="62">
        <f t="shared" si="94"/>
        <v>372.84389296423961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18.458315623086321</v>
      </c>
      <c r="CL77" s="23">
        <f>EXP(-LN(2)/25)*CL76+(1-EXP(-LN(2)/25))/(LN(2)/25)*Calculateur!CG77*Calculateur!CI77*VLOOKUP('Données projet'!$B$12,Paramètres!$A$1:$I$89,3,0)*0.475*44/12</f>
        <v>5.2299869648577104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23.68830258794403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49.140000000000036</v>
      </c>
      <c r="D78" s="12">
        <f t="shared" si="86"/>
        <v>14.391437147300881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490.41811131249841</v>
      </c>
      <c r="H78" s="70">
        <f t="shared" si="56"/>
        <v>403.98391969821574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133.56954582136541</v>
      </c>
      <c r="T78" s="62">
        <f t="shared" si="88"/>
        <v>412.851273435613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19.956262908152368</v>
      </c>
      <c r="AA78" s="23">
        <f>EXP(-LN(2)/25)*AA77+(1-EXP(-LN(2)/25))/(LN(2)/25)*Calculateur!V78*Calculateur!X78*VLOOKUP('Données projet'!$B$9,Paramètres!$A$1:$I$89,3,0)*0.475*44/12</f>
        <v>5.6098004456095376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25.566063353761905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142.72679502162805</v>
      </c>
      <c r="AO78" s="62">
        <f t="shared" si="90"/>
        <v>372.84389296423961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18.096359312178446</v>
      </c>
      <c r="AV78" s="23">
        <f>EXP(-LN(2)/25)*AV77+(1-EXP(-LN(2)/25))/(LN(2)/25)*Calculateur!AQ78*Calculateur!AS78*VLOOKUP('Données projet'!$B$10,Paramètres!$A$1:$I$89,3,0)*0.475*44/12</f>
        <v>5.0869726962706148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23.18333200844906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169.10494041758477</v>
      </c>
      <c r="BJ78" s="62">
        <f t="shared" si="92"/>
        <v>373.38644103117821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19.914675010150688</v>
      </c>
      <c r="BQ78" s="23">
        <f>EXP(-LN(2)/25)*BQ77+(1-EXP(-LN(2)/25))/(LN(2)/25)*Calculateur!BL78*Calculateur!BN78*VLOOKUP('Données projet'!$B$11,Paramètres!$A$1:$I$89,3,0)*0.475*44/12</f>
        <v>5.7783359846888498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25.69301099483954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142.72679502162805</v>
      </c>
      <c r="CE78" s="62">
        <f t="shared" si="94"/>
        <v>372.84389296423961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18.096359312178446</v>
      </c>
      <c r="CL78" s="23">
        <f>EXP(-LN(2)/25)*CL77+(1-EXP(-LN(2)/25))/(LN(2)/25)*Calculateur!CG78*Calculateur!CI78*VLOOKUP('Données projet'!$B$12,Paramètres!$A$1:$I$89,3,0)*0.475*44/12</f>
        <v>5.0869726962706148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23.18333200844906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79" s="12">
        <f t="shared" si="86"/>
        <v>14.560856542690786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496.78359436463097</v>
      </c>
      <c r="H79" s="70">
        <f t="shared" si="56"/>
        <v>405.42013181185314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133.56954582136541</v>
      </c>
      <c r="T79" s="62">
        <f t="shared" si="88"/>
        <v>412.851273435613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19.564932764641977</v>
      </c>
      <c r="AA79" s="23">
        <f>EXP(-LN(2)/25)*AA78+(1-EXP(-LN(2)/25))/(LN(2)/25)*Calculateur!V79*Calculateur!X79*VLOOKUP('Données projet'!$B$9,Paramètres!$A$1:$I$89,3,0)*0.475*44/12</f>
        <v>5.456400157417761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25.021332922059738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142.72679502162805</v>
      </c>
      <c r="AO79" s="62">
        <f t="shared" si="90"/>
        <v>372.84389296423961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17.741500743755925</v>
      </c>
      <c r="AV79" s="23">
        <f>EXP(-LN(2)/25)*AV78+(1-EXP(-LN(2)/25))/(LN(2)/25)*Calculateur!AQ79*Calculateur!AS79*VLOOKUP('Données projet'!$B$10,Paramètres!$A$1:$I$89,3,0)*0.475*44/12</f>
        <v>4.9478691603788274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22.68936990413475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169.10494041758477</v>
      </c>
      <c r="BJ79" s="62">
        <f t="shared" si="92"/>
        <v>373.38644103117821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19.524160379953997</v>
      </c>
      <c r="BQ79" s="23">
        <f>EXP(-LN(2)/25)*BQ78+(1-EXP(-LN(2)/25))/(LN(2)/25)*Calculateur!BL79*Calculateur!BN79*VLOOKUP('Données projet'!$B$11,Paramètres!$A$1:$I$89,3,0)*0.475*44/12</f>
        <v>5.6203270833180508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25.14448746327205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142.72679502162805</v>
      </c>
      <c r="CE79" s="62">
        <f t="shared" si="94"/>
        <v>372.84389296423961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17.741500743755925</v>
      </c>
      <c r="CL79" s="23">
        <f>EXP(-LN(2)/25)*CL78+(1-EXP(-LN(2)/25))/(LN(2)/25)*Calculateur!CG79*Calculateur!CI79*VLOOKUP('Données projet'!$B$12,Paramètres!$A$1:$I$89,3,0)*0.475*44/12</f>
        <v>4.9478691603788274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22.68936990413475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50.450400000000037</v>
      </c>
      <c r="D80" s="12">
        <f t="shared" si="86"/>
        <v>14.730016649594978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503.14707589161065</v>
      </c>
      <c r="H80" s="70">
        <f t="shared" si="56"/>
        <v>406.85589233137796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133.56954582136541</v>
      </c>
      <c r="T80" s="62">
        <f t="shared" si="88"/>
        <v>412.851273435613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19.181276366558006</v>
      </c>
      <c r="AA80" s="23">
        <f>EXP(-LN(2)/25)*AA79+(1-EXP(-LN(2)/25))/(LN(2)/25)*Calculateur!V80*Calculateur!X80*VLOOKUP('Données projet'!$B$9,Paramètres!$A$1:$I$89,3,0)*0.475*44/12</f>
        <v>5.3071946081735586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24.488470974731563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142.72679502162805</v>
      </c>
      <c r="AO80" s="62">
        <f t="shared" si="90"/>
        <v>372.84389296423961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17.393600735417817</v>
      </c>
      <c r="AV80" s="23">
        <f>EXP(-LN(2)/25)*AV79+(1-EXP(-LN(2)/25))/(LN(2)/25)*Calculateur!AQ80*Calculateur!AS80*VLOOKUP('Données projet'!$B$10,Paramètres!$A$1:$I$89,3,0)*0.475*44/12</f>
        <v>4.8125694179911376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22.206170153408955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169.10494041758477</v>
      </c>
      <c r="BJ80" s="62">
        <f t="shared" si="92"/>
        <v>373.38644103117821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19.141303503465057</v>
      </c>
      <c r="BQ80" s="23">
        <f>EXP(-LN(2)/25)*BQ79+(1-EXP(-LN(2)/25))/(LN(2)/25)*Calculateur!BL80*Calculateur!BN80*VLOOKUP('Données projet'!$B$11,Paramètres!$A$1:$I$89,3,0)*0.475*44/12</f>
        <v>5.466638943664563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24.60794244712962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142.72679502162805</v>
      </c>
      <c r="CE80" s="62">
        <f t="shared" si="94"/>
        <v>372.84389296423961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17.393600735417817</v>
      </c>
      <c r="CL80" s="23">
        <f>EXP(-LN(2)/25)*CL79+(1-EXP(-LN(2)/25))/(LN(2)/25)*Calculateur!CG80*Calculateur!CI80*VLOOKUP('Données projet'!$B$12,Paramètres!$A$1:$I$89,3,0)*0.475*44/12</f>
        <v>4.8125694179911376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22.206170153408955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51.105600000000038</v>
      </c>
      <c r="D81" s="12">
        <f t="shared" si="86"/>
        <v>14.898921224732133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509.50858489266949</v>
      </c>
      <c r="H81" s="70">
        <f t="shared" si="56"/>
        <v>408.29120779974181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133.56954582136541</v>
      </c>
      <c r="T81" s="62">
        <f t="shared" si="88"/>
        <v>412.851273435613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18.805143236433164</v>
      </c>
      <c r="AA81" s="23">
        <f>EXP(-LN(2)/25)*AA80+(1-EXP(-LN(2)/25))/(LN(2)/25)*Calculateur!V81*Calculateur!X81*VLOOKUP('Données projet'!$B$9,Paramètres!$A$1:$I$89,3,0)*0.475*44/12</f>
        <v>5.1620690925198183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23.967212328952982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142.72679502162805</v>
      </c>
      <c r="AO81" s="62">
        <f t="shared" si="90"/>
        <v>372.84389296423961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17.052522834045167</v>
      </c>
      <c r="AV81" s="23">
        <f>EXP(-LN(2)/25)*AV80+(1-EXP(-LN(2)/25))/(LN(2)/25)*Calculateur!AQ81*Calculateur!AS81*VLOOKUP('Données projet'!$B$10,Paramètres!$A$1:$I$89,3,0)*0.475*44/12</f>
        <v>4.6809694541741438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21.73349228821931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169.10494041758477</v>
      </c>
      <c r="BJ81" s="62">
        <f t="shared" si="92"/>
        <v>373.38644103117821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18.765954216804431</v>
      </c>
      <c r="BQ81" s="23">
        <f>EXP(-LN(2)/25)*BQ80+(1-EXP(-LN(2)/25))/(LN(2)/25)*Calculateur!BL81*Calculateur!BN81*VLOOKUP('Données projet'!$B$11,Paramètres!$A$1:$I$89,3,0)*0.475*44/12</f>
        <v>5.317153414272008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24.083107631076437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142.72679502162805</v>
      </c>
      <c r="CE81" s="62">
        <f t="shared" si="94"/>
        <v>372.84389296423961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17.052522834045167</v>
      </c>
      <c r="CL81" s="23">
        <f>EXP(-LN(2)/25)*CL80+(1-EXP(-LN(2)/25))/(LN(2)/25)*Calculateur!CG81*Calculateur!CI81*VLOOKUP('Données projet'!$B$12,Paramètres!$A$1:$I$89,3,0)*0.475*44/12</f>
        <v>4.6809694541741438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21.73349228821931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51.760800000000039</v>
      </c>
      <c r="D82" s="12">
        <f t="shared" si="86"/>
        <v>15.067573922956374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515.86814958071625</v>
      </c>
      <c r="H82" s="70">
        <f t="shared" si="56"/>
        <v>409.72608458248237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133.56954582136541</v>
      </c>
      <c r="T82" s="62">
        <f t="shared" si="88"/>
        <v>412.851273435613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18.436385847571515</v>
      </c>
      <c r="AA82" s="23">
        <f>EXP(-LN(2)/25)*AA81+(1-EXP(-LN(2)/25))/(LN(2)/25)*Calculateur!V82*Calculateur!X82*VLOOKUP('Données projet'!$B$9,Paramètres!$A$1:$I$89,3,0)*0.475*44/12</f>
        <v>5.0209120417234487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23.457297889294964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142.72679502162805</v>
      </c>
      <c r="AO82" s="62">
        <f t="shared" si="90"/>
        <v>372.84389296423961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16.718133262281455</v>
      </c>
      <c r="AV82" s="23">
        <f>EXP(-LN(2)/25)*AV81+(1-EXP(-LN(2)/25))/(LN(2)/25)*Calculateur!AQ82*Calculateur!AS82*VLOOKUP('Données projet'!$B$10,Paramètres!$A$1:$I$89,3,0)*0.475*44/12</f>
        <v>4.5529680982882663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21.271101360569723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169.10494041758477</v>
      </c>
      <c r="BJ82" s="62">
        <f t="shared" si="92"/>
        <v>373.38644103117821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18.397965300714759</v>
      </c>
      <c r="BQ82" s="23">
        <f>EXP(-LN(2)/25)*BQ81+(1-EXP(-LN(2)/25))/(LN(2)/25)*Calculateur!BL82*Calculateur!BN82*VLOOKUP('Données projet'!$B$11,Paramètres!$A$1:$I$89,3,0)*0.475*44/12</f>
        <v>5.1717555745417947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23.569720875256554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142.72679502162805</v>
      </c>
      <c r="CE82" s="62">
        <f t="shared" si="94"/>
        <v>372.84389296423961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16.718133262281455</v>
      </c>
      <c r="CL82" s="23">
        <f>EXP(-LN(2)/25)*CL81+(1-EXP(-LN(2)/25))/(LN(2)/25)*Calculateur!CG82*Calculateur!CI82*VLOOKUP('Données projet'!$B$12,Paramètres!$A$1:$I$89,3,0)*0.475*44/12</f>
        <v>4.5529680982882663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21.271101360569723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52.416000000000039</v>
      </c>
      <c r="D83" s="12">
        <f t="shared" si="86"/>
        <v>15.235978301273036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522.22579741333595</v>
      </c>
      <c r="H83" s="70">
        <f t="shared" si="56"/>
        <v>411.16052887471727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133.56954582136541</v>
      </c>
      <c r="T83" s="62">
        <f t="shared" si="88"/>
        <v>412.851273435613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18.074859566185644</v>
      </c>
      <c r="AA83" s="23">
        <f>EXP(-LN(2)/25)*AA82+(1-EXP(-LN(2)/25))/(LN(2)/25)*Calculateur!V83*Calculateur!X83*VLOOKUP('Données projet'!$B$9,Paramètres!$A$1:$I$89,3,0)*0.475*44/12</f>
        <v>4.8836149379042322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22.958474504089878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142.72679502162805</v>
      </c>
      <c r="AO83" s="62">
        <f t="shared" si="90"/>
        <v>372.84389296423961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16.390300866062532</v>
      </c>
      <c r="AV83" s="23">
        <f>EXP(-LN(2)/25)*AV82+(1-EXP(-LN(2)/25))/(LN(2)/25)*Calculateur!AQ83*Calculateur!AS83*VLOOKUP('Données projet'!$B$10,Paramètres!$A$1:$I$89,3,0)*0.475*44/12</f>
        <v>4.4284669462103876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20.81876781227292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169.10494041758477</v>
      </c>
      <c r="BJ83" s="62">
        <f t="shared" si="92"/>
        <v>373.38644103117821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18.037192422818531</v>
      </c>
      <c r="BQ83" s="23">
        <f>EXP(-LN(2)/25)*BQ82+(1-EXP(-LN(2)/25))/(LN(2)/25)*Calculateur!BL83*Calculateur!BN83*VLOOKUP('Données projet'!$B$11,Paramètres!$A$1:$I$89,3,0)*0.475*44/12</f>
        <v>5.0303336463851442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23.067526069203677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142.72679502162805</v>
      </c>
      <c r="CE83" s="62">
        <f t="shared" si="94"/>
        <v>372.84389296423961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16.390300866062532</v>
      </c>
      <c r="CL83" s="23">
        <f>EXP(-LN(2)/25)*CL82+(1-EXP(-LN(2)/25))/(LN(2)/25)*Calculateur!CG83*Calculateur!CI83*VLOOKUP('Données projet'!$B$12,Paramètres!$A$1:$I$89,3,0)*0.475*44/12</f>
        <v>4.4284669462103876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20.81876781227292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53.07120000000004</v>
      </c>
      <c r="D84" s="12">
        <f t="shared" si="86"/>
        <v>15.404137822648023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528.5815551221956</v>
      </c>
      <c r="H84" s="70">
        <f t="shared" si="56"/>
        <v>412.5945467077787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133.56954582136541</v>
      </c>
      <c r="T84" s="62">
        <f t="shared" si="88"/>
        <v>412.851273435613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17.720422594668491</v>
      </c>
      <c r="AA84" s="23">
        <f>EXP(-LN(2)/25)*AA83+(1-EXP(-LN(2)/25))/(LN(2)/25)*Calculateur!V84*Calculateur!X84*VLOOKUP('Données projet'!$B$9,Paramètres!$A$1:$I$89,3,0)*0.475*44/12</f>
        <v>4.750072230609093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22.470494825277584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142.72679502162805</v>
      </c>
      <c r="AO84" s="62">
        <f t="shared" si="90"/>
        <v>372.84389296423961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16.068897063175442</v>
      </c>
      <c r="AV84" s="23">
        <f>EXP(-LN(2)/25)*AV83+(1-EXP(-LN(2)/25))/(LN(2)/25)*Calculateur!AQ84*Calculateur!AS84*VLOOKUP('Données projet'!$B$10,Paramètres!$A$1:$I$89,3,0)*0.475*44/12</f>
        <v>4.3073702846833095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20.37626734785875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169.10494041758477</v>
      </c>
      <c r="BJ84" s="62">
        <f t="shared" si="92"/>
        <v>373.38644103117821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17.683494081008121</v>
      </c>
      <c r="BQ84" s="23">
        <f>EXP(-LN(2)/25)*BQ83+(1-EXP(-LN(2)/25))/(LN(2)/25)*Calculateur!BL84*Calculateur!BN84*VLOOKUP('Données projet'!$B$11,Paramètres!$A$1:$I$89,3,0)*0.475*44/12</f>
        <v>4.8927789082909934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22.576272989299113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142.72679502162805</v>
      </c>
      <c r="CE84" s="62">
        <f t="shared" si="94"/>
        <v>372.84389296423961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16.068897063175442</v>
      </c>
      <c r="CL84" s="23">
        <f>EXP(-LN(2)/25)*CL83+(1-EXP(-LN(2)/25))/(LN(2)/25)*Calculateur!CG84*Calculateur!CI84*VLOOKUP('Données projet'!$B$12,Paramètres!$A$1:$I$89,3,0)*0.475*44/12</f>
        <v>4.3073702846833095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20.37626734785875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53.726400000000041</v>
      </c>
      <c r="D85" s="12">
        <f t="shared" si="86"/>
        <v>15.572055859623639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534.93544874095483</v>
      </c>
      <c r="H85" s="70">
        <f t="shared" si="56"/>
        <v>414.02814395551121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133.56954582136541</v>
      </c>
      <c r="T85" s="62">
        <f t="shared" si="88"/>
        <v>412.851273435613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17.372935915977585</v>
      </c>
      <c r="AA85" s="23">
        <f>EXP(-LN(2)/25)*AA84+(1-EXP(-LN(2)/25))/(LN(2)/25)*Calculateur!V85*Calculateur!X85*VLOOKUP('Données projet'!$B$9,Paramètres!$A$1:$I$89,3,0)*0.475*44/12</f>
        <v>4.6201812556676449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21.993117171645231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142.72679502162805</v>
      </c>
      <c r="AO85" s="62">
        <f t="shared" si="90"/>
        <v>372.84389296423961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15.753795792826006</v>
      </c>
      <c r="AV85" s="23">
        <f>EXP(-LN(2)/25)*AV84+(1-EXP(-LN(2)/25))/(LN(2)/25)*Calculateur!AQ85*Calculateur!AS85*VLOOKUP('Données projet'!$B$10,Paramètres!$A$1:$I$89,3,0)*0.475*44/12</f>
        <v>4.1895850177338856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19.943380810559891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169.10494041758477</v>
      </c>
      <c r="BJ85" s="62">
        <f t="shared" si="92"/>
        <v>373.38644103117821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17.336731547945924</v>
      </c>
      <c r="BQ85" s="23">
        <f>EXP(-LN(2)/25)*BQ84+(1-EXP(-LN(2)/25))/(LN(2)/25)*Calculateur!BL85*Calculateur!BN85*VLOOKUP('Données projet'!$B$11,Paramètres!$A$1:$I$89,3,0)*0.475*44/12</f>
        <v>4.7589856117437161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22.095717159689642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142.72679502162805</v>
      </c>
      <c r="CE85" s="62">
        <f t="shared" si="94"/>
        <v>372.84389296423961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15.753795792826006</v>
      </c>
      <c r="CL85" s="23">
        <f>EXP(-LN(2)/25)*CL84+(1-EXP(-LN(2)/25))/(LN(2)/25)*Calculateur!CG85*Calculateur!CI85*VLOOKUP('Données projet'!$B$12,Paramètres!$A$1:$I$89,3,0)*0.475*44/12</f>
        <v>4.1895850177338856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19.943380810559891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54.381600000000041</v>
      </c>
      <c r="D86" s="12">
        <f t="shared" si="86"/>
        <v>15.739735697753018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541.28750363177789</v>
      </c>
      <c r="H86" s="70">
        <f t="shared" si="56"/>
        <v>415.46132634025321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133.56954582136541</v>
      </c>
      <c r="T86" s="62">
        <f t="shared" si="88"/>
        <v>412.851273435613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17.032263239109863</v>
      </c>
      <c r="AA86" s="23">
        <f>EXP(-LN(2)/25)*AA85+(1-EXP(-LN(2)/25))/(LN(2)/25)*Calculateur!V86*Calculateur!X86*VLOOKUP('Données projet'!$B$9,Paramètres!$A$1:$I$89,3,0)*0.475*44/12</f>
        <v>4.4938421562666404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21.526105395376504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142.72679502162805</v>
      </c>
      <c r="AO86" s="62">
        <f t="shared" si="90"/>
        <v>372.84389296423961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15.444873466195325</v>
      </c>
      <c r="AV86" s="23">
        <f>EXP(-LN(2)/25)*AV85+(1-EXP(-LN(2)/25))/(LN(2)/25)*Calculateur!AQ86*Calculateur!AS86*VLOOKUP('Données projet'!$B$10,Paramètres!$A$1:$I$89,3,0)*0.475*44/12</f>
        <v>4.0750205951032514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19.519894061298576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169.10494041758477</v>
      </c>
      <c r="BJ86" s="62">
        <f t="shared" si="92"/>
        <v>373.38644103117821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16.996768816652818</v>
      </c>
      <c r="BQ86" s="23">
        <f>EXP(-LN(2)/25)*BQ85+(1-EXP(-LN(2)/25))/(LN(2)/25)*Calculateur!BL86*Calculateur!BN86*VLOOKUP('Données projet'!$B$11,Paramètres!$A$1:$I$89,3,0)*0.475*44/12</f>
        <v>4.628850899926408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21.625619716579227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142.72679502162805</v>
      </c>
      <c r="CE86" s="62">
        <f t="shared" si="94"/>
        <v>372.84389296423961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15.444873466195325</v>
      </c>
      <c r="CL86" s="23">
        <f>EXP(-LN(2)/25)*CL85+(1-EXP(-LN(2)/25))/(LN(2)/25)*Calculateur!CG86*Calculateur!CI86*VLOOKUP('Données projet'!$B$12,Paramètres!$A$1:$I$89,3,0)*0.475*44/12</f>
        <v>4.0750205951032514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19.519894061298576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55.036800000000042</v>
      </c>
      <c r="D87" s="12">
        <f t="shared" si="86"/>
        <v>15.907180538864345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547.63774451053223</v>
      </c>
      <c r="H87" s="70">
        <f t="shared" si="56"/>
        <v>416.89409943852212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133.56954582136541</v>
      </c>
      <c r="T87" s="62">
        <f t="shared" si="88"/>
        <v>412.851273435613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16.698270945645699</v>
      </c>
      <c r="AA87" s="23">
        <f>EXP(-LN(2)/25)*AA86+(1-EXP(-LN(2)/25))/(LN(2)/25)*Calculateur!V87*Calculateur!X87*VLOOKUP('Données projet'!$B$9,Paramètres!$A$1:$I$89,3,0)*0.475*44/12</f>
        <v>4.3709578061826413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21.069228751828341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142.72679502162805</v>
      </c>
      <c r="AO87" s="62">
        <f t="shared" si="90"/>
        <v>372.84389296423961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15.142008917965859</v>
      </c>
      <c r="AV87" s="23">
        <f>EXP(-LN(2)/25)*AV86+(1-EXP(-LN(2)/25))/(LN(2)/25)*Calculateur!AQ87*Calculateur!AS87*VLOOKUP('Données projet'!$B$10,Paramètres!$A$1:$I$89,3,0)*0.475*44/12</f>
        <v>3.9635889426341335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19.105597860599993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169.10494041758477</v>
      </c>
      <c r="BJ87" s="62">
        <f t="shared" si="92"/>
        <v>373.38644103117821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16.663472547163579</v>
      </c>
      <c r="BQ87" s="23">
        <f>EXP(-LN(2)/25)*BQ86+(1-EXP(-LN(2)/25))/(LN(2)/25)*Calculateur!BL87*Calculateur!BN87*VLOOKUP('Données projet'!$B$11,Paramètres!$A$1:$I$89,3,0)*0.475*44/12</f>
        <v>4.5022747286472313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21.165747275810809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142.72679502162805</v>
      </c>
      <c r="CE87" s="62">
        <f t="shared" si="94"/>
        <v>372.84389296423961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15.142008917965859</v>
      </c>
      <c r="CL87" s="23">
        <f>EXP(-LN(2)/25)*CL86+(1-EXP(-LN(2)/25))/(LN(2)/25)*Calculateur!CG87*Calculateur!CI87*VLOOKUP('Données projet'!$B$12,Paramètres!$A$1:$I$89,3,0)*0.475*44/12</f>
        <v>3.9635889426341335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19.105597860599993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55.692000000000043</v>
      </c>
      <c r="D88" s="12">
        <f t="shared" si="86"/>
        <v>16.074393504165212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553.98619547074941</v>
      </c>
      <c r="H88" s="70">
        <f t="shared" si="56"/>
        <v>418.32646868642109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133.56954582136541</v>
      </c>
      <c r="T88" s="62">
        <f t="shared" si="88"/>
        <v>412.851273435613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16.370828037341184</v>
      </c>
      <c r="AA88" s="23">
        <f>EXP(-LN(2)/25)*AA87+(1-EXP(-LN(2)/25))/(LN(2)/25)*Calculateur!V88*Calculateur!X88*VLOOKUP('Données projet'!$B$9,Paramètres!$A$1:$I$89,3,0)*0.475*44/12</f>
        <v>4.2514337351138956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20.622261772455079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142.72679502162805</v>
      </c>
      <c r="AO88" s="62">
        <f t="shared" si="90"/>
        <v>372.84389296423961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14.845083358798037</v>
      </c>
      <c r="AV88" s="23">
        <f>EXP(-LN(2)/25)*AV87+(1-EXP(-LN(2)/25))/(LN(2)/25)*Calculateur!AQ88*Calculateur!AS88*VLOOKUP('Données projet'!$B$10,Paramètres!$A$1:$I$89,3,0)*0.475*44/12</f>
        <v>3.8552043945617194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18.700287753359756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169.10494041758477</v>
      </c>
      <c r="BJ88" s="62">
        <f t="shared" si="92"/>
        <v>373.38644103117821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16.336712014228372</v>
      </c>
      <c r="BQ88" s="23">
        <f>EXP(-LN(2)/25)*BQ87+(1-EXP(-LN(2)/25))/(LN(2)/25)*Calculateur!BL88*Calculateur!BN88*VLOOKUP('Données projet'!$B$11,Paramètres!$A$1:$I$89,3,0)*0.475*44/12</f>
        <v>4.3791597894280345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20.715871803656405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142.72679502162805</v>
      </c>
      <c r="CE88" s="62">
        <f t="shared" si="94"/>
        <v>372.84389296423961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14.845083358798037</v>
      </c>
      <c r="CL88" s="23">
        <f>EXP(-LN(2)/25)*CL87+(1-EXP(-LN(2)/25))/(LN(2)/25)*Calculateur!CG88*Calculateur!CI88*VLOOKUP('Données projet'!$B$12,Paramètres!$A$1:$I$89,3,0)*0.475*44/12</f>
        <v>3.8552043945617194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18.700287753359756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56.347200000000043</v>
      </c>
      <c r="D89" s="12">
        <f t="shared" si="86"/>
        <v>16.241377637196621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560.3328800064304</v>
      </c>
      <c r="H89" s="70">
        <f t="shared" si="56"/>
        <v>419.75843938478414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133.56954582136541</v>
      </c>
      <c r="T89" s="62">
        <f t="shared" si="88"/>
        <v>412.851273435613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16.049806084748067</v>
      </c>
      <c r="AA89" s="23">
        <f>EXP(-LN(2)/25)*AA88+(1-EXP(-LN(2)/25))/(LN(2)/25)*Calculateur!V89*Calculateur!X89*VLOOKUP('Données projet'!$B$9,Paramètres!$A$1:$I$89,3,0)*0.475*44/12</f>
        <v>4.1351780560540226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20.18498414080209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142.72679502162805</v>
      </c>
      <c r="AO89" s="62">
        <f t="shared" si="90"/>
        <v>372.84389296423961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14.553980328738788</v>
      </c>
      <c r="AV89" s="23">
        <f>EXP(-LN(2)/25)*AV88+(1-EXP(-LN(2)/25))/(LN(2)/25)*Calculateur!AQ89*Calculateur!AS89*VLOOKUP('Données projet'!$B$10,Paramètres!$A$1:$I$89,3,0)*0.475*44/12</f>
        <v>3.7497836276560412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18.303763956394828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169.10494041758477</v>
      </c>
      <c r="BJ89" s="62">
        <f t="shared" si="92"/>
        <v>373.38644103117821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16.016359056039779</v>
      </c>
      <c r="BQ89" s="23">
        <f>EXP(-LN(2)/25)*BQ88+(1-EXP(-LN(2)/25))/(LN(2)/25)*Calculateur!BL89*Calculateur!BN89*VLOOKUP('Données projet'!$B$11,Paramètres!$A$1:$I$89,3,0)*0.475*44/12</f>
        <v>4.25941143469612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20.275770490735898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142.72679502162805</v>
      </c>
      <c r="CE89" s="62">
        <f t="shared" si="94"/>
        <v>372.84389296423961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14.553980328738788</v>
      </c>
      <c r="CL89" s="23">
        <f>EXP(-LN(2)/25)*CL88+(1-EXP(-LN(2)/25))/(LN(2)/25)*Calculateur!CG89*Calculateur!CI89*VLOOKUP('Données projet'!$B$12,Paramètres!$A$1:$I$89,3,0)*0.475*44/12</f>
        <v>3.7497836276560412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18.303763956394828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57.002400000000044</v>
      </c>
      <c r="D90" s="12">
        <f t="shared" si="86"/>
        <v>16.408135906645814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566.6778210337576</v>
      </c>
      <c r="H90" s="70">
        <f t="shared" si="56"/>
        <v>421.19001670407488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133.56954582136541</v>
      </c>
      <c r="T90" s="62">
        <f t="shared" si="88"/>
        <v>412.851273435613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15.735079176841245</v>
      </c>
      <c r="AA90" s="23">
        <f>EXP(-LN(2)/25)*AA89+(1-EXP(-LN(2)/25))/(LN(2)/25)*Calculateur!V90*Calculateur!X90*VLOOKUP('Données projet'!$B$9,Paramètres!$A$1:$I$89,3,0)*0.475*44/12</f>
        <v>4.0221013946516626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19.757180571492906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142.72679502162805</v>
      </c>
      <c r="AO90" s="62">
        <f t="shared" si="90"/>
        <v>372.84389296423961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14.268585651543685</v>
      </c>
      <c r="AV90" s="23">
        <f>EXP(-LN(2)/25)*AV89+(1-EXP(-LN(2)/25))/(LN(2)/25)*Calculateur!AQ90*Calculateur!AS90*VLOOKUP('Données projet'!$B$10,Paramètres!$A$1:$I$89,3,0)*0.475*44/12</f>
        <v>3.6472455971652362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17.915831248708919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169.10494041758477</v>
      </c>
      <c r="BJ90" s="62">
        <f t="shared" si="92"/>
        <v>373.38644103117821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15.702288023965252</v>
      </c>
      <c r="BQ90" s="23">
        <f>EXP(-LN(2)/25)*BQ89+(1-EXP(-LN(2)/25))/(LN(2)/25)*Calculateur!BL90*Calculateur!BN90*VLOOKUP('Données projet'!$B$11,Paramètres!$A$1:$I$89,3,0)*0.475*44/12</f>
        <v>4.1429376050216424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19.845225628986896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142.72679502162805</v>
      </c>
      <c r="CE90" s="62">
        <f t="shared" si="94"/>
        <v>372.84389296423961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14.268585651543685</v>
      </c>
      <c r="CL90" s="23">
        <f>EXP(-LN(2)/25)*CL89+(1-EXP(-LN(2)/25))/(LN(2)/25)*Calculateur!CG90*Calculateur!CI90*VLOOKUP('Données projet'!$B$12,Paramètres!$A$1:$I$89,3,0)*0.475*44/12</f>
        <v>3.6472455971652362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17.915831248708919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57.657600000000045</v>
      </c>
      <c r="D91" s="12">
        <f t="shared" si="86"/>
        <v>16.57467120902604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573.02104091178035</v>
      </c>
      <c r="H91" s="70">
        <f t="shared" si="56"/>
        <v>422.62120568905368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133.56954582136541</v>
      </c>
      <c r="T91" s="62">
        <f t="shared" si="88"/>
        <v>412.851273435613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15.426523871634016</v>
      </c>
      <c r="AA91" s="23">
        <f>EXP(-LN(2)/25)*AA90+(1-EXP(-LN(2)/25))/(LN(2)/25)*Calculateur!V91*Calculateur!X91*VLOOKUP('Données projet'!$B$9,Paramètres!$A$1:$I$89,3,0)*0.475*44/12</f>
        <v>3.9121168205017933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19.338640692135808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142.72679502162805</v>
      </c>
      <c r="AO91" s="62">
        <f t="shared" si="90"/>
        <v>372.84389296423961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13.988787389894812</v>
      </c>
      <c r="AV91" s="23">
        <f>EXP(-LN(2)/25)*AV90+(1-EXP(-LN(2)/25))/(LN(2)/25)*Calculateur!AQ91*Calculateur!AS91*VLOOKUP('Données projet'!$B$10,Paramètres!$A$1:$I$89,3,0)*0.475*44/12</f>
        <v>3.5475114745104426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17.536298864405254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169.10494041758477</v>
      </c>
      <c r="BJ91" s="62">
        <f t="shared" si="92"/>
        <v>373.38644103117821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15.394375733265294</v>
      </c>
      <c r="BQ91" s="23">
        <f>EXP(-LN(2)/25)*BQ90+(1-EXP(-LN(2)/25))/(LN(2)/25)*Calculateur!BL91*Calculateur!BN91*VLOOKUP('Données projet'!$B$11,Paramètres!$A$1:$I$89,3,0)*0.475*44/12</f>
        <v>4.029648758344706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19.424024491609998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142.72679502162805</v>
      </c>
      <c r="CE91" s="62">
        <f t="shared" si="94"/>
        <v>372.84389296423961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13.988787389894812</v>
      </c>
      <c r="CL91" s="23">
        <f>EXP(-LN(2)/25)*CL90+(1-EXP(-LN(2)/25))/(LN(2)/25)*Calculateur!CG91*Calculateur!CI91*VLOOKUP('Données projet'!$B$12,Paramètres!$A$1:$I$89,3,0)*0.475*44/12</f>
        <v>3.5475114745104426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17.536298864405254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58.312800000000045</v>
      </c>
      <c r="D92" s="12">
        <f t="shared" si="86"/>
        <v>16.740986371230964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579.36256146213418</v>
      </c>
      <c r="H92" s="70">
        <f t="shared" si="56"/>
        <v>424.05201126322731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133.56954582136541</v>
      </c>
      <c r="T92" s="62">
        <f t="shared" si="88"/>
        <v>412.851273435613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15.124019147761748</v>
      </c>
      <c r="AA92" s="23">
        <f>EXP(-LN(2)/25)*AA91+(1-EXP(-LN(2)/25))/(LN(2)/25)*Calculateur!V92*Calculateur!X92*VLOOKUP('Données projet'!$B$9,Paramètres!$A$1:$I$89,3,0)*0.475*44/12</f>
        <v>3.8051397803158893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18.929158928077637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142.72679502162805</v>
      </c>
      <c r="AO92" s="62">
        <f t="shared" si="90"/>
        <v>372.84389296423961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13.714475801496786</v>
      </c>
      <c r="AV92" s="23">
        <f>EXP(-LN(2)/25)*AV91+(1-EXP(-LN(2)/25))/(LN(2)/25)*Calculateur!AQ92*Calculateur!AS92*VLOOKUP('Données projet'!$B$10,Paramètres!$A$1:$I$89,3,0)*0.475*44/12</f>
        <v>3.4505045866844339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17.16498038818122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169.10494041758477</v>
      </c>
      <c r="BJ92" s="62">
        <f t="shared" si="92"/>
        <v>373.38644103117821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15.092501414778008</v>
      </c>
      <c r="BQ92" s="23">
        <f>EXP(-LN(2)/25)*BQ91+(1-EXP(-LN(2)/25))/(LN(2)/25)*Calculateur!BL92*Calculateur!BN92*VLOOKUP('Données projet'!$B$11,Paramètres!$A$1:$I$89,3,0)*0.475*44/12</f>
        <v>3.9194578011377517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19.011959215915759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142.72679502162805</v>
      </c>
      <c r="CE92" s="62">
        <f t="shared" si="94"/>
        <v>372.84389296423961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13.714475801496786</v>
      </c>
      <c r="CL92" s="23">
        <f>EXP(-LN(2)/25)*CL91+(1-EXP(-LN(2)/25))/(LN(2)/25)*Calculateur!CG92*Calculateur!CI92*VLOOKUP('Données projet'!$B$12,Paramètres!$A$1:$I$89,3,0)*0.475*44/12</f>
        <v>3.4505045866844339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17.16498038818122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58.968000000000046</v>
      </c>
      <c r="D93" s="12">
        <f t="shared" si="86"/>
        <v>16.907084152971134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585.70240398784779</v>
      </c>
      <c r="H93" s="70">
        <f t="shared" si="56"/>
        <v>425.48243823309144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133.56954582136541</v>
      </c>
      <c r="T93" s="62">
        <f t="shared" si="88"/>
        <v>412.851273435613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14.827446357014953</v>
      </c>
      <c r="AA93" s="23">
        <f>EXP(-LN(2)/25)*AA92+(1-EXP(-LN(2)/25))/(LN(2)/25)*Calculateur!V93*Calculateur!X93*VLOOKUP('Données projet'!$B$9,Paramètres!$A$1:$I$89,3,0)*0.475*44/12</f>
        <v>3.701088032919547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18.528534389934499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142.72679502162805</v>
      </c>
      <c r="AO93" s="62">
        <f t="shared" si="90"/>
        <v>372.84389296423961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13.445543296033698</v>
      </c>
      <c r="AV93" s="23">
        <f>EXP(-LN(2)/25)*AV92+(1-EXP(-LN(2)/25))/(LN(2)/25)*Calculateur!AQ93*Calculateur!AS93*VLOOKUP('Données projet'!$B$10,Paramètres!$A$1:$I$89,3,0)*0.475*44/12</f>
        <v>3.3561503573073983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16.801693653341097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169.10494041758477</v>
      </c>
      <c r="BJ93" s="62">
        <f t="shared" si="92"/>
        <v>373.38644103117821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14.796546667551105</v>
      </c>
      <c r="BQ93" s="23">
        <f>EXP(-LN(2)/25)*BQ92+(1-EXP(-LN(2)/25))/(LN(2)/25)*Calculateur!BL93*Calculateur!BN93*VLOOKUP('Données projet'!$B$11,Paramètres!$A$1:$I$89,3,0)*0.475*44/12</f>
        <v>3.8122800214503121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18.608826689001418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142.72679502162805</v>
      </c>
      <c r="CE93" s="62">
        <f t="shared" si="94"/>
        <v>372.84389296423961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13.445543296033698</v>
      </c>
      <c r="CL93" s="23">
        <f>EXP(-LN(2)/25)*CL92+(1-EXP(-LN(2)/25))/(LN(2)/25)*Calculateur!CG93*Calculateur!CI93*VLOOKUP('Données projet'!$B$12,Paramètres!$A$1:$I$89,3,0)*0.475*44/12</f>
        <v>3.3561503573073983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16.801693653341097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59.623200000000047</v>
      </c>
      <c r="D94" s="12">
        <f t="shared" si="86"/>
        <v>17.072967249098909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592.04058929129008</v>
      </c>
      <c r="H94" s="70">
        <f t="shared" si="56"/>
        <v>426.91249129218068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133.56954582136541</v>
      </c>
      <c r="T94" s="62">
        <f t="shared" si="88"/>
        <v>412.851273435613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14.536689177803161</v>
      </c>
      <c r="AA94" s="23">
        <f>EXP(-LN(2)/25)*AA93+(1-EXP(-LN(2)/25))/(LN(2)/25)*Calculateur!V94*Calculateur!X94*VLOOKUP('Données projet'!$B$9,Paramètres!$A$1:$I$89,3,0)*0.475*44/12</f>
        <v>3.5998815860276014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18.136570763830761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142.72679502162805</v>
      </c>
      <c r="AO94" s="62">
        <f t="shared" si="90"/>
        <v>372.84389296423961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13.181884392970108</v>
      </c>
      <c r="AV94" s="23">
        <f>EXP(-LN(2)/25)*AV93+(1-EXP(-LN(2)/25))/(LN(2)/25)*Calculateur!AQ94*Calculateur!AS94*VLOOKUP('Données projet'!$B$10,Paramètres!$A$1:$I$89,3,0)*0.475*44/12</f>
        <v>3.2643762492945507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16.446260642264658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169.10494041758477</v>
      </c>
      <c r="BJ94" s="62">
        <f t="shared" si="92"/>
        <v>373.38644103117821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14.50639541240275</v>
      </c>
      <c r="BQ94" s="23">
        <f>EXP(-LN(2)/25)*BQ93+(1-EXP(-LN(2)/25))/(LN(2)/25)*Calculateur!BL94*Calculateur!BN94*VLOOKUP('Données projet'!$B$11,Paramètres!$A$1:$I$89,3,0)*0.475*44/12</f>
        <v>3.7080330237846599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18.214428436187411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142.72679502162805</v>
      </c>
      <c r="CE94" s="62">
        <f t="shared" si="94"/>
        <v>372.84389296423961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13.181884392970108</v>
      </c>
      <c r="CL94" s="23">
        <f>EXP(-LN(2)/25)*CL93+(1-EXP(-LN(2)/25))/(LN(2)/25)*Calculateur!CG94*Calculateur!CI94*VLOOKUP('Données projet'!$B$12,Paramètres!$A$1:$I$89,3,0)*0.475*44/12</f>
        <v>3.2643762492945507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16.446260642264658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60.278400000000047</v>
      </c>
      <c r="D95" s="12">
        <f t="shared" si="86"/>
        <v>17.238638291828408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598.37713769130744</v>
      </c>
      <c r="H95" s="70">
        <f t="shared" si="56"/>
        <v>428.34217502493453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133.56954582136541</v>
      </c>
      <c r="T95" s="62">
        <f t="shared" si="88"/>
        <v>412.851273435613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14.251633569531345</v>
      </c>
      <c r="AA95" s="23">
        <f>EXP(-LN(2)/25)*AA94+(1-EXP(-LN(2)/25))/(LN(2)/25)*Calculateur!V95*Calculateur!X95*VLOOKUP('Données projet'!$B$9,Paramètres!$A$1:$I$89,3,0)*0.475*44/12</f>
        <v>3.5014426347481318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17.753076204279477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142.72679502162805</v>
      </c>
      <c r="AO95" s="62">
        <f t="shared" si="90"/>
        <v>372.84389296423961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12.923395680179544</v>
      </c>
      <c r="AV95" s="23">
        <f>EXP(-LN(2)/25)*AV94+(1-EXP(-LN(2)/25))/(LN(2)/25)*Calculateur!AQ95*Calculateur!AS95*VLOOKUP('Données projet'!$B$10,Paramètres!$A$1:$I$89,3,0)*0.475*44/12</f>
        <v>3.1751117090915053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16.098507389271049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169.10494041758477</v>
      </c>
      <c r="BJ95" s="62">
        <f t="shared" si="92"/>
        <v>373.38644103117821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14.221933846393064</v>
      </c>
      <c r="BQ95" s="23">
        <f>EXP(-LN(2)/25)*BQ94+(1-EXP(-LN(2)/25))/(LN(2)/25)*Calculateur!BL95*Calculateur!BN95*VLOOKUP('Données projet'!$B$11,Paramètres!$A$1:$I$89,3,0)*0.475*44/12</f>
        <v>3.6066366657522866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17.828570512145351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142.72679502162805</v>
      </c>
      <c r="CE95" s="62">
        <f t="shared" si="94"/>
        <v>372.84389296423961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12.923395680179544</v>
      </c>
      <c r="CL95" s="23">
        <f>EXP(-LN(2)/25)*CL94+(1-EXP(-LN(2)/25))/(LN(2)/25)*Calculateur!CG95*Calculateur!CI95*VLOOKUP('Données projet'!$B$12,Paramètres!$A$1:$I$89,3,0)*0.475*44/12</f>
        <v>3.1751117090915053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16.098507389271049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60.933600000000048</v>
      </c>
      <c r="D96" s="12">
        <f t="shared" si="86"/>
        <v>17.404099852856159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604.71206903959182</v>
      </c>
      <c r="H96" s="70">
        <f t="shared" si="56"/>
        <v>429.7714939103912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133.56954582136541</v>
      </c>
      <c r="T96" s="62">
        <f t="shared" si="88"/>
        <v>412.851273435613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13.972167727870985</v>
      </c>
      <c r="AA96" s="23">
        <f>EXP(-LN(2)/25)*AA95+(1-EXP(-LN(2)/25))/(LN(2)/25)*Calculateur!V96*Calculateur!X96*VLOOKUP('Données projet'!$B$9,Paramètres!$A$1:$I$89,3,0)*0.475*44/12</f>
        <v>3.4056955017680788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17.377863229639065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142.72679502162805</v>
      </c>
      <c r="AO96" s="62">
        <f t="shared" si="90"/>
        <v>372.84389296423961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12.669975773384257</v>
      </c>
      <c r="AV96" s="23">
        <f>EXP(-LN(2)/25)*AV95+(1-EXP(-LN(2)/25))/(LN(2)/25)*Calculateur!AQ96*Calculateur!AS96*VLOOKUP('Données projet'!$B$10,Paramètres!$A$1:$I$89,3,0)*0.475*44/12</f>
        <v>3.0882881124345301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15.758263885818787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169.10494041758477</v>
      </c>
      <c r="BJ96" s="62">
        <f t="shared" si="92"/>
        <v>373.38644103117821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13.943050398188404</v>
      </c>
      <c r="BQ96" s="23">
        <f>EXP(-LN(2)/25)*BQ95+(1-EXP(-LN(2)/25))/(LN(2)/25)*Calculateur!BL96*Calculateur!BN96*VLOOKUP('Données projet'!$B$11,Paramètres!$A$1:$I$89,3,0)*0.475*44/12</f>
        <v>3.5080129964625111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17.451063394650916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142.72679502162805</v>
      </c>
      <c r="CE96" s="62">
        <f t="shared" si="94"/>
        <v>372.84389296423961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12.669975773384257</v>
      </c>
      <c r="CL96" s="23">
        <f>EXP(-LN(2)/25)*CL95+(1-EXP(-LN(2)/25))/(LN(2)/25)*Calculateur!CG96*Calculateur!CI96*VLOOKUP('Données projet'!$B$12,Paramètres!$A$1:$I$89,3,0)*0.475*44/12</f>
        <v>3.0882881124345301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15.758263885818787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61.588800000000049</v>
      </c>
      <c r="D97" s="12">
        <f t="shared" si="86"/>
        <v>17.569354445387837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611.04540273632745</v>
      </c>
      <c r="H97" s="70">
        <f t="shared" si="56"/>
        <v>431.20045232571721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133.56954582136541</v>
      </c>
      <c r="T97" s="62">
        <f t="shared" si="88"/>
        <v>412.851273435613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13.698182040908254</v>
      </c>
      <c r="AA97" s="23">
        <f>EXP(-LN(2)/25)*AA96+(1-EXP(-LN(2)/25))/(LN(2)/25)*Calculateur!V97*Calculateur!X97*VLOOKUP('Données projet'!$B$9,Paramètres!$A$1:$I$89,3,0)*0.475*44/12</f>
        <v>3.3125665791744883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17.010748620082744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142.72679502162805</v>
      </c>
      <c r="AO97" s="62">
        <f t="shared" si="90"/>
        <v>372.84389296423961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12.421525276390344</v>
      </c>
      <c r="AV97" s="23">
        <f>EXP(-LN(2)/25)*AV96+(1-EXP(-LN(2)/25))/(LN(2)/25)*Calculateur!AQ97*Calculateur!AS97*VLOOKUP('Données projet'!$B$10,Paramètres!$A$1:$I$89,3,0)*0.475*44/12</f>
        <v>3.0038387115939944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15.425363987984339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169.10494041758477</v>
      </c>
      <c r="BJ97" s="62">
        <f t="shared" si="92"/>
        <v>373.38644103117821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13.66963568430093</v>
      </c>
      <c r="BQ97" s="23">
        <f>EXP(-LN(2)/25)*BQ96+(1-EXP(-LN(2)/25))/(LN(2)/25)*Calculateur!BL97*Calculateur!BN97*VLOOKUP('Données projet'!$B$11,Paramètres!$A$1:$I$89,3,0)*0.475*44/12</f>
        <v>3.4120861965958578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17.081721880896787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142.72679502162805</v>
      </c>
      <c r="CE97" s="62">
        <f t="shared" si="94"/>
        <v>372.84389296423961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12.421525276390344</v>
      </c>
      <c r="CL97" s="23">
        <f>EXP(-LN(2)/25)*CL96+(1-EXP(-LN(2)/25))/(LN(2)/25)*Calculateur!CG97*Calculateur!CI97*VLOOKUP('Données projet'!$B$12,Paramètres!$A$1:$I$89,3,0)*0.475*44/12</f>
        <v>3.0038387115939944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15.425363987984339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62.24400000000005</v>
      </c>
      <c r="D98" s="12">
        <f t="shared" si="86"/>
        <v>17.734404526076446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617.37715774515198</v>
      </c>
      <c r="H98" s="70">
        <f t="shared" si="56"/>
        <v>432.6290545495832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133.56954582136541</v>
      </c>
      <c r="T98" s="62">
        <f t="shared" si="88"/>
        <v>412.851273435613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13.429569046152094</v>
      </c>
      <c r="AA98" s="23">
        <f>EXP(-LN(2)/25)*AA97+(1-EXP(-LN(2)/25))/(LN(2)/25)*Calculateur!V98*Calculateur!X98*VLOOKUP('Données projet'!$B$9,Paramètres!$A$1:$I$89,3,0)*0.475*44/12</f>
        <v>3.2219842718666563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16.651553318018749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142.72679502162805</v>
      </c>
      <c r="AO98" s="62">
        <f t="shared" si="90"/>
        <v>372.84389296423961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12.177946742102643</v>
      </c>
      <c r="AV98" s="23">
        <f>EXP(-LN(2)/25)*AV97+(1-EXP(-LN(2)/25))/(LN(2)/25)*Calculateur!AQ98*Calculateur!AS98*VLOOKUP('Données projet'!$B$10,Paramètres!$A$1:$I$89,3,0)*0.475*44/12</f>
        <v>2.9216985840604441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15.099645326163087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169.10494041758477</v>
      </c>
      <c r="BJ98" s="62">
        <f t="shared" si="92"/>
        <v>373.38644103117821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13.401582466186282</v>
      </c>
      <c r="BQ98" s="23">
        <f>EXP(-LN(2)/25)*BQ97+(1-EXP(-LN(2)/25))/(LN(2)/25)*Calculateur!BL98*Calculateur!BN98*VLOOKUP('Données projet'!$B$11,Paramètres!$A$1:$I$89,3,0)*0.475*44/12</f>
        <v>3.3187825201161294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16.72036498630241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142.72679502162805</v>
      </c>
      <c r="CE98" s="62">
        <f t="shared" si="94"/>
        <v>372.84389296423961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12.177946742102643</v>
      </c>
      <c r="CL98" s="23">
        <f>EXP(-LN(2)/25)*CL97+(1-EXP(-LN(2)/25))/(LN(2)/25)*Calculateur!CG98*Calculateur!CI98*VLOOKUP('Données projet'!$B$12,Paramètres!$A$1:$I$89,3,0)*0.475*44/12</f>
        <v>2.9216985840604441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15.099645326163087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62.89920000000005</v>
      </c>
      <c r="D99" s="12">
        <f t="shared" si="86"/>
        <v>17.899252496876422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623.70735260746756</v>
      </c>
      <c r="H99" s="70">
        <f t="shared" si="56"/>
        <v>434.05730476539316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133.56954582136541</v>
      </c>
      <c r="T99" s="62">
        <f t="shared" si="88"/>
        <v>412.851273435613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13.166223388385353</v>
      </c>
      <c r="AA99" s="23">
        <f>EXP(-LN(2)/25)*AA98+(1-EXP(-LN(2)/25))/(LN(2)/25)*Calculateur!V99*Calculateur!X99*VLOOKUP('Données projet'!$B$9,Paramètres!$A$1:$I$89,3,0)*0.475*44/12</f>
        <v>3.1338789425156737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16.300102330901026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142.72679502162805</v>
      </c>
      <c r="AO99" s="62">
        <f t="shared" si="90"/>
        <v>372.84389296423961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11.939144634304087</v>
      </c>
      <c r="AV99" s="23">
        <f>EXP(-LN(2)/25)*AV98+(1-EXP(-LN(2)/25))/(LN(2)/25)*Calculateur!AQ99*Calculateur!AS99*VLOOKUP('Données projet'!$B$10,Paramètres!$A$1:$I$89,3,0)*0.475*44/12</f>
        <v>2.8418045826338605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14.780949216937948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169.10494041758477</v>
      </c>
      <c r="BJ99" s="62">
        <f t="shared" si="92"/>
        <v>373.38644103117821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13.138785608182543</v>
      </c>
      <c r="BQ99" s="23">
        <f>EXP(-LN(2)/25)*BQ98+(1-EXP(-LN(2)/25))/(LN(2)/25)*Calculateur!BL99*Calculateur!BN99*VLOOKUP('Données projet'!$B$11,Paramètres!$A$1:$I$89,3,0)*0.475*44/12</f>
        <v>3.2280302375763661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16.366815845758907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142.72679502162805</v>
      </c>
      <c r="CE99" s="62">
        <f t="shared" si="94"/>
        <v>372.84389296423961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11.939144634304087</v>
      </c>
      <c r="CL99" s="23">
        <f>EXP(-LN(2)/25)*CL98+(1-EXP(-LN(2)/25))/(LN(2)/25)*Calculateur!CG99*Calculateur!CI99*VLOOKUP('Données projet'!$B$12,Paramètres!$A$1:$I$89,3,0)*0.475*44/12</f>
        <v>2.8418045826338605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14.780949216937948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63.554400000000051</v>
      </c>
      <c r="D100" s="12">
        <f t="shared" si="86"/>
        <v>18.063900706818384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630.03600545614233</v>
      </c>
      <c r="H100" s="70">
        <f t="shared" si="56"/>
        <v>435.48520706437546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133.56954582136541</v>
      </c>
      <c r="T100" s="62">
        <f t="shared" si="88"/>
        <v>412.851273435613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12.908041778342426</v>
      </c>
      <c r="AA100" s="23">
        <f>EXP(-LN(2)/25)*AA99+(1-EXP(-LN(2)/25))/(LN(2)/25)*Calculateur!V100*Calculateur!X100*VLOOKUP('Données projet'!$B$9,Paramètres!$A$1:$I$89,3,0)*0.475*44/12</f>
        <v>3.0481828580290515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15.956224636371477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142.72679502162805</v>
      </c>
      <c r="AO100" s="62">
        <f t="shared" si="90"/>
        <v>372.84389296423961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11.705025290184558</v>
      </c>
      <c r="AV100" s="23">
        <f>EXP(-LN(2)/25)*AV99+(1-EXP(-LN(2)/25))/(LN(2)/25)*Calculateur!AQ100*Calculateur!AS100*VLOOKUP('Données projet'!$B$10,Paramètres!$A$1:$I$89,3,0)*0.475*44/12</f>
        <v>2.7640952868777298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14.469120577062288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169.10494041758477</v>
      </c>
      <c r="BJ100" s="62">
        <f t="shared" si="92"/>
        <v>373.38644103117821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12.881142036274001</v>
      </c>
      <c r="BQ100" s="23">
        <f>EXP(-LN(2)/25)*BQ99+(1-EXP(-LN(2)/25))/(LN(2)/25)*Calculateur!BL100*Calculateur!BN100*VLOOKUP('Données projet'!$B$11,Paramètres!$A$1:$I$89,3,0)*0.475*44/12</f>
        <v>3.1397595809751078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16.020901617249109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142.72679502162805</v>
      </c>
      <c r="CE100" s="62">
        <f t="shared" si="94"/>
        <v>372.84389296423961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11.705025290184558</v>
      </c>
      <c r="CL100" s="23">
        <f>EXP(-LN(2)/25)*CL99+(1-EXP(-LN(2)/25))/(LN(2)/25)*Calculateur!CG100*Calculateur!CI100*VLOOKUP('Données projet'!$B$12,Paramètres!$A$1:$I$89,3,0)*0.475*44/12</f>
        <v>2.7640952868777298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14.469120577062288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64.209600000000052</v>
      </c>
      <c r="D101" s="12">
        <f t="shared" si="86"/>
        <v>18.228351453708505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636.36313402862754</v>
      </c>
      <c r="H101" s="70">
        <f t="shared" si="56"/>
        <v>436.91276544854236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133.56954582136541</v>
      </c>
      <c r="T101" s="62">
        <f t="shared" si="88"/>
        <v>412.851273435613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12.654922952197209</v>
      </c>
      <c r="AA101" s="23">
        <f>EXP(-LN(2)/25)*AA100+(1-EXP(-LN(2)/25))/(LN(2)/25)*Calculateur!V101*Calculateur!X101*VLOOKUP('Données projet'!$B$9,Paramètres!$A$1:$I$89,3,0)*0.475*44/12</f>
        <v>2.9648301374792774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15.619753089676486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142.72679502162805</v>
      </c>
      <c r="AO101" s="62">
        <f t="shared" si="90"/>
        <v>372.84389296423961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11.475496883604512</v>
      </c>
      <c r="AV101" s="23">
        <f>EXP(-LN(2)/25)*AV100+(1-EXP(-LN(2)/25))/(LN(2)/25)*Calculateur!AQ101*Calculateur!AS101*VLOOKUP('Données projet'!$B$10,Paramètres!$A$1:$I$89,3,0)*0.475*44/12</f>
        <v>2.6885109559006044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14.164007839505116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169.10494041758477</v>
      </c>
      <c r="BJ101" s="62">
        <f t="shared" si="92"/>
        <v>373.38644103117821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12.628550697663524</v>
      </c>
      <c r="BQ101" s="23">
        <f>EXP(-LN(2)/25)*BQ100+(1-EXP(-LN(2)/25))/(LN(2)/25)*Calculateur!BL101*Calculateur!BN101*VLOOKUP('Données projet'!$B$11,Paramètres!$A$1:$I$89,3,0)*0.475*44/12</f>
        <v>3.0539026901205633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15.682453387784086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142.72679502162805</v>
      </c>
      <c r="CE101" s="62">
        <f t="shared" si="94"/>
        <v>372.84389296423961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11.475496883604512</v>
      </c>
      <c r="CL101" s="23">
        <f>EXP(-LN(2)/25)*CL100+(1-EXP(-LN(2)/25))/(LN(2)/25)*Calculateur!CG101*Calculateur!CI101*VLOOKUP('Données projet'!$B$12,Paramètres!$A$1:$I$89,3,0)*0.475*44/12</f>
        <v>2.6885109559006044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14.164007839505116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64.864800000000045</v>
      </c>
      <c r="D102" s="12">
        <f t="shared" si="86"/>
        <v>18.392606985756636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642.68875567952534</v>
      </c>
      <c r="H102" s="70">
        <f t="shared" si="56"/>
        <v>438.33998383352616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133.56954582136541</v>
      </c>
      <c r="T102" s="62">
        <f t="shared" si="88"/>
        <v>412.851273435613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12.40676763184546</v>
      </c>
      <c r="AA102" s="23">
        <f>EXP(-LN(2)/25)*AA101+(1-EXP(-LN(2)/25))/(LN(2)/25)*Calculateur!V102*Calculateur!X102*VLOOKUP('Données projet'!$B$9,Paramètres!$A$1:$I$89,3,0)*0.475*44/12</f>
        <v>2.8837567014562659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15.290524333301725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142.72679502162805</v>
      </c>
      <c r="AO102" s="62">
        <f t="shared" si="90"/>
        <v>372.84389296423961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11.250469389078997</v>
      </c>
      <c r="AV102" s="23">
        <f>EXP(-LN(2)/25)*AV101+(1-EXP(-LN(2)/25))/(LN(2)/25)*Calculateur!AQ102*Calculateur!AS102*VLOOKUP('Données projet'!$B$10,Paramètres!$A$1:$I$89,3,0)*0.475*44/12</f>
        <v>2.6149934824288561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13.865462871507853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169.10494041758477</v>
      </c>
      <c r="BJ102" s="62">
        <f t="shared" si="92"/>
        <v>373.38644103117821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12.380912521137693</v>
      </c>
      <c r="BQ102" s="23">
        <f>EXP(-LN(2)/25)*BQ101+(1-EXP(-LN(2)/25))/(LN(2)/25)*Calculateur!BL102*Calculateur!BN102*VLOOKUP('Données projet'!$B$11,Paramètres!$A$1:$I$89,3,0)*0.475*44/12</f>
        <v>2.9703935604614538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15.351306081599148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142.72679502162805</v>
      </c>
      <c r="CE102" s="62">
        <f t="shared" si="94"/>
        <v>372.84389296423961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11.250469389078997</v>
      </c>
      <c r="CL102" s="23">
        <f>EXP(-LN(2)/25)*CL101+(1-EXP(-LN(2)/25))/(LN(2)/25)*Calculateur!CG102*Calculateur!CI102*VLOOKUP('Données projet'!$B$12,Paramètres!$A$1:$I$89,3,0)*0.475*44/12</f>
        <v>2.6149934824288561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13.865462871507853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65.520000000000039</v>
      </c>
      <c r="D103" s="12">
        <f t="shared" si="86"/>
        <v>18.556669503136725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649.01288739263475</v>
      </c>
      <c r="H103" s="70">
        <f t="shared" si="56"/>
        <v>439.76686605129652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133.56954582136541</v>
      </c>
      <c r="T103" s="62">
        <f t="shared" si="88"/>
        <v>412.851273435613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12.163478485966008</v>
      </c>
      <c r="AA103" s="23">
        <f>EXP(-LN(2)/25)*AA102+(1-EXP(-LN(2)/25))/(LN(2)/25)*Calculateur!V103*Calculateur!X103*VLOOKUP('Données projet'!$B$9,Paramètres!$A$1:$I$89,3,0)*0.475*44/12</f>
        <v>2.8049002228047701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14.968378708770778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142.72679502162805</v>
      </c>
      <c r="AO103" s="62">
        <f t="shared" si="90"/>
        <v>372.84389296423961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11.029854546467909</v>
      </c>
      <c r="AV103" s="23">
        <f>EXP(-LN(2)/25)*AV102+(1-EXP(-LN(2)/25))/(LN(2)/25)*Calculateur!AQ103*Calculateur!AS103*VLOOKUP('Données projet'!$B$10,Paramètres!$A$1:$I$89,3,0)*0.475*44/12</f>
        <v>2.5434863481353083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13.573340894603218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169.10494041758477</v>
      </c>
      <c r="BJ103" s="62">
        <f t="shared" si="92"/>
        <v>373.38644103117821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12.138130378209162</v>
      </c>
      <c r="BQ103" s="23">
        <f>EXP(-LN(2)/25)*BQ102+(1-EXP(-LN(2)/25))/(LN(2)/25)*Calculateur!BL103*Calculateur!BN103*VLOOKUP('Données projet'!$B$11,Paramètres!$A$1:$I$89,3,0)*0.475*44/12</f>
        <v>2.8891679923444267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15.027298370553588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142.72679502162805</v>
      </c>
      <c r="CE103" s="62">
        <f t="shared" si="94"/>
        <v>372.84389296423961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11.029854546467909</v>
      </c>
      <c r="CL103" s="23">
        <f>EXP(-LN(2)/25)*CL102+(1-EXP(-LN(2)/25))/(LN(2)/25)*Calculateur!CG103*Calculateur!CI103*VLOOKUP('Données projet'!$B$12,Paramètres!$A$1:$I$89,3,0)*0.475*44/12</f>
        <v>2.5434863481353083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13.573340894603218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66.175200000000032</v>
      </c>
      <c r="D104" s="12">
        <f t="shared" si="86"/>
        <v>18.720541159483037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655.33554579250085</v>
      </c>
      <c r="H104" s="70">
        <f t="shared" si="56"/>
        <v>441.19341585276629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133.56954582136541</v>
      </c>
      <c r="T104" s="62">
        <f t="shared" si="88"/>
        <v>412.851273435613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11.924960091845527</v>
      </c>
      <c r="AA104" s="23">
        <f>EXP(-LN(2)/25)*AA103+(1-EXP(-LN(2)/25))/(LN(2)/25)*Calculateur!V104*Calculateur!X104*VLOOKUP('Données projet'!$B$9,Paramètres!$A$1:$I$89,3,0)*0.475*44/12</f>
        <v>2.7282000787088818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14.653160170554409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142.72679502162805</v>
      </c>
      <c r="AO104" s="62">
        <f t="shared" si="90"/>
        <v>372.84389296423961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10.813565826358657</v>
      </c>
      <c r="AV104" s="23">
        <f>EXP(-LN(2)/25)*AV103+(1-EXP(-LN(2)/25))/(LN(2)/25)*Calculateur!AQ104*Calculateur!AS104*VLOOKUP('Données projet'!$B$10,Paramètres!$A$1:$I$89,3,0)*0.475*44/12</f>
        <v>2.4739345801894146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13.287500406548071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169.10494041758477</v>
      </c>
      <c r="BJ104" s="62">
        <f t="shared" si="92"/>
        <v>373.38644103117821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11.900109045020974</v>
      </c>
      <c r="BQ104" s="23">
        <f>EXP(-LN(2)/25)*BQ103+(1-EXP(-LN(2)/25))/(LN(2)/25)*Calculateur!BL104*Calculateur!BN104*VLOOKUP('Données projet'!$B$11,Paramètres!$A$1:$I$89,3,0)*0.475*44/12</f>
        <v>2.8101635416590267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14.71027258668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142.72679502162805</v>
      </c>
      <c r="CE104" s="62">
        <f t="shared" si="94"/>
        <v>372.84389296423961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10.813565826358657</v>
      </c>
      <c r="CL104" s="23">
        <f>EXP(-LN(2)/25)*CL103+(1-EXP(-LN(2)/25))/(LN(2)/25)*Calculateur!CG104*Calculateur!CI104*VLOOKUP('Données projet'!$B$12,Paramètres!$A$1:$I$89,3,0)*0.475*44/12</f>
        <v>2.4739345801894146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13.287500406548071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66.830400000000026</v>
      </c>
      <c r="D105" s="12">
        <f t="shared" si="86"/>
        <v>18.884224063325359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661.65674715549426</v>
      </c>
      <c r="H105" s="70">
        <f t="shared" si="56"/>
        <v>442.61963691029166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133.56954582136541</v>
      </c>
      <c r="T105" s="62">
        <f t="shared" si="88"/>
        <v>412.851273435613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11.691118897951894</v>
      </c>
      <c r="AA105" s="23">
        <f>EXP(-LN(2)/25)*AA104+(1-EXP(-LN(2)/25))/(LN(2)/25)*Calculateur!V105*Calculateur!X105*VLOOKUP('Données projet'!$B$9,Paramètres!$A$1:$I$89,3,0)*0.475*44/12</f>
        <v>2.6535973040867806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14.344716202038674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142.72679502162805</v>
      </c>
      <c r="AO105" s="62">
        <f t="shared" si="90"/>
        <v>372.84389296423961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10.601518396127654</v>
      </c>
      <c r="AV105" s="23">
        <f>EXP(-LN(2)/25)*AV104+(1-EXP(-LN(2)/25))/(LN(2)/25)*Calculateur!AQ105*Calculateur!AS105*VLOOKUP('Données projet'!$B$10,Paramètres!$A$1:$I$89,3,0)*0.475*44/12</f>
        <v>2.4062847089955697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13.007803105123223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169.10494041758477</v>
      </c>
      <c r="BJ105" s="62">
        <f t="shared" si="92"/>
        <v>373.38644103117821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11.666755164997928</v>
      </c>
      <c r="BQ105" s="23">
        <f>EXP(-LN(2)/25)*BQ104+(1-EXP(-LN(2)/25))/(LN(2)/25)*Calculateur!BL105*Calculateur!BN105*VLOOKUP('Données projet'!$B$11,Paramètres!$A$1:$I$89,3,0)*0.475*44/12</f>
        <v>2.7333194718322829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14.400074636830212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142.72679502162805</v>
      </c>
      <c r="CE105" s="62">
        <f t="shared" si="94"/>
        <v>372.84389296423961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10.601518396127654</v>
      </c>
      <c r="CL105" s="23">
        <f>EXP(-LN(2)/25)*CL104+(1-EXP(-LN(2)/25))/(LN(2)/25)*Calculateur!CG105*Calculateur!CI105*VLOOKUP('Données projet'!$B$12,Paramètres!$A$1:$I$89,3,0)*0.475*44/12</f>
        <v>2.4062847089955697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13.007803105123223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67.485600000000019</v>
      </c>
      <c r="D106" s="12">
        <f t="shared" si="86"/>
        <v>19.047720279466496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667.97650742044334</v>
      </c>
      <c r="H106" s="70">
        <f t="shared" si="56"/>
        <v>444.04553282007089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133.56954582136541</v>
      </c>
      <c r="T106" s="62">
        <f t="shared" si="88"/>
        <v>412.851273435613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11.46186318724147</v>
      </c>
      <c r="AA106" s="23">
        <f>EXP(-LN(2)/25)*AA105+(1-EXP(-LN(2)/25))/(LN(2)/25)*Calculateur!V106*Calculateur!X106*VLOOKUP('Données projet'!$B$9,Paramètres!$A$1:$I$89,3,0)*0.475*44/12</f>
        <v>2.5810345462599105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14.04289773350138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142.72679502162805</v>
      </c>
      <c r="AO106" s="62">
        <f t="shared" si="90"/>
        <v>372.84389296423961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10.393629086667319</v>
      </c>
      <c r="AV106" s="23">
        <f>EXP(-LN(2)/25)*AV105+(1-EXP(-LN(2)/25))/(LN(2)/25)*Calculateur!AQ106*Calculateur!AS106*VLOOKUP('Données projet'!$B$10,Paramètres!$A$1:$I$89,3,0)*0.475*44/12</f>
        <v>2.3404847270870728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12.734113813754393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169.10494041758477</v>
      </c>
      <c r="BJ106" s="62">
        <f t="shared" si="92"/>
        <v>373.38644103117821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11.43797721223032</v>
      </c>
      <c r="BQ106" s="23">
        <f>EXP(-LN(2)/25)*BQ105+(1-EXP(-LN(2)/25))/(LN(2)/25)*Calculateur!BL106*Calculateur!BN106*VLOOKUP('Données projet'!$B$11,Paramètres!$A$1:$I$89,3,0)*0.475*44/12</f>
        <v>2.6585767071360054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14.096553919366325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142.72679502162805</v>
      </c>
      <c r="CE106" s="62">
        <f t="shared" si="94"/>
        <v>372.84389296423961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10.393629086667319</v>
      </c>
      <c r="CL106" s="23">
        <f>EXP(-LN(2)/25)*CL105+(1-EXP(-LN(2)/25))/(LN(2)/25)*Calculateur!CG106*Calculateur!CI106*VLOOKUP('Données projet'!$B$12,Paramètres!$A$1:$I$89,3,0)*0.475*44/12</f>
        <v>2.3404847270870728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12.734113813754393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68.140800000000013</v>
      </c>
      <c r="D107" s="12">
        <f t="shared" si="86"/>
        <v>19.211031830304478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674.29484219884182</v>
      </c>
      <c r="H107" s="70">
        <f t="shared" si="56"/>
        <v>445.47110710444701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133.56954582136541</v>
      </c>
      <c r="T107" s="62">
        <f t="shared" si="88"/>
        <v>412.851273435613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11.2371030411859</v>
      </c>
      <c r="AA107" s="23">
        <f>EXP(-LN(2)/25)*AA106+(1-EXP(-LN(2)/25))/(LN(2)/25)*Calculateur!V107*Calculateur!X107*VLOOKUP('Données projet'!$B$9,Paramètres!$A$1:$I$89,3,0)*0.475*44/12</f>
        <v>2.5104560208617253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13.747559062047625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142.72679502162805</v>
      </c>
      <c r="AO107" s="62">
        <f t="shared" si="90"/>
        <v>372.84389296423961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10.189816359765544</v>
      </c>
      <c r="AV107" s="23">
        <f>EXP(-LN(2)/25)*AV106+(1-EXP(-LN(2)/25))/(LN(2)/25)*Calculateur!AQ107*Calculateur!AS107*VLOOKUP('Données projet'!$B$10,Paramètres!$A$1:$I$89,3,0)*0.475*44/12</f>
        <v>2.276484049144134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12.466300408909678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169.10494041758477</v>
      </c>
      <c r="BJ107" s="62">
        <f t="shared" si="92"/>
        <v>373.38644103117821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11.213685455575714</v>
      </c>
      <c r="BQ107" s="23">
        <f>EXP(-LN(2)/25)*BQ106+(1-EXP(-LN(2)/25))/(LN(2)/25)*Calculateur!BL107*Calculateur!BN107*VLOOKUP('Données projet'!$B$11,Paramètres!$A$1:$I$89,3,0)*0.475*44/12</f>
        <v>2.5858777872708987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13.799563242846613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142.72679502162805</v>
      </c>
      <c r="CE107" s="62">
        <f t="shared" si="94"/>
        <v>372.84389296423961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10.189816359765544</v>
      </c>
      <c r="CL107" s="23">
        <f>EXP(-LN(2)/25)*CL106+(1-EXP(-LN(2)/25))/(LN(2)/25)*Calculateur!CG107*Calculateur!CI107*VLOOKUP('Données projet'!$B$12,Paramètres!$A$1:$I$89,3,0)*0.475*44/12</f>
        <v>2.276484049144134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12.466300408909678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68.796000000000006</v>
      </c>
      <c r="D108" s="12">
        <f t="shared" si="86"/>
        <v>19.374160697102734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680.61176678465279</v>
      </c>
      <c r="H108" s="70">
        <f t="shared" si="56"/>
        <v>446.89636321412058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133.56954582136541</v>
      </c>
      <c r="T108" s="62">
        <f t="shared" si="88"/>
        <v>412.851273435613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11.016750304504328</v>
      </c>
      <c r="AA108" s="23">
        <f>EXP(-LN(2)/25)*AA107+(1-EXP(-LN(2)/25))/(LN(2)/25)*Calculateur!V108*Calculateur!X108*VLOOKUP('Données projet'!$B$9,Paramètres!$A$1:$I$89,3,0)*0.475*44/12</f>
        <v>2.441807468952117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13.458557773456445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142.72679502162805</v>
      </c>
      <c r="AO108" s="62">
        <f t="shared" si="90"/>
        <v>372.84389296423961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9.9900002761248228</v>
      </c>
      <c r="AV108" s="23">
        <f>EXP(-LN(2)/25)*AV107+(1-EXP(-LN(2)/25))/(LN(2)/25)*Calculateur!AQ108*Calculateur!AS108*VLOOKUP('Données projet'!$B$10,Paramètres!$A$1:$I$89,3,0)*0.475*44/12</f>
        <v>2.2142334731051947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12.204233749230017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169.10494041758477</v>
      </c>
      <c r="BJ108" s="62">
        <f t="shared" si="92"/>
        <v>373.38644103117821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10.99379192346464</v>
      </c>
      <c r="BQ108" s="23">
        <f>EXP(-LN(2)/25)*BQ107+(1-EXP(-LN(2)/25))/(LN(2)/25)*Calculateur!BL108*Calculateur!BN108*VLOOKUP('Données projet'!$B$11,Paramètres!$A$1:$I$89,3,0)*0.475*44/12</f>
        <v>2.515166823192573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13.508958746657212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142.72679502162805</v>
      </c>
      <c r="CE108" s="62">
        <f t="shared" si="94"/>
        <v>372.84389296423961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9.9900002761248228</v>
      </c>
      <c r="CL108" s="23">
        <f>EXP(-LN(2)/25)*CL107+(1-EXP(-LN(2)/25))/(LN(2)/25)*Calculateur!CG108*Calculateur!CI108*VLOOKUP('Données projet'!$B$12,Paramètres!$A$1:$I$89,3,0)*0.475*44/12</f>
        <v>2.2142334731051947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12.204233749230017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69.4512</v>
      </c>
      <c r="D109" s="12">
        <f t="shared" si="86"/>
        <v>19.537108821210285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686.92729616372844</v>
      </c>
      <c r="H109" s="70">
        <f t="shared" si="56"/>
        <v>448.32130453027457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133.56954582136541</v>
      </c>
      <c r="T109" s="62">
        <f t="shared" si="88"/>
        <v>412.851273435613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10.800718550587183</v>
      </c>
      <c r="AA109" s="23">
        <f>EXP(-LN(2)/25)*AA108+(1-EXP(-LN(2)/25))/(LN(2)/25)*Calculateur!V109*Calculateur!X109*VLOOKUP('Données projet'!$B$9,Paramètres!$A$1:$I$89,3,0)*0.475*44/12</f>
        <v>2.3750361153045474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13.175754665891731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142.72679502162805</v>
      </c>
      <c r="AO109" s="62">
        <f t="shared" si="90"/>
        <v>372.84389296423961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9.794102464008521</v>
      </c>
      <c r="AV109" s="23">
        <f>EXP(-LN(2)/25)*AV108+(1-EXP(-LN(2)/25))/(LN(2)/25)*Calculateur!AQ109*Calculateur!AS109*VLOOKUP('Données projet'!$B$10,Paramètres!$A$1:$I$89,3,0)*0.475*44/12</f>
        <v>2.1536851423416556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11.947787606350177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169.10494041758477</v>
      </c>
      <c r="BJ109" s="62">
        <f t="shared" si="92"/>
        <v>373.38644103117821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10.778210369396453</v>
      </c>
      <c r="BQ109" s="23">
        <f>EXP(-LN(2)/25)*BQ108+(1-EXP(-LN(2)/25))/(LN(2)/25)*Calculateur!BL109*Calculateur!BN109*VLOOKUP('Données projet'!$B$11,Paramètres!$A$1:$I$89,3,0)*0.475*44/12</f>
        <v>2.4463894541454976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13.224599823541951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142.72679502162805</v>
      </c>
      <c r="CE109" s="62">
        <f t="shared" si="94"/>
        <v>372.84389296423961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9.794102464008521</v>
      </c>
      <c r="CL109" s="23">
        <f>EXP(-LN(2)/25)*CL108+(1-EXP(-LN(2)/25))/(LN(2)/25)*Calculateur!CG109*Calculateur!CI109*VLOOKUP('Données projet'!$B$12,Paramètres!$A$1:$I$89,3,0)*0.475*44/12</f>
        <v>2.1536851423416556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11.947787606350177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70.106399999999994</v>
      </c>
      <c r="D110" s="12">
        <f t="shared" si="86"/>
        <v>19.699878105234674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693.24144502286424</v>
      </c>
      <c r="H110" s="70">
        <f t="shared" si="56"/>
        <v>449.74593436661701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133.56954582136541</v>
      </c>
      <c r="T110" s="62">
        <f t="shared" si="88"/>
        <v>412.851273435613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10.588923047597994</v>
      </c>
      <c r="AA110" s="23">
        <f>EXP(-LN(2)/25)*AA109+(1-EXP(-LN(2)/25))/(LN(2)/25)*Calculateur!V110*Calculateur!X110*VLOOKUP('Données projet'!$B$9,Paramètres!$A$1:$I$89,3,0)*0.475*44/12</f>
        <v>2.3100906278338234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12.899013675431817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142.72679502162805</v>
      </c>
      <c r="AO110" s="62">
        <f t="shared" si="90"/>
        <v>372.84389296423961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9.6020460885019521</v>
      </c>
      <c r="AV110" s="23">
        <f>EXP(-LN(2)/25)*AV109+(1-EXP(-LN(2)/25))/(LN(2)/25)*Calculateur!AQ110*Calculateur!AS110*VLOOKUP('Données projet'!$B$10,Paramètres!$A$1:$I$89,3,0)*0.475*44/12</f>
        <v>2.0947925088669437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11.696838597368895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169.10494041758477</v>
      </c>
      <c r="BJ110" s="62">
        <f t="shared" si="92"/>
        <v>373.38644103117821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10.566856238111779</v>
      </c>
      <c r="BQ110" s="23">
        <f>EXP(-LN(2)/25)*BQ109+(1-EXP(-LN(2)/25))/(LN(2)/25)*Calculateur!BL110*Calculateur!BN110*VLOOKUP('Données projet'!$B$11,Paramètres!$A$1:$I$89,3,0)*0.475*44/12</f>
        <v>2.379492805871859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12.946349043983638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142.72679502162805</v>
      </c>
      <c r="CE110" s="62">
        <f t="shared" si="94"/>
        <v>372.84389296423961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9.6020460885019521</v>
      </c>
      <c r="CL110" s="23">
        <f>EXP(-LN(2)/25)*CL109+(1-EXP(-LN(2)/25))/(LN(2)/25)*Calculateur!CG110*Calculateur!CI110*VLOOKUP('Données projet'!$B$12,Paramètres!$A$1:$I$89,3,0)*0.475*44/12</f>
        <v>2.0947925088669437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11.696838597368895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70.761599999999987</v>
      </c>
      <c r="D111" s="12">
        <f t="shared" si="86"/>
        <v>19.862470414169767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699.55422775850332</v>
      </c>
      <c r="H111" s="70">
        <f t="shared" si="56"/>
        <v>451.17025597134563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133.56954582136541</v>
      </c>
      <c r="T111" s="62">
        <f t="shared" si="88"/>
        <v>412.851273435613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10.381280725239922</v>
      </c>
      <c r="AA111" s="23">
        <f>EXP(-LN(2)/25)*AA110+(1-EXP(-LN(2)/25))/(LN(2)/25)*Calculateur!V111*Calculateur!X111*VLOOKUP('Données projet'!$B$9,Paramètres!$A$1:$I$89,3,0)*0.475*44/12</f>
        <v>2.2469210781333211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12.628201803373242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142.72679502162805</v>
      </c>
      <c r="AO111" s="62">
        <f t="shared" si="90"/>
        <v>372.84389296423961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9.4137558213762453</v>
      </c>
      <c r="AV111" s="23">
        <f>EXP(-LN(2)/25)*AV110+(1-EXP(-LN(2)/25))/(LN(2)/25)*Calculateur!AQ111*Calculateur!AS111*VLOOKUP('Données projet'!$B$10,Paramètres!$A$1:$I$89,3,0)*0.475*44/12</f>
        <v>2.0375102975516266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11.451266118927872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169.10494041758477</v>
      </c>
      <c r="BJ111" s="62">
        <f t="shared" si="92"/>
        <v>373.38644103117821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10.359646632428307</v>
      </c>
      <c r="BQ111" s="23">
        <f>EXP(-LN(2)/25)*BQ110+(1-EXP(-LN(2)/25))/(LN(2)/25)*Calculateur!BL111*Calculateur!BN111*VLOOKUP('Données projet'!$B$11,Paramètres!$A$1:$I$89,3,0)*0.475*44/12</f>
        <v>2.3144254499632049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12.674072082391511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142.72679502162805</v>
      </c>
      <c r="CE111" s="62">
        <f t="shared" si="94"/>
        <v>372.84389296423961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9.4137558213762453</v>
      </c>
      <c r="CL111" s="23">
        <f>EXP(-LN(2)/25)*CL110+(1-EXP(-LN(2)/25))/(LN(2)/25)*Calculateur!CG111*Calculateur!CI111*VLOOKUP('Données projet'!$B$12,Paramètres!$A$1:$I$89,3,0)*0.475*44/12</f>
        <v>2.0375102975516266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11.451266118927872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71.416799999999981</v>
      </c>
      <c r="D112" s="12">
        <f t="shared" si="86"/>
        <v>20.024887576480594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705.86565848511327</v>
      </c>
      <c r="H112" s="70">
        <f t="shared" si="56"/>
        <v>452.59427252903697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133.56954582136541</v>
      </c>
      <c r="T112" s="62">
        <f t="shared" si="88"/>
        <v>412.851273435613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10.17771014217398</v>
      </c>
      <c r="AA112" s="23">
        <f>EXP(-LN(2)/25)*AA111+(1-EXP(-LN(2)/25))/(LN(2)/25)*Calculateur!V112*Calculateur!X112*VLOOKUP('Données projet'!$B$9,Paramètres!$A$1:$I$89,3,0)*0.475*44/12</f>
        <v>2.1854789030913215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12.363189045265301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142.72679502162805</v>
      </c>
      <c r="AO112" s="62">
        <f t="shared" si="90"/>
        <v>372.84389296423961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9.2291578115431498</v>
      </c>
      <c r="AV112" s="23">
        <f>EXP(-LN(2)/25)*AV111+(1-EXP(-LN(2)/25))/(LN(2)/25)*Calculateur!AQ112*Calculateur!AS112*VLOOKUP('Données projet'!$B$10,Paramètres!$A$1:$I$89,3,0)*0.475*44/12</f>
        <v>1.9817944713170677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11.210952282860218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169.10494041758477</v>
      </c>
      <c r="BJ112" s="62">
        <f t="shared" si="92"/>
        <v>373.38644103117821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10.156500280726908</v>
      </c>
      <c r="BQ112" s="23">
        <f>EXP(-LN(2)/25)*BQ111+(1-EXP(-LN(2)/25))/(LN(2)/25)*Calculateur!BL112*Calculateur!BN112*VLOOKUP('Données projet'!$B$11,Paramètres!$A$1:$I$89,3,0)*0.475*44/12</f>
        <v>2.2511373643236161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12.407637645050524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142.72679502162805</v>
      </c>
      <c r="CE112" s="62">
        <f t="shared" si="94"/>
        <v>372.84389296423961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9.2291578115431498</v>
      </c>
      <c r="CL112" s="23">
        <f>EXP(-LN(2)/25)*CL111+(1-EXP(-LN(2)/25))/(LN(2)/25)*Calculateur!CG112*Calculateur!CI112*VLOOKUP('Données projet'!$B$12,Paramètres!$A$1:$I$89,3,0)*0.475*44/12</f>
        <v>1.9817944713170677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11.210952282860218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72.071999999999974</v>
      </c>
      <c r="D113" s="12">
        <f t="shared" si="86"/>
        <v>20.187131385147271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712.1757510432418</v>
      </c>
      <c r="H113" s="70">
        <f t="shared" si="56"/>
        <v>454.01798716246475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133.56954582136541</v>
      </c>
      <c r="T113" s="62">
        <f t="shared" si="88"/>
        <v>412.851273435613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9.9781314540761663</v>
      </c>
      <c r="AA113" s="23">
        <f>EXP(-LN(2)/25)*AA112+(1-EXP(-LN(2)/25))/(LN(2)/25)*Calculateur!V113*Calculateur!X113*VLOOKUP('Données projet'!$B$9,Paramètres!$A$1:$I$89,3,0)*0.475*44/12</f>
        <v>2.1257168675569487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12.103848321633116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142.72679502162805</v>
      </c>
      <c r="AO113" s="62">
        <f t="shared" si="90"/>
        <v>372.84389296423961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9.0481796560892143</v>
      </c>
      <c r="AV113" s="23">
        <f>EXP(-LN(2)/25)*AV112+(1-EXP(-LN(2)/25))/(LN(2)/25)*Calculateur!AQ113*Calculateur!AS113*VLOOKUP('Données projet'!$B$10,Paramètres!$A$1:$I$89,3,0)*0.475*44/12</f>
        <v>1.9276021972808606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10.975781853370075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169.10494041758477</v>
      </c>
      <c r="BJ113" s="62">
        <f t="shared" si="92"/>
        <v>373.38644103117821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9.9573375050753334</v>
      </c>
      <c r="BQ113" s="23">
        <f>EXP(-LN(2)/25)*BQ112+(1-EXP(-LN(2)/25))/(LN(2)/25)*Calculateur!BL113*Calculateur!BN113*VLOOKUP('Données projet'!$B$11,Paramètres!$A$1:$I$89,3,0)*0.475*44/12</f>
        <v>2.1895798947140177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12.146917399789352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142.72679502162805</v>
      </c>
      <c r="CE113" s="62">
        <f t="shared" si="94"/>
        <v>372.84389296423961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9.0481796560892143</v>
      </c>
      <c r="CL113" s="23">
        <f>EXP(-LN(2)/25)*CL112+(1-EXP(-LN(2)/25))/(LN(2)/25)*Calculateur!CG113*Calculateur!CI113*VLOOKUP('Données projet'!$B$12,Paramètres!$A$1:$I$89,3,0)*0.475*44/12</f>
        <v>1.9276021972808606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10.975781853370075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72.727199999999968</v>
      </c>
      <c r="D114" s="12">
        <f t="shared" si="86"/>
        <v>20.349203598669749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718.48451900727503</v>
      </c>
      <c r="H114" s="70">
        <f t="shared" si="56"/>
        <v>455.44140293434975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133.56954582136541</v>
      </c>
      <c r="T114" s="62">
        <f t="shared" si="88"/>
        <v>412.851273435613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9.7824663823209708</v>
      </c>
      <c r="AA114" s="23">
        <f>EXP(-LN(2)/25)*AA113+(1-EXP(-LN(2)/25))/(LN(2)/25)*Calculateur!V114*Calculateur!X114*VLOOKUP('Données projet'!$B$9,Paramètres!$A$1:$I$89,3,0)*0.475*44/12</f>
        <v>2.0675890280270122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11.850055410347982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142.72679502162805</v>
      </c>
      <c r="AO114" s="62">
        <f t="shared" si="90"/>
        <v>372.84389296423961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8.8707503718779535</v>
      </c>
      <c r="AV114" s="23">
        <f>EXP(-LN(2)/25)*AV113+(1-EXP(-LN(2)/25))/(LN(2)/25)*Calculateur!AQ114*Calculateur!AS114*VLOOKUP('Données projet'!$B$10,Paramètres!$A$1:$I$89,3,0)*0.475*44/12</f>
        <v>1.8748918138280215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10.745642185705975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169.10494041758477</v>
      </c>
      <c r="BJ114" s="62">
        <f t="shared" si="92"/>
        <v>373.38644103117821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9.762080189976988</v>
      </c>
      <c r="BQ114" s="23">
        <f>EXP(-LN(2)/25)*BQ113+(1-EXP(-LN(2)/25))/(LN(2)/25)*Calculateur!BL114*Calculateur!BN114*VLOOKUP('Données projet'!$B$11,Paramètres!$A$1:$I$89,3,0)*0.475*44/12</f>
        <v>2.1297057173480605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11.891785907325048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142.72679502162805</v>
      </c>
      <c r="CE114" s="62">
        <f t="shared" si="94"/>
        <v>372.84389296423961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8.8707503718779535</v>
      </c>
      <c r="CL114" s="23">
        <f>EXP(-LN(2)/25)*CL113+(1-EXP(-LN(2)/25))/(LN(2)/25)*Calculateur!CG114*Calculateur!CI114*VLOOKUP('Données projet'!$B$12,Paramètres!$A$1:$I$89,3,0)*0.475*44/12</f>
        <v>1.8748918138280215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10.745642185705975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73.382399999999961</v>
      </c>
      <c r="D115" s="12">
        <f t="shared" si="86"/>
        <v>20.511105942035535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724.79197569290557</v>
      </c>
      <c r="H115" s="70">
        <f t="shared" si="56"/>
        <v>456.8645228490451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133.56954582136541</v>
      </c>
      <c r="T115" s="62">
        <f t="shared" si="88"/>
        <v>412.851273435613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9.5906381832789851</v>
      </c>
      <c r="AA115" s="23">
        <f>EXP(-LN(2)/25)*AA114+(1-EXP(-LN(2)/25))/(LN(2)/25)*Calculateur!V115*Calculateur!X115*VLOOKUP('Données projet'!$B$9,Paramètres!$A$1:$I$89,3,0)*0.475*44/12</f>
        <v>2.0110506973258322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11.601688880604817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142.72679502162805</v>
      </c>
      <c r="AO115" s="62">
        <f t="shared" si="90"/>
        <v>372.84389296423961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8.6968003677088994</v>
      </c>
      <c r="AV115" s="23">
        <f>EXP(-LN(2)/25)*AV114+(1-EXP(-LN(2)/25))/(LN(2)/25)*Calculateur!AQ115*Calculateur!AS115*VLOOKUP('Données projet'!$B$10,Paramètres!$A$1:$I$89,3,0)*0.475*44/12</f>
        <v>1.823622798582619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10.520423166291518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169.10494041758477</v>
      </c>
      <c r="BJ115" s="62">
        <f t="shared" si="92"/>
        <v>373.38644103117821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9.5706517517325196</v>
      </c>
      <c r="BQ115" s="23">
        <f>EXP(-LN(2)/25)*BQ114+(1-EXP(-LN(2)/25))/(LN(2)/25)*Calculateur!BL115*Calculateur!BN115*VLOOKUP('Données projet'!$B$11,Paramètres!$A$1:$I$89,3,0)*0.475*44/12</f>
        <v>2.0714688025108217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11.642120554243341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142.72679502162805</v>
      </c>
      <c r="CE115" s="62">
        <f t="shared" si="94"/>
        <v>372.84389296423961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8.6968003677088994</v>
      </c>
      <c r="CL115" s="23">
        <f>EXP(-LN(2)/25)*CL114+(1-EXP(-LN(2)/25))/(LN(2)/25)*Calculateur!CG115*Calculateur!CI115*VLOOKUP('Données projet'!$B$12,Paramètres!$A$1:$I$89,3,0)*0.475*44/12</f>
        <v>1.823622798582619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10.520423166291518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74.037599999999955</v>
      </c>
      <c r="D116" s="12">
        <f t="shared" si="86"/>
        <v>20.672840107651652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731.09813416432826</v>
      </c>
      <c r="H116" s="70">
        <f t="shared" si="56"/>
        <v>458.28734985415986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133.56954582136541</v>
      </c>
      <c r="T116" s="62">
        <f t="shared" si="88"/>
        <v>412.851273435613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9.4025716182165642</v>
      </c>
      <c r="AA116" s="23">
        <f>EXP(-LN(2)/25)*AA115+(1-EXP(-LN(2)/25))/(LN(2)/25)*Calculateur!V116*Calculateur!X116*VLOOKUP('Données projet'!$B$9,Paramètres!$A$1:$I$89,3,0)*0.475*44/12</f>
        <v>1.9560584102508976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11.358630028467461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142.72679502162805</v>
      </c>
      <c r="AO116" s="62">
        <f t="shared" si="90"/>
        <v>372.84389296423961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8.5262614170225746</v>
      </c>
      <c r="AV116" s="23">
        <f>EXP(-LN(2)/25)*AV115+(1-EXP(-LN(2)/25))/(LN(2)/25)*Calculateur!AQ116*Calculateur!AS116*VLOOKUP('Données projet'!$B$10,Paramètres!$A$1:$I$89,3,0)*0.475*44/12</f>
        <v>1.7737557372552222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10.300017154277796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169.10494041758477</v>
      </c>
      <c r="BJ116" s="62">
        <f t="shared" si="92"/>
        <v>373.38644103117821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9.3829771084022067</v>
      </c>
      <c r="BQ116" s="23">
        <f>EXP(-LN(2)/25)*BQ115+(1-EXP(-LN(2)/25))/(LN(2)/25)*Calculateur!BL116*Calculateur!BN116*VLOOKUP('Données projet'!$B$11,Paramètres!$A$1:$I$89,3,0)*0.475*44/12</f>
        <v>2.0148243791723535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11.39780148757456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142.72679502162805</v>
      </c>
      <c r="CE116" s="62">
        <f t="shared" si="94"/>
        <v>372.84389296423961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8.5262614170225746</v>
      </c>
      <c r="CL116" s="23">
        <f>EXP(-LN(2)/25)*CL115+(1-EXP(-LN(2)/25))/(LN(2)/25)*Calculateur!CG116*Calculateur!CI116*VLOOKUP('Données projet'!$B$12,Paramètres!$A$1:$I$89,3,0)*0.475*44/12</f>
        <v>1.7737557372552222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10.300017154277796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74.692799999999949</v>
      </c>
      <c r="D117" s="12">
        <f t="shared" si="86"/>
        <v>20.834407756242804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737.40300724117208</v>
      </c>
      <c r="H117" s="70">
        <f t="shared" si="56"/>
        <v>459.70988684212273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133.56954582136541</v>
      </c>
      <c r="T117" s="62">
        <f t="shared" si="88"/>
        <v>412.851273435613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9.2181929237857396</v>
      </c>
      <c r="AA117" s="23">
        <f>EXP(-LN(2)/25)*AA116+(1-EXP(-LN(2)/25))/(LN(2)/25)*Calculateur!V117*Calculateur!X117*VLOOKUP('Données projet'!$B$9,Paramètres!$A$1:$I$89,3,0)*0.475*44/12</f>
        <v>1.9025698901579455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11.120762813943685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142.72679502162805</v>
      </c>
      <c r="AO117" s="62">
        <f t="shared" si="90"/>
        <v>372.84389296423961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8.3590666311407187</v>
      </c>
      <c r="AV117" s="23">
        <f>EXP(-LN(2)/25)*AV116+(1-EXP(-LN(2)/25))/(LN(2)/25)*Calculateur!AQ117*Calculateur!AS117*VLOOKUP('Données projet'!$B$10,Paramètres!$A$1:$I$89,3,0)*0.475*44/12</f>
        <v>1.7252522933422179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10.084318924482936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169.10494041758477</v>
      </c>
      <c r="BJ117" s="62">
        <f t="shared" si="92"/>
        <v>373.38644103117821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9.1989826503573706</v>
      </c>
      <c r="BQ117" s="23">
        <f>EXP(-LN(2)/25)*BQ116+(1-EXP(-LN(2)/25))/(LN(2)/25)*Calculateur!BL117*Calculateur!BN117*VLOOKUP('Données projet'!$B$11,Paramètres!$A$1:$I$89,3,0)*0.475*44/12</f>
        <v>1.9597289005688763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11.158711550926247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142.72679502162805</v>
      </c>
      <c r="CE117" s="62">
        <f t="shared" si="94"/>
        <v>372.84389296423961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8.3590666311407187</v>
      </c>
      <c r="CL117" s="23">
        <f>EXP(-LN(2)/25)*CL116+(1-EXP(-LN(2)/25))/(LN(2)/25)*Calculateur!CG117*Calculateur!CI117*VLOOKUP('Données projet'!$B$12,Paramètres!$A$1:$I$89,3,0)*0.475*44/12</f>
        <v>1.7252522933422179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10.084318924482936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75.347999999999942</v>
      </c>
      <c r="D118" s="12">
        <f t="shared" si="86"/>
        <v>20.995810517717022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743.70660750518357</v>
      </c>
      <c r="H118" s="70">
        <f t="shared" si="56"/>
        <v>461.13213665169036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133.56954582136541</v>
      </c>
      <c r="T118" s="62">
        <f t="shared" si="88"/>
        <v>412.851273435613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9.0374297830928043</v>
      </c>
      <c r="AA118" s="23">
        <f>EXP(-LN(2)/25)*AA117+(1-EXP(-LN(2)/25))/(LN(2)/25)*Calculateur!V118*Calculateur!X118*VLOOKUP('Données projet'!$B$9,Paramètres!$A$1:$I$89,3,0)*0.475*44/12</f>
        <v>1.8505440164597744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10.887973799552579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142.72679502162805</v>
      </c>
      <c r="AO118" s="62">
        <f t="shared" si="90"/>
        <v>372.84389296423961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8.195150433031257</v>
      </c>
      <c r="AV118" s="23">
        <f>EXP(-LN(2)/25)*AV117+(1-EXP(-LN(2)/25))/(LN(2)/25)*Calculateur!AQ118*Calculateur!AS118*VLOOKUP('Données projet'!$B$10,Paramètres!$A$1:$I$89,3,0)*0.475*44/12</f>
        <v>1.6780751786536998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9.8732256116849566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169.10494041758477</v>
      </c>
      <c r="BJ118" s="62">
        <f t="shared" si="92"/>
        <v>373.38644103117821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9.0185962114092568</v>
      </c>
      <c r="BQ118" s="23">
        <f>EXP(-LN(2)/25)*BQ117+(1-EXP(-LN(2)/25))/(LN(2)/25)*Calculateur!BL118*Calculateur!BN118*VLOOKUP('Données projet'!$B$11,Paramètres!$A$1:$I$89,3,0)*0.475*44/12</f>
        <v>1.9061400107251565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10.924736222134413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142.72679502162805</v>
      </c>
      <c r="CE118" s="62">
        <f t="shared" si="94"/>
        <v>372.84389296423961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8.195150433031257</v>
      </c>
      <c r="CL118" s="23">
        <f>EXP(-LN(2)/25)*CL117+(1-EXP(-LN(2)/25))/(LN(2)/25)*Calculateur!CG118*Calculateur!CI118*VLOOKUP('Données projet'!$B$12,Paramètres!$A$1:$I$89,3,0)*0.475*44/12</f>
        <v>1.6780751786536998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9.8732256116849566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76.003199999999936</v>
      </c>
      <c r="D119" s="12">
        <f t="shared" si="86"/>
        <v>21.157049992000438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750.0089473066696</v>
      </c>
      <c r="H119" s="70">
        <f t="shared" si="56"/>
        <v>462.55410206940064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133.56954582136541</v>
      </c>
      <c r="T119" s="62">
        <f t="shared" si="88"/>
        <v>412.851273435613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8.8602112973342297</v>
      </c>
      <c r="AA119" s="23">
        <f>EXP(-LN(2)/25)*AA118+(1-EXP(-LN(2)/25))/(LN(2)/25)*Calculateur!V119*Calculateur!X119*VLOOKUP('Données projet'!$B$9,Paramètres!$A$1:$I$89,3,0)*0.475*44/12</f>
        <v>1.7999407930138016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10.660152090348031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142.72679502162805</v>
      </c>
      <c r="AO119" s="62">
        <f t="shared" si="90"/>
        <v>372.84389296423961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8.0344485315877119</v>
      </c>
      <c r="AV119" s="23">
        <f>EXP(-LN(2)/25)*AV118+(1-EXP(-LN(2)/25))/(LN(2)/25)*Calculateur!AQ119*Calculateur!AS119*VLOOKUP('Données projet'!$B$10,Paramètres!$A$1:$I$89,3,0)*0.475*44/12</f>
        <v>1.632188124647276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9.6666366562349886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169.10494041758477</v>
      </c>
      <c r="BJ119" s="62">
        <f t="shared" si="92"/>
        <v>373.38644103117821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8.8417470405040515</v>
      </c>
      <c r="BQ119" s="23">
        <f>EXP(-LN(2)/25)*BQ118+(1-EXP(-LN(2)/25))/(LN(2)/25)*Calculateur!BL119*Calculateur!BN119*VLOOKUP('Données projet'!$B$11,Paramètres!$A$1:$I$89,3,0)*0.475*44/12</f>
        <v>1.8540165118923304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10.695763552396382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142.72679502162805</v>
      </c>
      <c r="CE119" s="62">
        <f t="shared" si="94"/>
        <v>372.84389296423961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8.0344485315877119</v>
      </c>
      <c r="CL119" s="23">
        <f>EXP(-LN(2)/25)*CL118+(1-EXP(-LN(2)/25))/(LN(2)/25)*Calculateur!CG119*Calculateur!CI119*VLOOKUP('Données projet'!$B$12,Paramètres!$A$1:$I$89,3,0)*0.475*44/12</f>
        <v>1.632188124647276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9.6666366562349886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76.658399999999929</v>
      </c>
      <c r="D120" s="12">
        <f t="shared" si="86"/>
        <v>21.318127749842336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756.31003877071225</v>
      </c>
      <c r="H120" s="70">
        <f t="shared" si="56"/>
        <v>463.97578583097527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133.56954582136541</v>
      </c>
      <c r="T120" s="62">
        <f t="shared" si="88"/>
        <v>412.851273435613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8.6864679579887767</v>
      </c>
      <c r="AA120" s="23">
        <f>EXP(-LN(2)/25)*AA119+(1-EXP(-LN(2)/25))/(LN(2)/25)*Calculateur!V120*Calculateur!X120*VLOOKUP('Données projet'!$B$9,Paramètres!$A$1:$I$89,3,0)*0.475*44/12</f>
        <v>1.7507213173740668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10.437189275362844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142.72679502162805</v>
      </c>
      <c r="AO120" s="62">
        <f t="shared" si="90"/>
        <v>372.84389296423961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7.8768978964129941</v>
      </c>
      <c r="AV120" s="23">
        <f>EXP(-LN(2)/25)*AV119+(1-EXP(-LN(2)/25))/(LN(2)/25)*Calculateur!AQ120*Calculateur!AS120*VLOOKUP('Données projet'!$B$10,Paramètres!$A$1:$I$89,3,0)*0.475*44/12</f>
        <v>1.5875558545457531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9.4644537509587465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169.10494041758477</v>
      </c>
      <c r="BJ120" s="62">
        <f t="shared" si="92"/>
        <v>373.38644103117821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8.6683657739729529</v>
      </c>
      <c r="BQ120" s="23">
        <f>EXP(-LN(2)/25)*BQ119+(1-EXP(-LN(2)/25))/(LN(2)/25)*Calculateur!BL120*Calculateur!BN120*VLOOKUP('Données projet'!$B$11,Paramètres!$A$1:$I$89,3,0)*0.475*44/12</f>
        <v>1.8033183328761437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10.471684106849096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142.72679502162805</v>
      </c>
      <c r="CE120" s="62">
        <f t="shared" si="94"/>
        <v>372.84389296423961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7.8768978964129941</v>
      </c>
      <c r="CL120" s="23">
        <f>EXP(-LN(2)/25)*CL119+(1-EXP(-LN(2)/25))/(LN(2)/25)*Calculateur!CG120*Calculateur!CI120*VLOOKUP('Données projet'!$B$12,Paramètres!$A$1:$I$89,3,0)*0.475*44/12</f>
        <v>1.5875558545457531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9.4644537509587465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77.313599999999923</v>
      </c>
      <c r="D121" s="12">
        <f t="shared" si="86"/>
        <v>21.479045333592051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762.60989380316607</v>
      </c>
      <c r="H121" s="70">
        <f t="shared" si="56"/>
        <v>465.39719062267267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133.56954582136541</v>
      </c>
      <c r="T121" s="62">
        <f t="shared" si="88"/>
        <v>412.851273435613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8.5161316195549155</v>
      </c>
      <c r="AA121" s="23">
        <f>EXP(-LN(2)/25)*AA120+(1-EXP(-LN(2)/25))/(LN(2)/25)*Calculateur!V121*Calculateur!X121*VLOOKUP('Données projet'!$B$9,Paramètres!$A$1:$I$89,3,0)*0.475*44/12</f>
        <v>1.7028477508840403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10.218979370438955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142.72679502162805</v>
      </c>
      <c r="AO121" s="62">
        <f t="shared" si="90"/>
        <v>372.84389296423961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7.7224367330976538</v>
      </c>
      <c r="AV121" s="23">
        <f>EXP(-LN(2)/25)*AV120+(1-EXP(-LN(2)/25))/(LN(2)/25)*Calculateur!AQ121*Calculateur!AS121*VLOOKUP('Données projet'!$B$10,Paramètres!$A$1:$I$89,3,0)*0.475*44/12</f>
        <v>1.5441440562172655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9.2665807893149186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169.10494041758477</v>
      </c>
      <c r="BJ121" s="62">
        <f t="shared" si="92"/>
        <v>373.38644103117821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8.4983844083264</v>
      </c>
      <c r="BQ121" s="23">
        <f>EXP(-LN(2)/25)*BQ120+(1-EXP(-LN(2)/25))/(LN(2)/25)*Calculateur!BL121*Calculateur!BN121*VLOOKUP('Données projet'!$B$11,Paramètres!$A$1:$I$89,3,0)*0.475*44/12</f>
        <v>1.754006498231256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10.252390906557656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142.72679502162805</v>
      </c>
      <c r="CE121" s="62">
        <f t="shared" si="94"/>
        <v>372.84389296423961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7.7224367330976538</v>
      </c>
      <c r="CL121" s="23">
        <f>EXP(-LN(2)/25)*CL120+(1-EXP(-LN(2)/25))/(LN(2)/25)*Calculateur!CG121*Calculateur!CI121*VLOOKUP('Données projet'!$B$12,Paramètres!$A$1:$I$89,3,0)*0.475*44/12</f>
        <v>1.5441440562172655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9.2665807893149186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77.968799999999916</v>
      </c>
      <c r="D122" s="12">
        <f t="shared" si="86"/>
        <v>21.639804257948573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768.90852409644447</v>
      </c>
      <c r="H122" s="70">
        <f t="shared" si="56"/>
        <v>466.81831908259358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133.56954582136541</v>
      </c>
      <c r="T122" s="62">
        <f t="shared" si="88"/>
        <v>412.851273435613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8.3491354728228337</v>
      </c>
      <c r="AA122" s="23">
        <f>EXP(-LN(2)/25)*AA121+(1-EXP(-LN(2)/25))/(LN(2)/25)*Calculateur!V122*Calculateur!X122*VLOOKUP('Données projet'!$B$9,Paramètres!$A$1:$I$89,3,0)*0.475*44/12</f>
        <v>1.6562832895872448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10.005418762410079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142.72679502162805</v>
      </c>
      <c r="AO122" s="62">
        <f t="shared" si="90"/>
        <v>372.84389296423961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7.5710044589829204</v>
      </c>
      <c r="AV122" s="23">
        <f>EXP(-LN(2)/25)*AV121+(1-EXP(-LN(2)/25))/(LN(2)/25)*Calculateur!AQ122*Calculateur!AS122*VLOOKUP('Données projet'!$B$10,Paramètres!$A$1:$I$89,3,0)*0.475*44/12</f>
        <v>1.5019193557969976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9.0729238147799176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169.10494041758477</v>
      </c>
      <c r="BJ122" s="62">
        <f t="shared" si="92"/>
        <v>373.38644103117821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8.3317362735817806</v>
      </c>
      <c r="BQ122" s="23">
        <f>EXP(-LN(2)/25)*BQ121+(1-EXP(-LN(2)/25))/(LN(2)/25)*Calculateur!BL122*Calculateur!BN122*VLOOKUP('Données projet'!$B$11,Paramètres!$A$1:$I$89,3,0)*0.475*44/12</f>
        <v>1.7060430982979293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10.03777937187971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142.72679502162805</v>
      </c>
      <c r="CE122" s="62">
        <f t="shared" si="94"/>
        <v>372.84389296423961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7.5710044589829204</v>
      </c>
      <c r="CL122" s="23">
        <f>EXP(-LN(2)/25)*CL121+(1-EXP(-LN(2)/25))/(LN(2)/25)*Calculateur!CG122*Calculateur!CI122*VLOOKUP('Données projet'!$B$12,Paramètres!$A$1:$I$89,3,0)*0.475*44/12</f>
        <v>1.5019193557969976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9.0729238147799176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78.62399999999991</v>
      </c>
      <c r="D123" s="12">
        <f t="shared" si="86"/>
        <v>21.800406010684434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775.20594113510731</v>
      </c>
      <c r="H123" s="70">
        <f t="shared" si="56"/>
        <v>468.23917380194189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133.56954582136541</v>
      </c>
      <c r="T123" s="62">
        <f t="shared" si="88"/>
        <v>412.851273435613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8.1854140186705759</v>
      </c>
      <c r="AA123" s="23">
        <f>EXP(-LN(2)/25)*AA122+(1-EXP(-LN(2)/25))/(LN(2)/25)*Calculateur!V123*Calculateur!X123*VLOOKUP('Données projet'!$B$9,Paramètres!$A$1:$I$89,3,0)*0.475*44/12</f>
        <v>1.6109921359333288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9.7964061546039041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142.72679502162805</v>
      </c>
      <c r="AO123" s="62">
        <f t="shared" si="90"/>
        <v>372.84389296423961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7.4225416793990098</v>
      </c>
      <c r="AV123" s="23">
        <f>EXP(-LN(2)/25)*AV122+(1-EXP(-LN(2)/25))/(LN(2)/25)*Calculateur!AQ123*Calculateur!AS123*VLOOKUP('Données projet'!$B$10,Paramètres!$A$1:$I$89,3,0)*0.475*44/12</f>
        <v>1.4608492920302225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8.8833909714292325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169.10494041758477</v>
      </c>
      <c r="BJ123" s="62">
        <f t="shared" si="92"/>
        <v>373.38644103117821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8.168356007114177</v>
      </c>
      <c r="BQ123" s="23">
        <f>EXP(-LN(2)/25)*BQ122+(1-EXP(-LN(2)/25))/(LN(2)/25)*Calculateur!BL123*Calculateur!BN123*VLOOKUP('Données projet'!$B$11,Paramètres!$A$1:$I$89,3,0)*0.475*44/12</f>
        <v>1.6593912600580651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9.8277472671722421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142.72679502162805</v>
      </c>
      <c r="CE123" s="62">
        <f t="shared" si="94"/>
        <v>372.84389296423961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7.4225416793990098</v>
      </c>
      <c r="CL123" s="23">
        <f>EXP(-LN(2)/25)*CL122+(1-EXP(-LN(2)/25))/(LN(2)/25)*Calculateur!CG123*Calculateur!CI123*VLOOKUP('Données projet'!$B$12,Paramètres!$A$1:$I$89,3,0)*0.475*44/12</f>
        <v>1.4608492920302225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8.8833909714292325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79.279199999999904</v>
      </c>
      <c r="D124" s="12">
        <f t="shared" si="86"/>
        <v>21.960852053344627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781.50215620125607</v>
      </c>
      <c r="H124" s="70">
        <f t="shared" si="56"/>
        <v>469.65975732624167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133.56954582136541</v>
      </c>
      <c r="T124" s="62">
        <f t="shared" si="88"/>
        <v>412.851273435613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8.0249030423740173</v>
      </c>
      <c r="AA124" s="23">
        <f>EXP(-LN(2)/25)*AA123+(1-EXP(-LN(2)/25))/(LN(2)/25)*Calculateur!V124*Calculateur!X124*VLOOKUP('Données projet'!$B$9,Paramètres!$A$1:$I$89,3,0)*0.475*44/12</f>
        <v>1.5669394712578375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9.591842513631855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142.72679502162805</v>
      </c>
      <c r="AO124" s="62">
        <f t="shared" si="90"/>
        <v>372.84389296423961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7.2769901643693853</v>
      </c>
      <c r="AV124" s="23">
        <f>EXP(-LN(2)/25)*AV123+(1-EXP(-LN(2)/25))/(LN(2)/25)*Calculateur!AQ124*Calculateur!AS124*VLOOKUP('Données projet'!$B$10,Paramètres!$A$1:$I$89,3,0)*0.475*44/12</f>
        <v>1.4209022913169307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8.6978924556863166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169.10494041758477</v>
      </c>
      <c r="BJ124" s="62">
        <f t="shared" si="92"/>
        <v>373.38644103117821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8.0081795280198804</v>
      </c>
      <c r="BQ124" s="23">
        <f>EXP(-LN(2)/25)*BQ123+(1-EXP(-LN(2)/25))/(LN(2)/25)*Calculateur!BL124*Calculateur!BN124*VLOOKUP('Données projet'!$B$11,Paramètres!$A$1:$I$89,3,0)*0.475*44/12</f>
        <v>1.6140151187881835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9.6221946468080635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142.72679502162805</v>
      </c>
      <c r="CE124" s="62">
        <f t="shared" si="94"/>
        <v>372.84389296423961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7.2769901643693853</v>
      </c>
      <c r="CL124" s="23">
        <f>EXP(-LN(2)/25)*CL123+(1-EXP(-LN(2)/25))/(LN(2)/25)*Calculateur!CG124*Calculateur!CI124*VLOOKUP('Données projet'!$B$12,Paramètres!$A$1:$I$89,3,0)*0.475*44/12</f>
        <v>1.4209022913169307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8.6978924556863166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79.934399999999897</v>
      </c>
      <c r="D125" s="12">
        <f t="shared" si="86"/>
        <v>22.121143821921795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787.79718037974646</v>
      </c>
      <c r="H125" s="70">
        <f t="shared" si="56"/>
        <v>471.08007215651355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133.56954582136541</v>
      </c>
      <c r="T125" s="62">
        <f t="shared" si="88"/>
        <v>412.851273435613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7.8675395884206063</v>
      </c>
      <c r="AA125" s="23">
        <f>EXP(-LN(2)/25)*AA124+(1-EXP(-LN(2)/25))/(LN(2)/25)*Calculateur!V125*Calculateur!X125*VLOOKUP('Données projet'!$B$9,Paramètres!$A$1:$I$89,3,0)*0.475*44/12</f>
        <v>1.5240914290145264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9.3916310174351327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142.72679502162805</v>
      </c>
      <c r="AO125" s="62">
        <f t="shared" si="90"/>
        <v>372.84389296423961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7.1342928257718343</v>
      </c>
      <c r="AV125" s="23">
        <f>EXP(-LN(2)/25)*AV124+(1-EXP(-LN(2)/25))/(LN(2)/25)*Calculateur!AQ125*Calculateur!AS125*VLOOKUP('Données projet'!$B$10,Paramètres!$A$1:$I$89,3,0)*0.475*44/12</f>
        <v>1.3820476434388653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8.5163404692107001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169.10494041758477</v>
      </c>
      <c r="BJ125" s="62">
        <f t="shared" si="92"/>
        <v>373.38644103117821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7.8511440119826172</v>
      </c>
      <c r="BQ125" s="23">
        <f>EXP(-LN(2)/25)*BQ124+(1-EXP(-LN(2)/25))/(LN(2)/25)*Calculateur!BL125*Calculateur!BN125*VLOOKUP('Données projet'!$B$11,Paramètres!$A$1:$I$89,3,0)*0.475*44/12</f>
        <v>1.5698797904875543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9.421023802470172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142.72679502162805</v>
      </c>
      <c r="CE125" s="62">
        <f t="shared" si="94"/>
        <v>372.84389296423961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7.1342928257718343</v>
      </c>
      <c r="CL125" s="23">
        <f>EXP(-LN(2)/25)*CL124+(1-EXP(-LN(2)/25))/(LN(2)/25)*Calculateur!CG125*Calculateur!CI125*VLOOKUP('Données projet'!$B$12,Paramètres!$A$1:$I$89,3,0)*0.475*44/12</f>
        <v>1.3820476434388653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8.5163404692107001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80.589599999999891</v>
      </c>
      <c r="D126" s="12">
        <f t="shared" si="86"/>
        <v>22.281282727508724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794.09102456322444</v>
      </c>
      <c r="H126" s="70">
        <f t="shared" si="56"/>
        <v>472.50012075041082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133.56954582136541</v>
      </c>
      <c r="T126" s="62">
        <f t="shared" si="88"/>
        <v>412.851273435613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7.713261935816992</v>
      </c>
      <c r="AA126" s="23">
        <f>EXP(-LN(2)/25)*AA125+(1-EXP(-LN(2)/25))/(LN(2)/25)*Calculateur!V126*Calculateur!X126*VLOOKUP('Données projet'!$B$9,Paramètres!$A$1:$I$89,3,0)*0.475*44/12</f>
        <v>1.4824150687396394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9.1956770045566323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142.72679502162805</v>
      </c>
      <c r="AO126" s="62">
        <f t="shared" si="90"/>
        <v>372.84389296423961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6.9943936949473988</v>
      </c>
      <c r="AV126" s="23">
        <f>EXP(-LN(2)/25)*AV125+(1-EXP(-LN(2)/25))/(LN(2)/25)*Calculateur!AQ126*Calculateur!AS126*VLOOKUP('Données projet'!$B$10,Paramètres!$A$1:$I$89,3,0)*0.475*44/12</f>
        <v>1.3442554779503026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8.3386491728977017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169.10494041758477</v>
      </c>
      <c r="BJ126" s="62">
        <f t="shared" si="92"/>
        <v>373.38644103117821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7.6971878666326381</v>
      </c>
      <c r="BQ126" s="23">
        <f>EXP(-LN(2)/25)*BQ125+(1-EXP(-LN(2)/25))/(LN(2)/25)*Calculateur!BL126*Calculateur!BN126*VLOOKUP('Données projet'!$B$11,Paramètres!$A$1:$I$89,3,0)*0.475*44/12</f>
        <v>1.5269513450602821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9.2241392116929202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142.72679502162805</v>
      </c>
      <c r="CE126" s="62">
        <f t="shared" si="94"/>
        <v>372.84389296423961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6.9943936949473988</v>
      </c>
      <c r="CL126" s="23">
        <f>EXP(-LN(2)/25)*CL125+(1-EXP(-LN(2)/25))/(LN(2)/25)*Calculateur!CG126*Calculateur!CI126*VLOOKUP('Données projet'!$B$12,Paramètres!$A$1:$I$89,3,0)*0.475*44/12</f>
        <v>1.3442554779503026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8.3386491728977017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81.244799999999884</v>
      </c>
      <c r="D127" s="12">
        <f t="shared" si="86"/>
        <v>22.44127015692893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800.38369945699435</v>
      </c>
      <c r="H127" s="70">
        <f t="shared" si="56"/>
        <v>473.91990552331765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133.56954582136541</v>
      </c>
      <c r="T127" s="62">
        <f t="shared" si="88"/>
        <v>412.851273435613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7.5620095738808581</v>
      </c>
      <c r="AA127" s="23">
        <f>EXP(-LN(2)/25)*AA126+(1-EXP(-LN(2)/25))/(LN(2)/25)*Calculateur!V127*Calculateur!X127*VLOOKUP('Données projet'!$B$9,Paramètres!$A$1:$I$89,3,0)*0.475*44/12</f>
        <v>1.4418783507281336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9.0038879246089927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142.72679502162805</v>
      </c>
      <c r="AO127" s="62">
        <f t="shared" si="90"/>
        <v>372.84389296423961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6.8572379007483857</v>
      </c>
      <c r="AV127" s="23">
        <f>EXP(-LN(2)/25)*AV126+(1-EXP(-LN(2)/25))/(LN(2)/25)*Calculateur!AQ127*Calculateur!AS127*VLOOKUP('Données projet'!$B$10,Paramètres!$A$1:$I$89,3,0)*0.475*44/12</f>
        <v>1.3074967412144283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8.1647346419628146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169.10494041758477</v>
      </c>
      <c r="BJ127" s="62">
        <f t="shared" si="92"/>
        <v>373.38644103117821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7.5462507073889959</v>
      </c>
      <c r="BQ127" s="23">
        <f>EXP(-LN(2)/25)*BQ126+(1-EXP(-LN(2)/25))/(LN(2)/25)*Calculateur!BL127*Calculateur!BN127*VLOOKUP('Données projet'!$B$11,Paramètres!$A$1:$I$89,3,0)*0.475*44/12</f>
        <v>1.4851967802307273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9.0314474876197224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142.72679502162805</v>
      </c>
      <c r="CE127" s="62">
        <f t="shared" si="94"/>
        <v>372.84389296423961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6.8572379007483857</v>
      </c>
      <c r="CL127" s="23">
        <f>EXP(-LN(2)/25)*CL126+(1-EXP(-LN(2)/25))/(LN(2)/25)*Calculateur!CG127*Calculateur!CI127*VLOOKUP('Données projet'!$B$12,Paramètres!$A$1:$I$89,3,0)*0.475*44/12</f>
        <v>1.3074967412144283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8.1647346419628146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81.899999999999878</v>
      </c>
      <c r="D128" s="12">
        <f t="shared" si="86"/>
        <v>22.6011074733463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806.67521558372493</v>
      </c>
      <c r="H128" s="70">
        <f t="shared" si="56"/>
        <v>475.33942884941121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133.56954582136541</v>
      </c>
      <c r="T128" s="62">
        <f t="shared" si="88"/>
        <v>412.851273435613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7.4137231785074604</v>
      </c>
      <c r="AA128" s="23">
        <f>EXP(-LN(2)/25)*AA127+(1-EXP(-LN(2)/25))/(LN(2)/25)*Calculateur!V128*Calculateur!X128*VLOOKUP('Données projet'!$B$9,Paramètres!$A$1:$I$89,3,0)*0.475*44/12</f>
        <v>1.4024501114023857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8.8161732899098464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142.72679502162805</v>
      </c>
      <c r="AO128" s="62">
        <f t="shared" si="90"/>
        <v>372.84389296423961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6.7227716480168418</v>
      </c>
      <c r="AV128" s="23">
        <f>EXP(-LN(2)/25)*AV127+(1-EXP(-LN(2)/25))/(LN(2)/25)*Calculateur!AQ128*Calculateur!AS128*VLOOKUP('Données projet'!$B$10,Paramètres!$A$1:$I$89,3,0)*0.475*44/12</f>
        <v>1.2717431740676544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7.9945148220844962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169.10494041758477</v>
      </c>
      <c r="BJ128" s="62">
        <f t="shared" si="92"/>
        <v>373.38644103117821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7.3982733337755446</v>
      </c>
      <c r="BQ128" s="23">
        <f>EXP(-LN(2)/25)*BQ127+(1-EXP(-LN(2)/25))/(LN(2)/25)*Calculateur!BL128*Calculateur!BN128*VLOOKUP('Données projet'!$B$11,Paramètres!$A$1:$I$89,3,0)*0.475*44/12</f>
        <v>1.4445839961722138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8.8428573299477584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142.72679502162805</v>
      </c>
      <c r="CE128" s="62">
        <f t="shared" si="94"/>
        <v>372.84389296423961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6.7227716480168418</v>
      </c>
      <c r="CL128" s="23">
        <f>EXP(-LN(2)/25)*CL127+(1-EXP(-LN(2)/25))/(LN(2)/25)*Calculateur!CG128*Calculateur!CI128*VLOOKUP('Données projet'!$B$12,Paramètres!$A$1:$I$89,3,0)*0.475*44/12</f>
        <v>1.2717431740676544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7.9945148220844962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82.555199999999871</v>
      </c>
      <c r="D129" s="12">
        <f t="shared" si="86"/>
        <v>22.760796016854759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812.96558328800074</v>
      </c>
      <c r="H129" s="70">
        <f t="shared" si="56"/>
        <v>476.75869306268845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133.56954582136541</v>
      </c>
      <c r="T129" s="62">
        <f t="shared" si="88"/>
        <v>412.851273435613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7.2683445889015648</v>
      </c>
      <c r="AA129" s="23">
        <f>EXP(-LN(2)/25)*AA128+(1-EXP(-LN(2)/25))/(LN(2)/25)*Calculateur!V129*Calculateur!X129*VLOOKUP('Données projet'!$B$9,Paramètres!$A$1:$I$89,3,0)*0.475*44/12</f>
        <v>1.3641000393544416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8.6324446282560068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142.72679502162805</v>
      </c>
      <c r="AO129" s="62">
        <f t="shared" si="90"/>
        <v>372.84389296423961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6.5909421964850479</v>
      </c>
      <c r="AV129" s="23">
        <f>EXP(-LN(2)/25)*AV128+(1-EXP(-LN(2)/25))/(LN(2)/25)*Calculateur!AQ129*Calculateur!AS129*VLOOKUP('Données projet'!$B$10,Paramètres!$A$1:$I$89,3,0)*0.475*44/12</f>
        <v>1.2369672900947075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7.8279094865797552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169.10494041758477</v>
      </c>
      <c r="BJ129" s="62">
        <f t="shared" si="92"/>
        <v>373.38644103117821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7.2531977062013677</v>
      </c>
      <c r="BQ129" s="23">
        <f>EXP(-LN(2)/25)*BQ128+(1-EXP(-LN(2)/25))/(LN(2)/25)*Calculateur!BL129*Calculateur!BN129*VLOOKUP('Données projet'!$B$11,Paramètres!$A$1:$I$89,3,0)*0.475*44/12</f>
        <v>1.4050817708295138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8.6582794770308809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142.72679502162805</v>
      </c>
      <c r="CE129" s="62">
        <f t="shared" si="94"/>
        <v>372.84389296423961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6.5909421964850479</v>
      </c>
      <c r="CL129" s="23">
        <f>EXP(-LN(2)/25)*CL128+(1-EXP(-LN(2)/25))/(LN(2)/25)*Calculateur!CG129*Calculateur!CI129*VLOOKUP('Données projet'!$B$12,Paramètres!$A$1:$I$89,3,0)*0.475*44/12</f>
        <v>1.2369672900947075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7.8279094865797552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83.210399999999865</v>
      </c>
      <c r="D130" s="12">
        <f t="shared" si="86"/>
        <v>22.920337105048553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819.25481274072456</v>
      </c>
      <c r="H130" s="70">
        <f t="shared" si="56"/>
        <v>478.1777004579593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133.56954582136541</v>
      </c>
      <c r="T130" s="62">
        <f t="shared" si="88"/>
        <v>412.851273435613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7.1258167847656573</v>
      </c>
      <c r="AA130" s="23">
        <f>EXP(-LN(2)/25)*AA129+(1-EXP(-LN(2)/25))/(LN(2)/25)*Calculateur!V130*Calculateur!X130*VLOOKUP('Données projet'!$B$9,Paramètres!$A$1:$I$89,3,0)*0.475*44/12</f>
        <v>1.326798652043391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8.4526154368090474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142.72679502162805</v>
      </c>
      <c r="AO130" s="62">
        <f t="shared" si="90"/>
        <v>372.84389296423961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6.4616978400897667</v>
      </c>
      <c r="AV130" s="23">
        <f>EXP(-LN(2)/25)*AV129+(1-EXP(-LN(2)/25))/(LN(2)/25)*Calculateur!AQ130*Calculateur!AS130*VLOOKUP('Données projet'!$B$10,Paramètres!$A$1:$I$89,3,0)*0.475*44/12</f>
        <v>1.2031423544977851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7.6648401945875513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169.10494041758477</v>
      </c>
      <c r="BJ130" s="62">
        <f t="shared" si="92"/>
        <v>373.38644103117821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7.1109669231965249</v>
      </c>
      <c r="BQ130" s="23">
        <f>EXP(-LN(2)/25)*BQ129+(1-EXP(-LN(2)/25))/(LN(2)/25)*Calculateur!BL130*Calculateur!BN130*VLOOKUP('Données projet'!$B$11,Paramètres!$A$1:$I$89,3,0)*0.475*44/12</f>
        <v>1.3666597359161419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8.4776266591126674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142.72679502162805</v>
      </c>
      <c r="CE130" s="62">
        <f t="shared" si="94"/>
        <v>372.84389296423961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6.4616978400897667</v>
      </c>
      <c r="CL130" s="23">
        <f>EXP(-LN(2)/25)*CL129+(1-EXP(-LN(2)/25))/(LN(2)/25)*Calculateur!CG130*Calculateur!CI130*VLOOKUP('Données projet'!$B$12,Paramètres!$A$1:$I$89,3,0)*0.475*44/12</f>
        <v>1.2031423544977851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7.6648401945875513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83.865599999999858</v>
      </c>
      <c r="D131" s="12">
        <f t="shared" si="86"/>
        <v>23.079732033574231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825.54291394337895</v>
      </c>
      <c r="H131" s="70">
        <f t="shared" si="56"/>
        <v>479.59645329180819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133.56954582136541</v>
      </c>
      <c r="T131" s="62">
        <f t="shared" si="88"/>
        <v>412.851273435613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6.9860838639354776</v>
      </c>
      <c r="AA131" s="23">
        <f>EXP(-LN(2)/25)*AA130+(1-EXP(-LN(2)/25))/(LN(2)/25)*Calculateur!V131*Calculateur!X131*VLOOKUP('Données projet'!$B$9,Paramètres!$A$1:$I$89,3,0)*0.475*44/12</f>
        <v>1.2905172731299557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8.276601137065434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142.72679502162805</v>
      </c>
      <c r="AO131" s="62">
        <f t="shared" si="90"/>
        <v>372.84389296423961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6.3349878866921232</v>
      </c>
      <c r="AV131" s="23">
        <f>EXP(-LN(2)/25)*AV130+(1-EXP(-LN(2)/25))/(LN(2)/25)*Calculateur!AQ131*Calculateur!AS131*VLOOKUP('Données projet'!$B$10,Paramètres!$A$1:$I$89,3,0)*0.475*44/12</f>
        <v>1.1702423635435366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7.5052302502356598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169.10494041758477</v>
      </c>
      <c r="BJ131" s="62">
        <f t="shared" si="92"/>
        <v>373.38644103117821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6.9715251990941951</v>
      </c>
      <c r="BQ131" s="23">
        <f>EXP(-LN(2)/25)*BQ130+(1-EXP(-LN(2)/25))/(LN(2)/25)*Calculateur!BL131*Calculateur!BN131*VLOOKUP('Données projet'!$B$11,Paramètres!$A$1:$I$89,3,0)*0.475*44/12</f>
        <v>1.3292883535680029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8.3008135526621984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142.72679502162805</v>
      </c>
      <c r="CE131" s="62">
        <f t="shared" si="94"/>
        <v>372.84389296423961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6.3349878866921232</v>
      </c>
      <c r="CL131" s="23">
        <f>EXP(-LN(2)/25)*CL130+(1-EXP(-LN(2)/25))/(LN(2)/25)*Calculateur!CG131*Calculateur!CI131*VLOOKUP('Données projet'!$B$12,Paramètres!$A$1:$I$89,3,0)*0.475*44/12</f>
        <v>1.1702423635435366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7.5052302502356598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84.520799999999852</v>
      </c>
      <c r="D132" s="12">
        <f t="shared" si="86"/>
        <v>23.238982076664719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831.82989673214763</v>
      </c>
      <c r="H132" s="70">
        <f t="shared" ref="H132:H195" si="110">(B132+E132+F132)*44/12+(C132+D132)*0.475*44/12</f>
        <v>481.01495378352411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133.56954582136541</v>
      </c>
      <c r="T132" s="62">
        <f t="shared" si="88"/>
        <v>412.851273435613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6.8490910204541118</v>
      </c>
      <c r="AA132" s="23">
        <f>EXP(-LN(2)/25)*AA131+(1-EXP(-LN(2)/25))/(LN(2)/25)*Calculateur!V132*Calculateur!X132*VLOOKUP('Données projet'!$B$9,Paramètres!$A$1:$I$89,3,0)*0.475*44/12</f>
        <v>1.2552280104308631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8.1043190308849749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142.72679502162805</v>
      </c>
      <c r="AO132" s="62">
        <f t="shared" si="90"/>
        <v>372.84389296423961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6.2107626381951668</v>
      </c>
      <c r="AV132" s="23">
        <f>EXP(-LN(2)/25)*AV131+(1-EXP(-LN(2)/25))/(LN(2)/25)*Calculateur!AQ132*Calculateur!AS132*VLOOKUP('Données projet'!$B$10,Paramètres!$A$1:$I$89,3,0)*0.475*44/12</f>
        <v>1.1382420245720672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7.3490046627672339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169.10494041758477</v>
      </c>
      <c r="BJ132" s="62">
        <f t="shared" si="92"/>
        <v>373.38644103117821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6.8348178421504588</v>
      </c>
      <c r="BQ132" s="23">
        <f>EXP(-LN(2)/25)*BQ131+(1-EXP(-LN(2)/25))/(LN(2)/25)*Calculateur!BL132*Calculateur!BN132*VLOOKUP('Données projet'!$B$11,Paramètres!$A$1:$I$89,3,0)*0.475*44/12</f>
        <v>1.2929388936354496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8.1277567357859084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142.72679502162805</v>
      </c>
      <c r="CE132" s="62">
        <f t="shared" si="94"/>
        <v>372.84389296423961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6.2107626381951668</v>
      </c>
      <c r="CL132" s="23">
        <f>EXP(-LN(2)/25)*CL131+(1-EXP(-LN(2)/25))/(LN(2)/25)*Calculateur!CG132*Calculateur!CI132*VLOOKUP('Données projet'!$B$12,Paramètres!$A$1:$I$89,3,0)*0.475*44/12</f>
        <v>1.1382420245720672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7.3490046627672339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85.175999999999846</v>
      </c>
      <c r="D133" s="12">
        <f t="shared" ref="D133:D196" si="140">IFERROR(EXP(-1.0587+0.8836*LN(C133)+0.284),0)</f>
        <v>23.398088487656413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838.11577078190794</v>
      </c>
      <c r="H133" s="70">
        <f t="shared" si="110"/>
        <v>482.43320411600132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133.56954582136541</v>
      </c>
      <c r="T133" s="62">
        <f t="shared" ref="T133:T196" si="142">$T$3</f>
        <v>412.851273435613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6.7147845230760321</v>
      </c>
      <c r="AA133" s="23">
        <f>EXP(-LN(2)/25)*AA132+(1-EXP(-LN(2)/25))/(LN(2)/25)*Calculateur!V133*Calculateur!X133*VLOOKUP('Données projet'!$B$9,Paramètres!$A$1:$I$89,3,0)*0.475*44/12</f>
        <v>1.2209037344760589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7.9356882575520906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142.72679502162805</v>
      </c>
      <c r="AO133" s="62">
        <f t="shared" ref="AO133:AO196" si="144">$AO$3</f>
        <v>372.84389296423961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6.0889733710513161</v>
      </c>
      <c r="AV133" s="23">
        <f>EXP(-LN(2)/25)*AV132+(1-EXP(-LN(2)/25))/(LN(2)/25)*Calculateur!AQ133*Calculateur!AS133*VLOOKUP('Données projet'!$B$10,Paramètres!$A$1:$I$89,3,0)*0.475*44/12</f>
        <v>1.1071167365525976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7.1960901076039132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169.10494041758477</v>
      </c>
      <c r="BJ133" s="62">
        <f t="shared" ref="BJ133:BJ196" si="146">$BJ$3</f>
        <v>373.38644103117821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6.7007912330931347</v>
      </c>
      <c r="BQ133" s="23">
        <f>EXP(-LN(2)/25)*BQ132+(1-EXP(-LN(2)/25))/(LN(2)/25)*Calculateur!BL133*Calculateur!BN133*VLOOKUP('Données projet'!$B$11,Paramètres!$A$1:$I$89,3,0)*0.475*44/12</f>
        <v>1.2575834115962867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7.958374644689421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142.72679502162805</v>
      </c>
      <c r="CE133" s="62">
        <f t="shared" ref="CE133:CE196" si="148">$CE$3</f>
        <v>372.84389296423961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6.0889733710513161</v>
      </c>
      <c r="CL133" s="23">
        <f>EXP(-LN(2)/25)*CL132+(1-EXP(-LN(2)/25))/(LN(2)/25)*Calculateur!CG133*Calculateur!CI133*VLOOKUP('Données projet'!$B$12,Paramètres!$A$1:$I$89,3,0)*0.475*44/12</f>
        <v>1.1071167365525976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7.1960901076039132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85.831199999999839</v>
      </c>
      <c r="D134" s="12">
        <f t="shared" si="140"/>
        <v>23.557052499489924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844.4005456100964</v>
      </c>
      <c r="H134" s="70">
        <f t="shared" si="110"/>
        <v>483.85120643661128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133.56954582136541</v>
      </c>
      <c r="T134" s="62">
        <f t="shared" si="142"/>
        <v>412.851273435613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6.5831116941926622</v>
      </c>
      <c r="AA134" s="23">
        <f>EXP(-LN(2)/25)*AA133+(1-EXP(-LN(2)/25))/(LN(2)/25)*Calculateur!V134*Calculateur!X134*VLOOKUP('Données projet'!$B$9,Paramètres!$A$1:$I$89,3,0)*0.475*44/12</f>
        <v>1.1875180576522741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7.7706297518449361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142.72679502162805</v>
      </c>
      <c r="AO134" s="62">
        <f t="shared" si="144"/>
        <v>372.84389296423961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5.9695723171520383</v>
      </c>
      <c r="AV134" s="23">
        <f>EXP(-LN(2)/25)*AV133+(1-EXP(-LN(2)/25))/(LN(2)/25)*Calculateur!AQ134*Calculateur!AS134*VLOOKUP('Données projet'!$B$10,Paramètres!$A$1:$I$89,3,0)*0.475*44/12</f>
        <v>1.076842571170828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7.0464148883228663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169.10494041758477</v>
      </c>
      <c r="BJ134" s="62">
        <f t="shared" si="146"/>
        <v>373.38644103117821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6.5693928040912652</v>
      </c>
      <c r="BQ134" s="23">
        <f>EXP(-LN(2)/25)*BQ133+(1-EXP(-LN(2)/25))/(LN(2)/25)*Calculateur!BL134*Calculateur!BN134*VLOOKUP('Données projet'!$B$11,Paramètres!$A$1:$I$89,3,0)*0.475*44/12</f>
        <v>1.2231947270727488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7.7925875311640143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142.72679502162805</v>
      </c>
      <c r="CE134" s="62">
        <f t="shared" si="148"/>
        <v>372.84389296423961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5.9695723171520383</v>
      </c>
      <c r="CL134" s="23">
        <f>EXP(-LN(2)/25)*CL133+(1-EXP(-LN(2)/25))/(LN(2)/25)*Calculateur!CG134*Calculateur!CI134*VLOOKUP('Données projet'!$B$12,Paramètres!$A$1:$I$89,3,0)*0.475*44/12</f>
        <v>1.076842571170828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7.0464148883228663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86.486399999999833</v>
      </c>
      <c r="D135" s="12">
        <f t="shared" si="140"/>
        <v>23.715875325195093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850.68423058045209</v>
      </c>
      <c r="H135" s="70">
        <f t="shared" si="110"/>
        <v>485.26896285804781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133.56954582136541</v>
      </c>
      <c r="T135" s="62">
        <f t="shared" si="142"/>
        <v>412.851273435613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6.4540208891711996</v>
      </c>
      <c r="AA135" s="23">
        <f>EXP(-LN(2)/25)*AA134+(1-EXP(-LN(2)/25))/(LN(2)/25)*Calculateur!V135*Calculateur!X135*VLOOKUP('Données projet'!$B$9,Paramètres!$A$1:$I$89,3,0)*0.475*44/12</f>
        <v>1.1550453139169121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7.609066203088112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142.72679502162805</v>
      </c>
      <c r="AO135" s="62">
        <f t="shared" si="144"/>
        <v>372.84389296423961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5.8525126450922738</v>
      </c>
      <c r="AV135" s="23">
        <f>EXP(-LN(2)/25)*AV134+(1-EXP(-LN(2)/25))/(LN(2)/25)*Calculateur!AQ135*Calculateur!AS135*VLOOKUP('Données projet'!$B$10,Paramètres!$A$1:$I$89,3,0)*0.475*44/12</f>
        <v>1.0473962544334721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6.8999088995257463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169.10494041758477</v>
      </c>
      <c r="BJ135" s="62">
        <f t="shared" si="146"/>
        <v>373.38644103117821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6.4405710181369944</v>
      </c>
      <c r="BQ135" s="23">
        <f>EXP(-LN(2)/25)*BQ134+(1-EXP(-LN(2)/25))/(LN(2)/25)*Calculateur!BL135*Calculateur!BN135*VLOOKUP('Données projet'!$B$11,Paramètres!$A$1:$I$89,3,0)*0.475*44/12</f>
        <v>1.1897464029359295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7.6303174210729239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142.72679502162805</v>
      </c>
      <c r="CE135" s="62">
        <f t="shared" si="148"/>
        <v>372.84389296423961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5.8525126450922738</v>
      </c>
      <c r="CL135" s="23">
        <f>EXP(-LN(2)/25)*CL134+(1-EXP(-LN(2)/25))/(LN(2)/25)*Calculateur!CG135*Calculateur!CI135*VLOOKUP('Données projet'!$B$12,Paramètres!$A$1:$I$89,3,0)*0.475*44/12</f>
        <v>1.0473962544334721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6.8999088995257463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87.141599999999826</v>
      </c>
      <c r="D136" s="12">
        <f t="shared" si="140"/>
        <v>23.874558158360912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856.96683490664429</v>
      </c>
      <c r="H136" s="70">
        <f t="shared" si="110"/>
        <v>486.68647545914496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133.56954582136541</v>
      </c>
      <c r="T136" s="62">
        <f t="shared" si="142"/>
        <v>412.851273435613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6.3274614760985912</v>
      </c>
      <c r="AA136" s="23">
        <f>EXP(-LN(2)/25)*AA135+(1-EXP(-LN(2)/25))/(LN(2)/25)*Calculateur!V136*Calculateur!X136*VLOOKUP('Données projet'!$B$9,Paramètres!$A$1:$I$89,3,0)*0.475*44/12</f>
        <v>1.123460539066661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7.4509220151652524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142.72679502162805</v>
      </c>
      <c r="AO136" s="62">
        <f t="shared" si="144"/>
        <v>372.84389296423961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5.7377484418022515</v>
      </c>
      <c r="AV136" s="23">
        <f>EXP(-LN(2)/25)*AV135+(1-EXP(-LN(2)/25))/(LN(2)/25)*Calculateur!AQ136*Calculateur!AS136*VLOOKUP('Données projet'!$B$10,Paramètres!$A$1:$I$89,3,0)*0.475*44/12</f>
        <v>1.0187551487758135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6.756503590578065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169.10494041758477</v>
      </c>
      <c r="BJ136" s="62">
        <f t="shared" si="146"/>
        <v>373.38644103117821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6.3142753488317558</v>
      </c>
      <c r="BQ136" s="23">
        <f>EXP(-LN(2)/25)*BQ135+(1-EXP(-LN(2)/25))/(LN(2)/25)*Calculateur!BL136*Calculateur!BN136*VLOOKUP('Données projet'!$B$11,Paramètres!$A$1:$I$89,3,0)*0.475*44/12</f>
        <v>1.1572127249816024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7.471488073813358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142.72679502162805</v>
      </c>
      <c r="CE136" s="62">
        <f t="shared" si="148"/>
        <v>372.84389296423961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5.7377484418022515</v>
      </c>
      <c r="CL136" s="23">
        <f>EXP(-LN(2)/25)*CL135+(1-EXP(-LN(2)/25))/(LN(2)/25)*Calculateur!CG136*Calculateur!CI136*VLOOKUP('Données projet'!$B$12,Paramètres!$A$1:$I$89,3,0)*0.475*44/12</f>
        <v>1.0187551487758135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6.756503590578065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87.79679999999982</v>
      </c>
      <c r="D137" s="12">
        <f t="shared" si="140"/>
        <v>24.033102173590763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863.24836765578686</v>
      </c>
      <c r="H137" s="70">
        <f t="shared" si="110"/>
        <v>488.10374628567024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133.56954582136541</v>
      </c>
      <c r="T137" s="62">
        <f t="shared" si="142"/>
        <v>412.851273435613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6.2033838159227175</v>
      </c>
      <c r="AA137" s="23">
        <f>EXP(-LN(2)/25)*AA136+(1-EXP(-LN(2)/25))/(LN(2)/25)*Calculateur!V137*Calculateur!X137*VLOOKUP('Données projet'!$B$9,Paramètres!$A$1:$I$89,3,0)*0.475*44/12</f>
        <v>1.092739451545661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7.2961232674683787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142.72679502162805</v>
      </c>
      <c r="AO137" s="62">
        <f t="shared" si="144"/>
        <v>372.84389296423961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5.6252346945394942</v>
      </c>
      <c r="AV137" s="23">
        <f>EXP(-LN(2)/25)*AV136+(1-EXP(-LN(2)/25))/(LN(2)/25)*Calculateur!AQ137*Calculateur!AS137*VLOOKUP('Données projet'!$B$10,Paramètres!$A$1:$I$89,3,0)*0.475*44/12</f>
        <v>0.99089723565853405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6.6161319301980281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169.10494041758477</v>
      </c>
      <c r="BJ137" s="62">
        <f t="shared" si="146"/>
        <v>373.38644103117821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6.1904562605688405</v>
      </c>
      <c r="BQ137" s="23">
        <f>EXP(-LN(2)/25)*BQ136+(1-EXP(-LN(2)/25))/(LN(2)/25)*Calculateur!BL137*Calculateur!BN137*VLOOKUP('Données projet'!$B$11,Paramètres!$A$1:$I$89,3,0)*0.475*44/12</f>
        <v>1.1255686821618081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7.3160249427306487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142.72679502162805</v>
      </c>
      <c r="CE137" s="62">
        <f t="shared" si="148"/>
        <v>372.84389296423961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5.6252346945394942</v>
      </c>
      <c r="CL137" s="23">
        <f>EXP(-LN(2)/25)*CL136+(1-EXP(-LN(2)/25))/(LN(2)/25)*Calculateur!CG137*Calculateur!CI137*VLOOKUP('Données projet'!$B$12,Paramètres!$A$1:$I$89,3,0)*0.475*44/12</f>
        <v>0.99089723565853405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6.6161319301980281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88.451999999999813</v>
      </c>
      <c r="D138" s="12">
        <f t="shared" si="140"/>
        <v>24.191508526943913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869.52883775184637</v>
      </c>
      <c r="H138" s="70">
        <f t="shared" si="110"/>
        <v>489.52077735109361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133.56954582136541</v>
      </c>
      <c r="T138" s="62">
        <f t="shared" si="142"/>
        <v>412.851273435613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6.0817392429829926</v>
      </c>
      <c r="AA138" s="23">
        <f>EXP(-LN(2)/25)*AA137+(1-EXP(-LN(2)/25))/(LN(2)/25)*Calculateur!V138*Calculateur!X138*VLOOKUP('Données projet'!$B$9,Paramètres!$A$1:$I$89,3,0)*0.475*44/12</f>
        <v>1.0628584337784746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7.1445976767614674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142.72679502162805</v>
      </c>
      <c r="AO138" s="62">
        <f t="shared" si="144"/>
        <v>372.84389296423961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5.5149272732339503</v>
      </c>
      <c r="AV138" s="23">
        <f>EXP(-LN(2)/25)*AV137+(1-EXP(-LN(2)/25))/(LN(2)/25)*Calculateur!AQ138*Calculateur!AS138*VLOOKUP('Données projet'!$B$10,Paramètres!$A$1:$I$89,3,0)*0.475*44/12</f>
        <v>0.96380109864043051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6.4787283718743804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169.10494041758477</v>
      </c>
      <c r="BJ138" s="62">
        <f t="shared" si="146"/>
        <v>373.38644103117821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6.0690651891045748</v>
      </c>
      <c r="BQ138" s="23">
        <f>EXP(-LN(2)/25)*BQ137+(1-EXP(-LN(2)/25))/(LN(2)/25)*Calculateur!BL138*Calculateur!BN138*VLOOKUP('Données projet'!$B$11,Paramètres!$A$1:$I$89,3,0)*0.475*44/12</f>
        <v>1.0947899473570089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7.1638551364615832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142.72679502162805</v>
      </c>
      <c r="CE138" s="62">
        <f t="shared" si="148"/>
        <v>372.84389296423961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5.5149272732339503</v>
      </c>
      <c r="CL138" s="23">
        <f>EXP(-LN(2)/25)*CL137+(1-EXP(-LN(2)/25))/(LN(2)/25)*Calculateur!CG138*Calculateur!CI138*VLOOKUP('Données projet'!$B$12,Paramètres!$A$1:$I$89,3,0)*0.475*44/12</f>
        <v>0.96380109864043051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6.4787283718743804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89.107199999999807</v>
      </c>
      <c r="D139" s="12">
        <f t="shared" si="140"/>
        <v>24.349778356363299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875.8082539789433</v>
      </c>
      <c r="H139" s="70">
        <f t="shared" si="110"/>
        <v>490.93757063733239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133.56954582136541</v>
      </c>
      <c r="T139" s="62">
        <f t="shared" si="142"/>
        <v>412.851273435613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5.962480045922752</v>
      </c>
      <c r="AA139" s="23">
        <f>EXP(-LN(2)/25)*AA138+(1-EXP(-LN(2)/25))/(LN(2)/25)*Calculateur!V139*Calculateur!X139*VLOOKUP('Données projet'!$B$9,Paramètres!$A$1:$I$89,3,0)*0.475*44/12</f>
        <v>1.0337945140135063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6.9962745599362588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142.72679502162805</v>
      </c>
      <c r="AO139" s="62">
        <f t="shared" si="144"/>
        <v>372.84389296423961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5.4067829131793239</v>
      </c>
      <c r="AV139" s="23">
        <f>EXP(-LN(2)/25)*AV138+(1-EXP(-LN(2)/25))/(LN(2)/25)*Calculateur!AQ139*Calculateur!AS139*VLOOKUP('Données projet'!$B$10,Paramètres!$A$1:$I$89,3,0)*0.475*44/12</f>
        <v>0.93744590691401097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6.3442288200933348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169.10494041758477</v>
      </c>
      <c r="BJ139" s="62">
        <f t="shared" si="146"/>
        <v>373.38644103117821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5.9500545225104808</v>
      </c>
      <c r="BQ139" s="23">
        <f>EXP(-LN(2)/25)*BQ138+(1-EXP(-LN(2)/25))/(LN(2)/25)*Calculateur!BL139*Calculateur!BN139*VLOOKUP('Données projet'!$B$11,Paramètres!$A$1:$I$89,3,0)*0.475*44/12</f>
        <v>1.0648528586740302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7.0149073811845106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142.72679502162805</v>
      </c>
      <c r="CE139" s="62">
        <f t="shared" si="148"/>
        <v>372.84389296423961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5.4067829131793239</v>
      </c>
      <c r="CL139" s="23">
        <f>EXP(-LN(2)/25)*CL138+(1-EXP(-LN(2)/25))/(LN(2)/25)*Calculateur!CG139*Calculateur!CI139*VLOOKUP('Données projet'!$B$12,Paramètres!$A$1:$I$89,3,0)*0.475*44/12</f>
        <v>0.93744590691401097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6.3442288200933348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89.762399999999801</v>
      </c>
      <c r="D140" s="12">
        <f t="shared" si="140"/>
        <v>24.507912782090642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882.08662498455772</v>
      </c>
      <c r="H140" s="70">
        <f t="shared" si="110"/>
        <v>492.35412809547415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133.56954582136541</v>
      </c>
      <c r="T140" s="62">
        <f t="shared" si="142"/>
        <v>412.851273435613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5.8455594489759353</v>
      </c>
      <c r="AA140" s="23">
        <f>EXP(-LN(2)/25)*AA139+(1-EXP(-LN(2)/25))/(LN(2)/25)*Calculateur!V140*Calculateur!X140*VLOOKUP('Données projet'!$B$9,Paramètres!$A$1:$I$89,3,0)*0.475*44/12</f>
        <v>1.0055253486629163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6.8510847976388511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142.72679502162805</v>
      </c>
      <c r="AO140" s="62">
        <f t="shared" si="144"/>
        <v>372.84389296423961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5.3007591980638225</v>
      </c>
      <c r="AV140" s="23">
        <f>EXP(-LN(2)/25)*AV139+(1-EXP(-LN(2)/25))/(LN(2)/25)*Calculateur!AQ140*Calculateur!AS140*VLOOKUP('Données projet'!$B$10,Paramètres!$A$1:$I$89,3,0)*0.475*44/12</f>
        <v>0.91181139929130961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6.212570597355132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169.10494041758477</v>
      </c>
      <c r="BJ140" s="62">
        <f t="shared" si="146"/>
        <v>373.38644103117821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5.833377582498958</v>
      </c>
      <c r="BQ140" s="23">
        <f>EXP(-LN(2)/25)*BQ139+(1-EXP(-LN(2)/25))/(LN(2)/25)*Calculateur!BL140*Calculateur!BN140*VLOOKUP('Données projet'!$B$11,Paramètres!$A$1:$I$89,3,0)*0.475*44/12</f>
        <v>1.0357344012554108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6.8691119837543688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142.72679502162805</v>
      </c>
      <c r="CE140" s="62">
        <f t="shared" si="148"/>
        <v>372.84389296423961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5.3007591980638225</v>
      </c>
      <c r="CL140" s="23">
        <f>EXP(-LN(2)/25)*CL139+(1-EXP(-LN(2)/25))/(LN(2)/25)*Calculateur!CG140*Calculateur!CI140*VLOOKUP('Données projet'!$B$12,Paramètres!$A$1:$I$89,3,0)*0.475*44/12</f>
        <v>0.91181139929130961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6.212570597355132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90.417599999999794</v>
      </c>
      <c r="D141" s="12">
        <f t="shared" si="140"/>
        <v>24.665912907068773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888.36395928263471</v>
      </c>
      <c r="H141" s="70">
        <f t="shared" si="110"/>
        <v>493.77045164647774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133.56954582136541</v>
      </c>
      <c r="T141" s="62">
        <f t="shared" si="142"/>
        <v>412.851273435613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5.7309315936207232</v>
      </c>
      <c r="AA141" s="23">
        <f>EXP(-LN(2)/25)*AA140+(1-EXP(-LN(2)/25))/(LN(2)/25)*Calculateur!V141*Calculateur!X141*VLOOKUP('Données projet'!$B$9,Paramètres!$A$1:$I$89,3,0)*0.475*44/12</f>
        <v>0.978029205125449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6.7089607987461726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142.72679502162805</v>
      </c>
      <c r="AO141" s="62">
        <f t="shared" si="144"/>
        <v>372.84389296423961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5.1968145433336552</v>
      </c>
      <c r="AV141" s="23">
        <f>EXP(-LN(2)/25)*AV140+(1-EXP(-LN(2)/25))/(LN(2)/25)*Calculateur!AQ141*Calculateur!AS141*VLOOKUP('Données projet'!$B$10,Paramètres!$A$1:$I$89,3,0)*0.475*44/12</f>
        <v>0.8868778686276112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6.0836924119612661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169.10494041758477</v>
      </c>
      <c r="BJ141" s="62">
        <f t="shared" si="146"/>
        <v>373.38644103117821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5.7189886061151549</v>
      </c>
      <c r="BQ141" s="23">
        <f>EXP(-LN(2)/25)*BQ140+(1-EXP(-LN(2)/25))/(LN(2)/25)*Calculateur!BL141*Calculateur!BN141*VLOOKUP('Données projet'!$B$11,Paramètres!$A$1:$I$89,3,0)*0.475*44/12</f>
        <v>1.0074121895861767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6.7264007957013314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142.72679502162805</v>
      </c>
      <c r="CE141" s="62">
        <f t="shared" si="148"/>
        <v>372.84389296423961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5.1968145433336552</v>
      </c>
      <c r="CL141" s="23">
        <f>EXP(-LN(2)/25)*CL140+(1-EXP(-LN(2)/25))/(LN(2)/25)*Calculateur!CG141*Calculateur!CI141*VLOOKUP('Données projet'!$B$12,Paramètres!$A$1:$I$89,3,0)*0.475*44/12</f>
        <v>0.8868778686276112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6.0836924119612661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91.072799999999788</v>
      </c>
      <c r="D142" s="12">
        <f t="shared" si="140"/>
        <v>24.823779817332326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894.64026525659881</v>
      </c>
      <c r="H142" s="70">
        <f t="shared" si="110"/>
        <v>495.18654318185338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133.56954582136541</v>
      </c>
      <c r="T142" s="62">
        <f t="shared" si="142"/>
        <v>412.851273435613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5.6185515205929386</v>
      </c>
      <c r="AA142" s="23">
        <f>EXP(-LN(2)/25)*AA141+(1-EXP(-LN(2)/25))/(LN(2)/25)*Calculateur!V142*Calculateur!X142*VLOOKUP('Données projet'!$B$9,Paramètres!$A$1:$I$89,3,0)*0.475*44/12</f>
        <v>0.95128494507897299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6.5698364656719113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142.72679502162805</v>
      </c>
      <c r="AO142" s="62">
        <f t="shared" si="144"/>
        <v>372.84389296423961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5.0949081798827676</v>
      </c>
      <c r="AV142" s="23">
        <f>EXP(-LN(2)/25)*AV141+(1-EXP(-LN(2)/25))/(LN(2)/25)*Calculateur!AQ142*Calculateur!AS142*VLOOKUP('Données projet'!$B$10,Paramètres!$A$1:$I$89,3,0)*0.475*44/12</f>
        <v>0.86262614667110904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5.9575343265538763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169.10494041758477</v>
      </c>
      <c r="BJ142" s="62">
        <f t="shared" si="146"/>
        <v>373.38644103117821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5.6068427277878516</v>
      </c>
      <c r="BQ142" s="23">
        <f>EXP(-LN(2)/25)*BQ141+(1-EXP(-LN(2)/25))/(LN(2)/25)*Calculateur!BL142*Calculateur!BN142*VLOOKUP('Données projet'!$B$11,Paramètres!$A$1:$I$89,3,0)*0.475*44/12</f>
        <v>0.97986445028443814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6.5867071780722899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142.72679502162805</v>
      </c>
      <c r="CE142" s="62">
        <f t="shared" si="148"/>
        <v>372.84389296423961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5.0949081798827676</v>
      </c>
      <c r="CL142" s="23">
        <f>EXP(-LN(2)/25)*CL141+(1-EXP(-LN(2)/25))/(LN(2)/25)*Calculateur!CG142*Calculateur!CI142*VLOOKUP('Données projet'!$B$12,Paramètres!$A$1:$I$89,3,0)*0.475*44/12</f>
        <v>0.86262614667110904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5.9575343265538763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91.727999999999781</v>
      </c>
      <c r="D143" s="12">
        <f t="shared" si="140"/>
        <v>24.981514582386506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900.91555116228028</v>
      </c>
      <c r="H143" s="70">
        <f t="shared" si="110"/>
        <v>496.60240456432274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133.56954582136541</v>
      </c>
      <c r="T143" s="62">
        <f t="shared" si="142"/>
        <v>412.851273435613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5.5083751522521522</v>
      </c>
      <c r="AA143" s="23">
        <f>EXP(-LN(2)/25)*AA142+(1-EXP(-LN(2)/25))/(LN(2)/25)*Calculateur!V143*Calculateur!X143*VLOOKUP('Données projet'!$B$9,Paramètres!$A$1:$I$89,3,0)*0.475*44/12</f>
        <v>0.92527200822988742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6.4336471604820398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142.72679502162805</v>
      </c>
      <c r="AO143" s="62">
        <f t="shared" si="144"/>
        <v>372.84389296423961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4.9950001380624078</v>
      </c>
      <c r="AV143" s="23">
        <f>EXP(-LN(2)/25)*AV142+(1-EXP(-LN(2)/25))/(LN(2)/25)*Calculateur!AQ143*Calculateur!AS143*VLOOKUP('Données projet'!$B$10,Paramètres!$A$1:$I$89,3,0)*0.475*44/12</f>
        <v>0.83903758932685002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5.8340377273892576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169.10494041758477</v>
      </c>
      <c r="BJ143" s="62">
        <f t="shared" si="146"/>
        <v>373.38644103117821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5.4968959617323154</v>
      </c>
      <c r="BQ143" s="23">
        <f>EXP(-LN(2)/25)*BQ142+(1-EXP(-LN(2)/25))/(LN(2)/25)*Calculateur!BL143*Calculateur!BN143*VLOOKUP('Données projet'!$B$11,Paramètres!$A$1:$I$89,3,0)*0.475*44/12</f>
        <v>0.95307000536257824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6.4499659670948937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142.72679502162805</v>
      </c>
      <c r="CE143" s="62">
        <f t="shared" si="148"/>
        <v>372.84389296423961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4.9950001380624078</v>
      </c>
      <c r="CL143" s="23">
        <f>EXP(-LN(2)/25)*CL142+(1-EXP(-LN(2)/25))/(LN(2)/25)*Calculateur!CG143*Calculateur!CI143*VLOOKUP('Données projet'!$B$12,Paramètres!$A$1:$I$89,3,0)*0.475*44/12</f>
        <v>0.83903758932685002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5.8340377273892576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92.383199999999775</v>
      </c>
      <c r="D144" s="12">
        <f t="shared" si="140"/>
        <v>25.139118255575003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907.18982513075264</v>
      </c>
      <c r="H144" s="70">
        <f t="shared" si="110"/>
        <v>498.01803762845935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133.56954582136541</v>
      </c>
      <c r="T144" s="62">
        <f t="shared" si="142"/>
        <v>412.851273435613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5.4003592752935798</v>
      </c>
      <c r="AA144" s="23">
        <f>EXP(-LN(2)/25)*AA143+(1-EXP(-LN(2)/25))/(LN(2)/25)*Calculateur!V144*Calculateur!X144*VLOOKUP('Données projet'!$B$9,Paramètres!$A$1:$I$89,3,0)*0.475*44/12</f>
        <v>0.89997039650690103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6.3003296718004806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142.72679502162805</v>
      </c>
      <c r="AO144" s="62">
        <f t="shared" si="144"/>
        <v>372.84389296423961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4.897051232004257</v>
      </c>
      <c r="AV144" s="23">
        <f>EXP(-LN(2)/25)*AV143+(1-EXP(-LN(2)/25))/(LN(2)/25)*Calculateur!AQ144*Calculateur!AS144*VLOOKUP('Données projet'!$B$10,Paramètres!$A$1:$I$89,3,0)*0.475*44/12</f>
        <v>0.81609406232363813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5.7131452943278953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169.10494041758477</v>
      </c>
      <c r="BJ144" s="62">
        <f t="shared" si="146"/>
        <v>373.38644103117821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5.3891051846982219</v>
      </c>
      <c r="BQ144" s="23">
        <f>EXP(-LN(2)/25)*BQ143+(1-EXP(-LN(2)/25))/(LN(2)/25)*Calculateur!BL144*Calculateur!BN144*VLOOKUP('Données projet'!$B$11,Paramètres!$A$1:$I$89,3,0)*0.475*44/12</f>
        <v>0.9270082559461652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6.3161134406443873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142.72679502162805</v>
      </c>
      <c r="CE144" s="62">
        <f t="shared" si="148"/>
        <v>372.84389296423961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4.897051232004257</v>
      </c>
      <c r="CL144" s="23">
        <f>EXP(-LN(2)/25)*CL143+(1-EXP(-LN(2)/25))/(LN(2)/25)*Calculateur!CG144*Calculateur!CI144*VLOOKUP('Données projet'!$B$12,Paramètres!$A$1:$I$89,3,0)*0.475*44/12</f>
        <v>0.81609406232363813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5.7131452943278953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93.038399999999768</v>
      </c>
      <c r="D145" s="12">
        <f t="shared" si="140"/>
        <v>25.296591874437038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913.46309517109114</v>
      </c>
      <c r="H145" s="70">
        <f t="shared" si="110"/>
        <v>499.43344418131073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133.56954582136541</v>
      </c>
      <c r="T145" s="62">
        <f t="shared" si="142"/>
        <v>412.851273435613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5.2944615237989856</v>
      </c>
      <c r="AA145" s="23">
        <f>EXP(-LN(2)/25)*AA144+(1-EXP(-LN(2)/25))/(LN(2)/25)*Calculateur!V145*Calculateur!X145*VLOOKUP('Données projet'!$B$9,Paramètres!$A$1:$I$89,3,0)*0.475*44/12</f>
        <v>0.87536065868703361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6.1698221824860191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142.72679502162805</v>
      </c>
      <c r="AO145" s="62">
        <f t="shared" si="144"/>
        <v>372.84389296423961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4.8010230442509725</v>
      </c>
      <c r="AV145" s="23">
        <f>EXP(-LN(2)/25)*AV144+(1-EXP(-LN(2)/25))/(LN(2)/25)*Calculateur!AQ145*Calculateur!AS145*VLOOKUP('Données projet'!$B$10,Paramètres!$A$1:$I$89,3,0)*0.475*44/12</f>
        <v>0.79377792727287666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5.5948009715238491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169.10494041758477</v>
      </c>
      <c r="BJ145" s="62">
        <f t="shared" si="146"/>
        <v>373.38644103117821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5.2834281190558849</v>
      </c>
      <c r="BQ145" s="23">
        <f>EXP(-LN(2)/25)*BQ144+(1-EXP(-LN(2)/25))/(LN(2)/25)*Calculateur!BL145*Calculateur!BN145*VLOOKUP('Données projet'!$B$11,Paramètres!$A$1:$I$89,3,0)*0.475*44/12</f>
        <v>0.90165916643807187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6.1850872854939567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142.72679502162805</v>
      </c>
      <c r="CE145" s="62">
        <f t="shared" si="148"/>
        <v>372.84389296423961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4.8010230442509725</v>
      </c>
      <c r="CL145" s="23">
        <f>EXP(-LN(2)/25)*CL144+(1-EXP(-LN(2)/25))/(LN(2)/25)*Calculateur!CG145*Calculateur!CI145*VLOOKUP('Données projet'!$B$12,Paramètres!$A$1:$I$89,3,0)*0.475*44/12</f>
        <v>0.79377792727287666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5.5948009715238491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93.693599999999762</v>
      </c>
      <c r="D146" s="12">
        <f t="shared" si="140"/>
        <v>25.453936461054049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919.73536917304716</v>
      </c>
      <c r="H146" s="70">
        <f t="shared" si="110"/>
        <v>500.84862600300204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133.56954582136541</v>
      </c>
      <c r="T146" s="62">
        <f t="shared" si="142"/>
        <v>412.851273435613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5.1906403626199502</v>
      </c>
      <c r="AA146" s="23">
        <f>EXP(-LN(2)/25)*AA145+(1-EXP(-LN(2)/25))/(LN(2)/25)*Calculateur!V146*Calculateur!X146*VLOOKUP('Données projet'!$B$9,Paramètres!$A$1:$I$89,3,0)*0.475*44/12</f>
        <v>0.85142387544202025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6.04206423806197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142.72679502162805</v>
      </c>
      <c r="AO146" s="62">
        <f t="shared" si="144"/>
        <v>372.84389296423961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4.7068779106881191</v>
      </c>
      <c r="AV146" s="23">
        <f>EXP(-LN(2)/25)*AV145+(1-EXP(-LN(2)/25))/(LN(2)/25)*Calculateur!AQ146*Calculateur!AS146*VLOOKUP('Données projet'!$B$10,Paramètres!$A$1:$I$89,3,0)*0.475*44/12</f>
        <v>0.77207202810863285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5.4789499387967524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169.10494041758477</v>
      </c>
      <c r="BJ146" s="62">
        <f t="shared" si="146"/>
        <v>373.38644103117821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5.1798233162141489</v>
      </c>
      <c r="BQ146" s="23">
        <f>EXP(-LN(2)/25)*BQ145+(1-EXP(-LN(2)/25))/(LN(2)/25)*Calculateur!BL146*Calculateur!BN146*VLOOKUP('Données projet'!$B$11,Paramètres!$A$1:$I$89,3,0)*0.475*44/12</f>
        <v>0.87700324911562799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6.0568265653297768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142.72679502162805</v>
      </c>
      <c r="CE146" s="62">
        <f t="shared" si="148"/>
        <v>372.84389296423961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4.7068779106881191</v>
      </c>
      <c r="CL146" s="23">
        <f>EXP(-LN(2)/25)*CL145+(1-EXP(-LN(2)/25))/(LN(2)/25)*Calculateur!CG146*Calculateur!CI146*VLOOKUP('Données projet'!$B$12,Paramètres!$A$1:$I$89,3,0)*0.475*44/12</f>
        <v>0.77207202810863285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5.4789499387967524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94.348799999999756</v>
      </c>
      <c r="D147" s="12">
        <f t="shared" si="140"/>
        <v>25.611153022386418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926.00665490964775</v>
      </c>
      <c r="H147" s="70">
        <f t="shared" si="110"/>
        <v>502.26358484732253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133.56954582136541</v>
      </c>
      <c r="T147" s="62">
        <f t="shared" si="142"/>
        <v>412.851273435613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5.0888550710869795</v>
      </c>
      <c r="AA147" s="23">
        <f>EXP(-LN(2)/25)*AA146+(1-EXP(-LN(2)/25))/(LN(2)/25)*Calculateur!V147*Calculateur!X147*VLOOKUP('Données projet'!$B$9,Paramètres!$A$1:$I$89,3,0)*0.475*44/12</f>
        <v>0.82814164479362251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5.9169967158806021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142.72679502162805</v>
      </c>
      <c r="AO147" s="62">
        <f t="shared" si="144"/>
        <v>372.84389296423961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4.6145789057715714</v>
      </c>
      <c r="AV147" s="23">
        <f>EXP(-LN(2)/25)*AV146+(1-EXP(-LN(2)/25))/(LN(2)/25)*Calculateur!AQ147*Calculateur!AS147*VLOOKUP('Données projet'!$B$10,Paramètres!$A$1:$I$89,3,0)*0.475*44/12</f>
        <v>0.75095967789849893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5.3655385836700704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169.10494041758477</v>
      </c>
      <c r="BJ147" s="62">
        <f t="shared" si="146"/>
        <v>373.38644103117821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5.0782501403634495</v>
      </c>
      <c r="BQ147" s="23">
        <f>EXP(-LN(2)/25)*BQ146+(1-EXP(-LN(2)/25))/(LN(2)/25)*Calculateur!BL147*Calculateur!BN147*VLOOKUP('Données projet'!$B$11,Paramètres!$A$1:$I$89,3,0)*0.475*44/12</f>
        <v>0.85302154914896466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5.931271689512414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142.72679502162805</v>
      </c>
      <c r="CE147" s="62">
        <f t="shared" si="148"/>
        <v>372.84389296423961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4.6145789057715714</v>
      </c>
      <c r="CL147" s="23">
        <f>EXP(-LN(2)/25)*CL146+(1-EXP(-LN(2)/25))/(LN(2)/25)*Calculateur!CG147*Calculateur!CI147*VLOOKUP('Données projet'!$B$12,Paramètres!$A$1:$I$89,3,0)*0.475*44/12</f>
        <v>0.75095967789849893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5.3655385836700704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95.003999999999749</v>
      </c>
      <c r="D148" s="12">
        <f t="shared" si="140"/>
        <v>25.768242550600718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932.27696003972289</v>
      </c>
      <c r="H148" s="70">
        <f t="shared" si="110"/>
        <v>503.67832244229578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133.56954582136541</v>
      </c>
      <c r="T148" s="62">
        <f t="shared" si="142"/>
        <v>412.851273435613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4.9890657270380734</v>
      </c>
      <c r="AA148" s="23">
        <f>EXP(-LN(2)/25)*AA147+(1-EXP(-LN(2)/25))/(LN(2)/25)*Calculateur!V148*Calculateur!X148*VLOOKUP('Données projet'!$B$9,Paramètres!$A$1:$I$89,3,0)*0.475*44/12</f>
        <v>0.80549606796666451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5.7945617950047374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142.72679502162805</v>
      </c>
      <c r="AO148" s="62">
        <f t="shared" si="144"/>
        <v>372.84389296423961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4.5240898280446036</v>
      </c>
      <c r="AV148" s="23">
        <f>EXP(-LN(2)/25)*AV147+(1-EXP(-LN(2)/25))/(LN(2)/25)*Calculateur!AQ148*Calculateur!AS148*VLOOKUP('Données projet'!$B$10,Paramètres!$A$1:$I$89,3,0)*0.475*44/12</f>
        <v>0.73042464601511137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5.2545144740597145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169.10494041758477</v>
      </c>
      <c r="BJ148" s="62">
        <f t="shared" si="146"/>
        <v>373.38644103117821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4.9786687525376623</v>
      </c>
      <c r="BQ148" s="23">
        <f>EXP(-LN(2)/25)*BQ147+(1-EXP(-LN(2)/25))/(LN(2)/25)*Calculateur!BL148*Calculateur!BN148*VLOOKUP('Données projet'!$B$11,Paramètres!$A$1:$I$89,3,0)*0.475*44/12</f>
        <v>0.82969563002903257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5.8083643825666949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142.72679502162805</v>
      </c>
      <c r="CE148" s="62">
        <f t="shared" si="148"/>
        <v>372.84389296423961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4.5240898280446036</v>
      </c>
      <c r="CL148" s="23">
        <f>EXP(-LN(2)/25)*CL147+(1-EXP(-LN(2)/25))/(LN(2)/25)*Calculateur!CG148*Calculateur!CI148*VLOOKUP('Données projet'!$B$12,Paramètres!$A$1:$I$89,3,0)*0.475*44/12</f>
        <v>0.73042464601511137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5.2545144740597145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95.659199999999743</v>
      </c>
      <c r="D149" s="12">
        <f t="shared" si="140"/>
        <v>25.925206023387403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938.54629211035706</v>
      </c>
      <c r="H149" s="70">
        <f t="shared" si="110"/>
        <v>505.09284049073256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133.56954582136541</v>
      </c>
      <c r="T149" s="62">
        <f t="shared" si="142"/>
        <v>412.851273435613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4.8912331911604756</v>
      </c>
      <c r="AA149" s="23">
        <f>EXP(-LN(2)/25)*AA148+(1-EXP(-LN(2)/25))/(LN(2)/25)*Calculateur!V149*Calculateur!X149*VLOOKUP('Données projet'!$B$9,Paramètres!$A$1:$I$89,3,0)*0.475*44/12</f>
        <v>0.78346973562891886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5.6747029267893945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142.72679502162805</v>
      </c>
      <c r="AO149" s="62">
        <f t="shared" si="144"/>
        <v>372.84389296423961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4.4353751859389741</v>
      </c>
      <c r="AV149" s="23">
        <f>EXP(-LN(2)/25)*AV148+(1-EXP(-LN(2)/25))/(LN(2)/25)*Calculateur!AQ149*Calculateur!AS149*VLOOKUP('Données projet'!$B$10,Paramètres!$A$1:$I$89,3,0)*0.475*44/12</f>
        <v>0.71045114565846545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5.1458263315974397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169.10494041758477</v>
      </c>
      <c r="BJ149" s="62">
        <f t="shared" si="146"/>
        <v>373.38644103117821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4.8810400949884896</v>
      </c>
      <c r="BQ149" s="23">
        <f>EXP(-LN(2)/25)*BQ148+(1-EXP(-LN(2)/25))/(LN(2)/25)*Calculateur!BL149*Calculateur!BN149*VLOOKUP('Données projet'!$B$11,Paramètres!$A$1:$I$89,3,0)*0.475*44/12</f>
        <v>0.80700755939409174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5.6880476543825811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142.72679502162805</v>
      </c>
      <c r="CE149" s="62">
        <f t="shared" si="148"/>
        <v>372.84389296423961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4.4353751859389741</v>
      </c>
      <c r="CL149" s="23">
        <f>EXP(-LN(2)/25)*CL148+(1-EXP(-LN(2)/25))/(LN(2)/25)*Calculateur!CG149*Calculateur!CI149*VLOOKUP('Données projet'!$B$12,Paramètres!$A$1:$I$89,3,0)*0.475*44/12</f>
        <v>0.71045114565846545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5.1458263315974397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96.314399999999736</v>
      </c>
      <c r="D150" s="12">
        <f t="shared" si="140"/>
        <v>26.082044404269823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944.81465855927365</v>
      </c>
      <c r="H150" s="70">
        <f t="shared" si="110"/>
        <v>506.50714067076945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133.56954582136541</v>
      </c>
      <c r="T150" s="62">
        <f t="shared" si="142"/>
        <v>412.851273435613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4.7953190916394828</v>
      </c>
      <c r="AA150" s="23">
        <f>EXP(-LN(2)/25)*AA149+(1-EXP(-LN(2)/25))/(LN(2)/25)*Calculateur!V150*Calculateur!X150*VLOOKUP('Données projet'!$B$9,Paramètres!$A$1:$I$89,3,0)*0.475*44/12</f>
        <v>0.76204571450726333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5.5573648061467464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142.72679502162805</v>
      </c>
      <c r="AO150" s="62">
        <f t="shared" si="144"/>
        <v>372.84389296423961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4.348400183854447</v>
      </c>
      <c r="AV150" s="23">
        <f>EXP(-LN(2)/25)*AV149+(1-EXP(-LN(2)/25))/(LN(2)/25)*Calculateur!AQ150*Calculateur!AS150*VLOOKUP('Données projet'!$B$10,Paramètres!$A$1:$I$89,3,0)*0.475*44/12</f>
        <v>0.69102382171943277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5.0394240055738795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169.10494041758477</v>
      </c>
      <c r="BJ150" s="62">
        <f t="shared" si="146"/>
        <v>373.38644103117821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4.7853258758662554</v>
      </c>
      <c r="BQ150" s="23">
        <f>EXP(-LN(2)/25)*BQ149+(1-EXP(-LN(2)/25))/(LN(2)/25)*Calculateur!BL150*Calculateur!BN150*VLOOKUP('Données projet'!$B$11,Paramètres!$A$1:$I$89,3,0)*0.475*44/12</f>
        <v>0.78493989524377716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5.5702657711100327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142.72679502162805</v>
      </c>
      <c r="CE150" s="62">
        <f t="shared" si="148"/>
        <v>372.84389296423961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4.348400183854447</v>
      </c>
      <c r="CL150" s="23">
        <f>EXP(-LN(2)/25)*CL149+(1-EXP(-LN(2)/25))/(LN(2)/25)*Calculateur!CG150*Calculateur!CI150*VLOOKUP('Données projet'!$B$12,Paramètres!$A$1:$I$89,3,0)*0.475*44/12</f>
        <v>0.69102382171943277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5.0394240055738795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96.96959999999973</v>
      </c>
      <c r="D151" s="12">
        <f t="shared" si="140"/>
        <v>26.238758642904266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951.08206671715379</v>
      </c>
      <c r="H151" s="70">
        <f t="shared" si="110"/>
        <v>507.92122463639112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133.56954582136541</v>
      </c>
      <c r="T151" s="62">
        <f t="shared" si="142"/>
        <v>412.851273435613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4.7012858091082732</v>
      </c>
      <c r="AA151" s="23">
        <f>EXP(-LN(2)/25)*AA150+(1-EXP(-LN(2)/25))/(LN(2)/25)*Calculateur!V151*Calculateur!X151*VLOOKUP('Données projet'!$B$9,Paramètres!$A$1:$I$89,3,0)*0.475*44/12</f>
        <v>0.74120753436981979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5.4424933434780929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142.72679502162805</v>
      </c>
      <c r="AO151" s="62">
        <f t="shared" si="144"/>
        <v>372.84389296423961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4.2631307085112846</v>
      </c>
      <c r="AV151" s="23">
        <f>EXP(-LN(2)/25)*AV150+(1-EXP(-LN(2)/25))/(LN(2)/25)*Calculateur!AQ151*Calculateur!AS151*VLOOKUP('Données projet'!$B$10,Paramètres!$A$1:$I$89,3,0)*0.475*44/12</f>
        <v>0.67212773897515143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4.9352584474864365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169.10494041758477</v>
      </c>
      <c r="BJ151" s="62">
        <f t="shared" si="146"/>
        <v>373.38644103117821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4.6914885542010989</v>
      </c>
      <c r="BQ151" s="23">
        <f>EXP(-LN(2)/25)*BQ150+(1-EXP(-LN(2)/25))/(LN(2)/25)*Calculateur!BL151*Calculateur!BN151*VLOOKUP('Données projet'!$B$11,Paramètres!$A$1:$I$89,3,0)*0.475*44/12</f>
        <v>0.76347567253014104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5.4549642267312404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142.72679502162805</v>
      </c>
      <c r="CE151" s="62">
        <f t="shared" si="148"/>
        <v>372.84389296423961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4.2631307085112846</v>
      </c>
      <c r="CL151" s="23">
        <f>EXP(-LN(2)/25)*CL150+(1-EXP(-LN(2)/25))/(LN(2)/25)*Calculateur!CG151*Calculateur!CI151*VLOOKUP('Données projet'!$B$12,Paramètres!$A$1:$I$89,3,0)*0.475*44/12</f>
        <v>0.67212773897515143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4.9352584474864365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97.624799999999723</v>
      </c>
      <c r="D152" s="12">
        <f t="shared" si="140"/>
        <v>26.395349675372106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957.34852380988787</v>
      </c>
      <c r="H152" s="70">
        <f t="shared" si="110"/>
        <v>509.33509401793924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133.56954582136541</v>
      </c>
      <c r="T152" s="62">
        <f t="shared" si="142"/>
        <v>412.851273435613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4.6090964618928609</v>
      </c>
      <c r="AA152" s="23">
        <f>EXP(-LN(2)/25)*AA151+(1-EXP(-LN(2)/25))/(LN(2)/25)*Calculateur!V152*Calculateur!X152*VLOOKUP('Données projet'!$B$9,Paramètres!$A$1:$I$89,3,0)*0.475*44/12</f>
        <v>0.72093917536406693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5.3300356372569277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142.72679502162805</v>
      </c>
      <c r="AO152" s="62">
        <f t="shared" si="144"/>
        <v>372.84389296423961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4.1795333155703567</v>
      </c>
      <c r="AV152" s="23">
        <f>EXP(-LN(2)/25)*AV151+(1-EXP(-LN(2)/25))/(LN(2)/25)*Calculateur!AQ152*Calculateur!AS152*VLOOKUP('Données projet'!$B$10,Paramètres!$A$1:$I$89,3,0)*0.475*44/12</f>
        <v>0.65374837060721425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4.8332816861775711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169.10494041758477</v>
      </c>
      <c r="BJ152" s="62">
        <f t="shared" si="146"/>
        <v>373.38644103117821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4.5994913251786809</v>
      </c>
      <c r="BQ152" s="23">
        <f>EXP(-LN(2)/25)*BQ151+(1-EXP(-LN(2)/25))/(LN(2)/25)*Calculateur!BL152*Calculateur!BN152*VLOOKUP('Données projet'!$B$11,Paramètres!$A$1:$I$89,3,0)*0.475*44/12</f>
        <v>0.74259839011536366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5.3420897152940441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142.72679502162805</v>
      </c>
      <c r="CE152" s="62">
        <f t="shared" si="148"/>
        <v>372.84389296423961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4.1795333155703567</v>
      </c>
      <c r="CL152" s="23">
        <f>EXP(-LN(2)/25)*CL151+(1-EXP(-LN(2)/25))/(LN(2)/25)*Calculateur!CG152*Calculateur!CI152*VLOOKUP('Données projet'!$B$12,Paramètres!$A$1:$I$89,3,0)*0.475*44/12</f>
        <v>0.65374837060721425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4.8332816861775711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98.279999999999717</v>
      </c>
      <c r="D153" s="12">
        <f t="shared" si="140"/>
        <v>26.551818424463377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963.61403696076786</v>
      </c>
      <c r="H153" s="70">
        <f t="shared" si="110"/>
        <v>510.74875042260652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133.56954582136541</v>
      </c>
      <c r="T153" s="62">
        <f t="shared" si="142"/>
        <v>412.851273435613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4.5187148915463933</v>
      </c>
      <c r="AA153" s="23">
        <f>EXP(-LN(2)/25)*AA152+(1-EXP(-LN(2)/25))/(LN(2)/25)*Calculateur!V153*Calculateur!X153*VLOOKUP('Données projet'!$B$9,Paramètres!$A$1:$I$89,3,0)*0.475*44/12</f>
        <v>0.70122505570119298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5.2199399472475863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142.72679502162805</v>
      </c>
      <c r="AO153" s="62">
        <f t="shared" si="144"/>
        <v>372.84389296423961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4.0975752165156258</v>
      </c>
      <c r="AV153" s="23">
        <f>EXP(-LN(2)/25)*AV152+(1-EXP(-LN(2)/25))/(LN(2)/25)*Calculateur!AQ153*Calculateur!AS153*VLOOKUP('Données projet'!$B$10,Paramètres!$A$1:$I$89,3,0)*0.475*44/12</f>
        <v>0.63587158703382729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4.7334468035494535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169.10494041758477</v>
      </c>
      <c r="BJ153" s="62">
        <f t="shared" si="146"/>
        <v>373.38644103117821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4.509298105704624</v>
      </c>
      <c r="BQ153" s="23">
        <f>EXP(-LN(2)/25)*BQ152+(1-EXP(-LN(2)/25))/(LN(2)/25)*Calculateur!BL153*Calculateur!BN153*VLOOKUP('Données projet'!$B$11,Paramètres!$A$1:$I$89,3,0)*0.475*44/12</f>
        <v>0.72229199808610689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5.2315901037907313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142.72679502162805</v>
      </c>
      <c r="CE153" s="62">
        <f t="shared" si="148"/>
        <v>372.84389296423961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4.0975752165156258</v>
      </c>
      <c r="CL153" s="23">
        <f>EXP(-LN(2)/25)*CL152+(1-EXP(-LN(2)/25))/(LN(2)/25)*Calculateur!CG153*Calculateur!CI153*VLOOKUP('Données projet'!$B$12,Paramètres!$A$1:$I$89,3,0)*0.475*44/12</f>
        <v>0.63587158703382729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4.7334468035494535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98.93519999999971</v>
      </c>
      <c r="D154" s="12">
        <f t="shared" si="140"/>
        <v>26.708165799953047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969.87861319261799</v>
      </c>
      <c r="H154" s="70">
        <f t="shared" si="110"/>
        <v>512.16219543491775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133.56954582136541</v>
      </c>
      <c r="T154" s="62">
        <f t="shared" si="142"/>
        <v>412.851273435613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4.430105648667106</v>
      </c>
      <c r="AA154" s="23">
        <f>EXP(-LN(2)/25)*AA153+(1-EXP(-LN(2)/25))/(LN(2)/25)*Calculateur!V154*Calculateur!X154*VLOOKUP('Données projet'!$B$9,Paramètres!$A$1:$I$89,3,0)*0.475*44/12</f>
        <v>0.6820500196772209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5.112155668344327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142.72679502162805</v>
      </c>
      <c r="AO154" s="62">
        <f t="shared" si="144"/>
        <v>372.84389296423961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4.0172242657938533</v>
      </c>
      <c r="AV154" s="23">
        <f>EXP(-LN(2)/25)*AV153+(1-EXP(-LN(2)/25))/(LN(2)/25)*Calculateur!AQ154*Calculateur!AS154*VLOOKUP('Données projet'!$B$10,Paramètres!$A$1:$I$89,3,0)*0.475*44/12</f>
        <v>0.61848364504735387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4.6357079108412069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169.10494041758477</v>
      </c>
      <c r="BJ154" s="62">
        <f t="shared" si="146"/>
        <v>373.38644103117821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4.4208735202520213</v>
      </c>
      <c r="BQ154" s="23">
        <f>EXP(-LN(2)/25)*BQ153+(1-EXP(-LN(2)/25))/(LN(2)/25)*Calculateur!BL154*Calculateur!BN154*VLOOKUP('Données projet'!$B$11,Paramètres!$A$1:$I$89,3,0)*0.475*44/12</f>
        <v>0.7025408854147569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5.1234144056667779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142.72679502162805</v>
      </c>
      <c r="CE154" s="62">
        <f t="shared" si="148"/>
        <v>372.84389296423961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4.0172242657938533</v>
      </c>
      <c r="CL154" s="23">
        <f>EXP(-LN(2)/25)*CL153+(1-EXP(-LN(2)/25))/(LN(2)/25)*Calculateur!CG154*Calculateur!CI154*VLOOKUP('Données projet'!$B$12,Paramètres!$A$1:$I$89,3,0)*0.475*44/12</f>
        <v>0.61848364504735387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4.6357079108412069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99.590399999999704</v>
      </c>
      <c r="D155" s="12">
        <f t="shared" si="140"/>
        <v>26.864392698869278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976.14225942986593</v>
      </c>
      <c r="H155" s="70">
        <f t="shared" si="110"/>
        <v>513.57543061719684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133.56954582136541</v>
      </c>
      <c r="T155" s="62">
        <f t="shared" si="142"/>
        <v>412.851273435613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4.3432339789943795</v>
      </c>
      <c r="AA155" s="23">
        <f>EXP(-LN(2)/25)*AA154+(1-EXP(-LN(2)/25))/(LN(2)/25)*Calculateur!V155*Calculateur!X155*VLOOKUP('Données projet'!$B$9,Paramètres!$A$1:$I$89,3,0)*0.475*44/12</f>
        <v>0.6633993260216956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5.0066333050160754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142.72679502162805</v>
      </c>
      <c r="AO155" s="62">
        <f t="shared" si="144"/>
        <v>372.84389296423961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3.9384489482064944</v>
      </c>
      <c r="AV155" s="23">
        <f>EXP(-LN(2)/25)*AV154+(1-EXP(-LN(2)/25))/(LN(2)/25)*Calculateur!AQ155*Calculateur!AS155*VLOOKUP('Données projet'!$B$10,Paramètres!$A$1:$I$89,3,0)*0.475*44/12</f>
        <v>0.60157117724889264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4.5400201254553867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169.10494041758477</v>
      </c>
      <c r="BJ155" s="62">
        <f t="shared" si="146"/>
        <v>373.38644103117821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4.3341828869864729</v>
      </c>
      <c r="BQ155" s="23">
        <f>EXP(-LN(2)/25)*BQ154+(1-EXP(-LN(2)/25))/(LN(2)/25)*Calculateur!BL155*Calculateur!BN155*VLOOKUP('Données projet'!$B$11,Paramètres!$A$1:$I$89,3,0)*0.475*44/12</f>
        <v>0.68332986795807094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5.0175127549445442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142.72679502162805</v>
      </c>
      <c r="CE155" s="62">
        <f t="shared" si="148"/>
        <v>372.84389296423961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3.9384489482064944</v>
      </c>
      <c r="CL155" s="23">
        <f>EXP(-LN(2)/25)*CL154+(1-EXP(-LN(2)/25))/(LN(2)/25)*Calculateur!CG155*Calculateur!CI155*VLOOKUP('Données projet'!$B$12,Paramètres!$A$1:$I$89,3,0)*0.475*44/12</f>
        <v>0.60157117724889264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4.5400201254553867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100.2455999999997</v>
      </c>
      <c r="D156" s="12">
        <f t="shared" si="140"/>
        <v>27.020500005754865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982.40498250056146</v>
      </c>
      <c r="H156" s="70">
        <f t="shared" si="110"/>
        <v>514.9884575100225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133.56954582136541</v>
      </c>
      <c r="T156" s="62">
        <f t="shared" si="142"/>
        <v>412.851273435613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4.2580658097774489</v>
      </c>
      <c r="AA156" s="23">
        <f>EXP(-LN(2)/25)*AA155+(1-EXP(-LN(2)/25))/(LN(2)/25)*Calculateur!V156*Calculateur!X156*VLOOKUP('Données projet'!$B$9,Paramètres!$A$1:$I$89,3,0)*0.475*44/12</f>
        <v>0.64525863656497795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4.9033244463424266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142.72679502162805</v>
      </c>
      <c r="AO156" s="62">
        <f t="shared" si="144"/>
        <v>372.84389296423961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3.8612183665488242</v>
      </c>
      <c r="AV156" s="23">
        <f>EXP(-LN(2)/25)*AV155+(1-EXP(-LN(2)/25))/(LN(2)/25)*Calculateur!AQ156*Calculateur!AS156*VLOOKUP('Données projet'!$B$10,Paramètres!$A$1:$I$89,3,0)*0.475*44/12</f>
        <v>0.58512118177176842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4.4463395483205925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169.10494041758477</v>
      </c>
      <c r="BJ156" s="62">
        <f t="shared" si="146"/>
        <v>373.38644103117821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4.2491922041631964</v>
      </c>
      <c r="BQ156" s="23">
        <f>EXP(-LN(2)/25)*BQ155+(1-EXP(-LN(2)/25))/(LN(2)/25)*Calculateur!BL156*Calculateur!BN156*VLOOKUP('Données projet'!$B$11,Paramètres!$A$1:$I$89,3,0)*0.475*44/12</f>
        <v>0.66464417678400145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4.9138363809471981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142.72679502162805</v>
      </c>
      <c r="CE156" s="62">
        <f t="shared" si="148"/>
        <v>372.84389296423961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3.8612183665488242</v>
      </c>
      <c r="CL156" s="23">
        <f>EXP(-LN(2)/25)*CL155+(1-EXP(-LN(2)/25))/(LN(2)/25)*Calculateur!CG156*Calculateur!CI156*VLOOKUP('Données projet'!$B$12,Paramètres!$A$1:$I$89,3,0)*0.475*44/12</f>
        <v>0.58512118177176842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4.4463395483205925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100.90079999999969</v>
      </c>
      <c r="D157" s="12">
        <f t="shared" si="140"/>
        <v>27.176488592921441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988.66678913833846</v>
      </c>
      <c r="H157" s="70">
        <f t="shared" si="110"/>
        <v>516.40127763267094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133.56954582136541</v>
      </c>
      <c r="T157" s="62">
        <f t="shared" si="142"/>
        <v>412.851273435613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4.1745677364114089</v>
      </c>
      <c r="AA157" s="23">
        <f>EXP(-LN(2)/25)*AA156+(1-EXP(-LN(2)/25))/(LN(2)/25)*Calculateur!V157*Calculateur!X157*VLOOKUP('Données projet'!$B$9,Paramètres!$A$1:$I$89,3,0)*0.475*44/12</f>
        <v>0.62761400521543165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4.8021817416268409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142.72679502162805</v>
      </c>
      <c r="AO157" s="62">
        <f t="shared" si="144"/>
        <v>372.84389296423961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3.7855022294914575</v>
      </c>
      <c r="AV157" s="23">
        <f>EXP(-LN(2)/25)*AV156+(1-EXP(-LN(2)/25))/(LN(2)/25)*Calculateur!AQ157*Calculateur!AS157*VLOOKUP('Données projet'!$B$10,Paramètres!$A$1:$I$89,3,0)*0.475*44/12</f>
        <v>0.56912101228603373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4.3546232417774915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169.10494041758477</v>
      </c>
      <c r="BJ157" s="62">
        <f t="shared" si="146"/>
        <v>373.38644103117821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4.1658681367908867</v>
      </c>
      <c r="BQ157" s="23">
        <f>EXP(-LN(2)/25)*BQ156+(1-EXP(-LN(2)/25))/(LN(2)/25)*Calculateur!BL157*Calculateur!BN157*VLOOKUP('Données projet'!$B$11,Paramètres!$A$1:$I$89,3,0)*0.475*44/12</f>
        <v>0.64646944681772478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4.8123375836086115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142.72679502162805</v>
      </c>
      <c r="CE157" s="62">
        <f t="shared" si="148"/>
        <v>372.84389296423961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3.7855022294914575</v>
      </c>
      <c r="CL157" s="23">
        <f>EXP(-LN(2)/25)*CL156+(1-EXP(-LN(2)/25))/(LN(2)/25)*Calculateur!CG157*Calculateur!CI157*VLOOKUP('Données projet'!$B$12,Paramètres!$A$1:$I$89,3,0)*0.475*44/12</f>
        <v>0.56912101228603373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4.3546232417774915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101.55599999999968</v>
      </c>
      <c r="D158" s="12">
        <f t="shared" si="140"/>
        <v>27.332359320696863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994.92768598432406</v>
      </c>
      <c r="H158" s="70">
        <f t="shared" si="110"/>
        <v>517.8138924835464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133.56954582136541</v>
      </c>
      <c r="T158" s="62">
        <f t="shared" si="142"/>
        <v>412.851273435613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4.0927070093352809</v>
      </c>
      <c r="AA158" s="23">
        <f>EXP(-LN(2)/25)*AA157+(1-EXP(-LN(2)/25))/(LN(2)/25)*Calculateur!V158*Calculateur!X158*VLOOKUP('Données projet'!$B$9,Paramètres!$A$1:$I$89,3,0)*0.475*44/12</f>
        <v>0.61045186723802958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4.7031588765733101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142.72679502162805</v>
      </c>
      <c r="AO158" s="62">
        <f t="shared" si="144"/>
        <v>372.84389296423961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3.7112708396995022</v>
      </c>
      <c r="AV158" s="23">
        <f>EXP(-LN(2)/25)*AV157+(1-EXP(-LN(2)/25))/(LN(2)/25)*Calculateur!AQ158*Calculateur!AS158*VLOOKUP('Données projet'!$B$10,Paramètres!$A$1:$I$89,3,0)*0.475*44/12</f>
        <v>0.5535583682762989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4.2648292079758008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169.10494041758477</v>
      </c>
      <c r="BJ158" s="62">
        <f t="shared" si="146"/>
        <v>373.38644103117821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4.0841780035570849</v>
      </c>
      <c r="BQ158" s="23">
        <f>EXP(-LN(2)/25)*BQ157+(1-EXP(-LN(2)/25))/(LN(2)/25)*Calculateur!BL158*Calculateur!BN158*VLOOKUP('Données projet'!$B$11,Paramètres!$A$1:$I$89,3,0)*0.475*44/12</f>
        <v>0.62879170579814336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4.7129697093552281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142.72679502162805</v>
      </c>
      <c r="CE158" s="62">
        <f t="shared" si="148"/>
        <v>372.84389296423961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3.7112708396995022</v>
      </c>
      <c r="CL158" s="23">
        <f>EXP(-LN(2)/25)*CL157+(1-EXP(-LN(2)/25))/(LN(2)/25)*Calculateur!CG158*Calculateur!CI158*VLOOKUP('Données projet'!$B$12,Paramètres!$A$1:$I$89,3,0)*0.475*44/12</f>
        <v>0.5535583682762989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4.2648292079758008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102.21119999999968</v>
      </c>
      <c r="D159" s="12">
        <f t="shared" si="140"/>
        <v>27.488113037665968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1001.1876795889983</v>
      </c>
      <c r="H159" s="70">
        <f t="shared" si="110"/>
        <v>519.22630354060107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133.56954582136541</v>
      </c>
      <c r="T159" s="62">
        <f t="shared" si="142"/>
        <v>412.851273435613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4.0124515211870024</v>
      </c>
      <c r="AA159" s="23">
        <f>EXP(-LN(2)/25)*AA158+(1-EXP(-LN(2)/25))/(LN(2)/25)*Calculateur!V159*Calculateur!X159*VLOOKUP('Données projet'!$B$9,Paramètres!$A$1:$I$89,3,0)*0.475*44/12</f>
        <v>0.59375902882613718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4.6062105500131398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142.72679502162805</v>
      </c>
      <c r="AO159" s="62">
        <f t="shared" si="144"/>
        <v>372.84389296423961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3.63849508218469</v>
      </c>
      <c r="AV159" s="23">
        <f>EXP(-LN(2)/25)*AV158+(1-EXP(-LN(2)/25))/(LN(2)/25)*Calculateur!AQ159*Calculateur!AS159*VLOOKUP('Données projet'!$B$10,Paramètres!$A$1:$I$89,3,0)*0.475*44/12</f>
        <v>0.53842128558541413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4.1769163677701044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169.10494041758477</v>
      </c>
      <c r="BJ159" s="62">
        <f t="shared" si="146"/>
        <v>373.38644103117821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4.0040897640099367</v>
      </c>
      <c r="BQ159" s="23">
        <f>EXP(-LN(2)/25)*BQ158+(1-EXP(-LN(2)/25))/(LN(2)/25)*Calculateur!BL159*Calculateur!BN159*VLOOKUP('Données projet'!$B$11,Paramètres!$A$1:$I$89,3,0)*0.475*44/12</f>
        <v>0.61159736353637439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4.6156871275463107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142.72679502162805</v>
      </c>
      <c r="CE159" s="62">
        <f t="shared" si="148"/>
        <v>372.84389296423961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3.63849508218469</v>
      </c>
      <c r="CL159" s="23">
        <f>EXP(-LN(2)/25)*CL158+(1-EXP(-LN(2)/25))/(LN(2)/25)*Calculateur!CG159*Calculateur!CI159*VLOOKUP('Données projet'!$B$12,Paramètres!$A$1:$I$89,3,0)*0.475*44/12</f>
        <v>0.53842128558541413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4.1769163677701044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102.86639999999967</v>
      </c>
      <c r="D160" s="12">
        <f t="shared" si="140"/>
        <v>27.643750580905287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1007.4467764140032</v>
      </c>
      <c r="H160" s="70">
        <f t="shared" si="110"/>
        <v>520.63851226174279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133.56954582136541</v>
      </c>
      <c r="T160" s="62">
        <f t="shared" si="142"/>
        <v>412.851273435613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3.9337697942102969</v>
      </c>
      <c r="AA160" s="23">
        <f>EXP(-LN(2)/25)*AA159+(1-EXP(-LN(2)/25))/(LN(2)/25)*Calculateur!V160*Calculateur!X160*VLOOKUP('Données projet'!$B$9,Paramètres!$A$1:$I$89,3,0)*0.475*44/12</f>
        <v>0.57752265695845617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4.5112924511687531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142.72679502162805</v>
      </c>
      <c r="AO160" s="62">
        <f t="shared" si="144"/>
        <v>372.84389296423961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3.5671464128859145</v>
      </c>
      <c r="AV160" s="23">
        <f>EXP(-LN(2)/25)*AV159+(1-EXP(-LN(2)/25))/(LN(2)/25)*Calculateur!AQ160*Calculateur!AS160*VLOOKUP('Données projet'!$B$10,Paramètres!$A$1:$I$89,3,0)*0.475*44/12</f>
        <v>0.52369812721673614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4.0908445401026503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169.10494041758477</v>
      </c>
      <c r="BJ160" s="62">
        <f t="shared" si="146"/>
        <v>373.38644103117821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3.9255720059913055</v>
      </c>
      <c r="BQ160" s="23">
        <f>EXP(-LN(2)/25)*BQ159+(1-EXP(-LN(2)/25))/(LN(2)/25)*Calculateur!BL160*Calculateur!BN160*VLOOKUP('Données projet'!$B$11,Paramètres!$A$1:$I$89,3,0)*0.475*44/12</f>
        <v>0.59487320146796474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4.5204452074592698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142.72679502162805</v>
      </c>
      <c r="CE160" s="62">
        <f t="shared" si="148"/>
        <v>372.84389296423961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3.5671464128859145</v>
      </c>
      <c r="CL160" s="23">
        <f>EXP(-LN(2)/25)*CL159+(1-EXP(-LN(2)/25))/(LN(2)/25)*Calculateur!CG160*Calculateur!CI160*VLOOKUP('Données projet'!$B$12,Paramètres!$A$1:$I$89,3,0)*0.475*44/12</f>
        <v>0.52369812721673614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4.0908445401026503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103.52159999999967</v>
      </c>
      <c r="D161" s="12">
        <f t="shared" si="140"/>
        <v>27.799272776211311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1013.7049828339094</v>
      </c>
      <c r="H161" s="70">
        <f t="shared" si="110"/>
        <v>522.0505200852341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133.56954582136541</v>
      </c>
      <c r="T161" s="62">
        <f t="shared" si="142"/>
        <v>412.851273435613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3.8566309679084902</v>
      </c>
      <c r="AA161" s="23">
        <f>EXP(-LN(2)/25)*AA160+(1-EXP(-LN(2)/25))/(LN(2)/25)*Calculateur!V161*Calculateur!X161*VLOOKUP('Données projet'!$B$9,Paramètres!$A$1:$I$89,3,0)*0.475*44/12</f>
        <v>0.56173026953333061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4.4183612374418209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142.72679502162805</v>
      </c>
      <c r="AO161" s="62">
        <f t="shared" si="144"/>
        <v>372.84389296423961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3.4971968474736967</v>
      </c>
      <c r="AV161" s="23">
        <f>EXP(-LN(2)/25)*AV160+(1-EXP(-LN(2)/25))/(LN(2)/25)*Calculateur!AQ161*Calculateur!AS161*VLOOKUP('Données projet'!$B$10,Paramètres!$A$1:$I$89,3,0)*0.475*44/12</f>
        <v>0.50937757438790687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4.006574421861604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169.10494041758477</v>
      </c>
      <c r="BJ161" s="62">
        <f t="shared" si="146"/>
        <v>373.38644103117821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3.8485939333163159</v>
      </c>
      <c r="BQ161" s="23">
        <f>EXP(-LN(2)/25)*BQ160+(1-EXP(-LN(2)/25))/(LN(2)/25)*Calculateur!BL161*Calculateur!BN161*VLOOKUP('Données projet'!$B$11,Paramètres!$A$1:$I$89,3,0)*0.475*44/12</f>
        <v>0.57860636249080122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4.4272002958071175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142.72679502162805</v>
      </c>
      <c r="CE161" s="62">
        <f t="shared" si="148"/>
        <v>372.84389296423961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3.4971968474736967</v>
      </c>
      <c r="CL161" s="23">
        <f>EXP(-LN(2)/25)*CL160+(1-EXP(-LN(2)/25))/(LN(2)/25)*Calculateur!CG161*Calculateur!CI161*VLOOKUP('Données projet'!$B$12,Paramètres!$A$1:$I$89,3,0)*0.475*44/12</f>
        <v>0.50937757438790687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4.006574421861604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104.17679999999966</v>
      </c>
      <c r="D162" s="12">
        <f t="shared" si="140"/>
        <v>27.954680438322814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1019.9623051379281</v>
      </c>
      <c r="H162" s="70">
        <f t="shared" si="110"/>
        <v>523.46232843007829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133.56954582136541</v>
      </c>
      <c r="T162" s="62">
        <f t="shared" si="142"/>
        <v>412.851273435613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3.7810047869404237</v>
      </c>
      <c r="AA162" s="23">
        <f>EXP(-LN(2)/25)*AA161+(1-EXP(-LN(2)/25))/(LN(2)/25)*Calculateur!V162*Calculateur!X162*VLOOKUP('Données projet'!$B$9,Paramètres!$A$1:$I$89,3,0)*0.475*44/12</f>
        <v>0.54636972577283061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4.3273745127132539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142.72679502162805</v>
      </c>
      <c r="AO162" s="62">
        <f t="shared" si="144"/>
        <v>372.84389296423961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3.4286189503741906</v>
      </c>
      <c r="AV162" s="23">
        <f>EXP(-LN(2)/25)*AV161+(1-EXP(-LN(2)/25))/(LN(2)/25)*Calculateur!AQ162*Calculateur!AS162*VLOOKUP('Données projet'!$B$10,Paramètres!$A$1:$I$89,3,0)*0.475*44/12</f>
        <v>0.49544861782926714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3.9240675682034576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169.10494041758477</v>
      </c>
      <c r="BJ162" s="62">
        <f t="shared" si="146"/>
        <v>373.38644103117821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3.7731253536944949</v>
      </c>
      <c r="BQ162" s="23">
        <f>EXP(-LN(2)/25)*BQ161+(1-EXP(-LN(2)/25))/(LN(2)/25)*Calculateur!BL162*Calculateur!BN162*VLOOKUP('Données projet'!$B$11,Paramètres!$A$1:$I$89,3,0)*0.475*44/12</f>
        <v>0.56278434108090403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4.335909694775399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142.72679502162805</v>
      </c>
      <c r="CE162" s="62">
        <f t="shared" si="148"/>
        <v>372.84389296423961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3.4286189503741906</v>
      </c>
      <c r="CL162" s="23">
        <f>EXP(-LN(2)/25)*CL161+(1-EXP(-LN(2)/25))/(LN(2)/25)*Calculateur!CG162*Calculateur!CI162*VLOOKUP('Données projet'!$B$12,Paramètres!$A$1:$I$89,3,0)*0.475*44/12</f>
        <v>0.49544861782926714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3.9240675682034576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104.83199999999965</v>
      </c>
      <c r="D163" s="12">
        <f t="shared" si="140"/>
        <v>28.109974371137643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1026.2187495315861</v>
      </c>
      <c r="H163" s="70">
        <f t="shared" si="110"/>
        <v>524.87393869639743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133.56954582136541</v>
      </c>
      <c r="T163" s="62">
        <f t="shared" si="142"/>
        <v>412.851273435613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3.7068615892537253</v>
      </c>
      <c r="AA163" s="23">
        <f>EXP(-LN(2)/25)*AA162+(1-EXP(-LN(2)/25))/(LN(2)/25)*Calculateur!V163*Calculateur!X163*VLOOKUP('Données projet'!$B$9,Paramètres!$A$1:$I$89,3,0)*0.475*44/12</f>
        <v>0.53142921688923739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4.2382908061429632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142.72679502162805</v>
      </c>
      <c r="AO163" s="62">
        <f t="shared" si="144"/>
        <v>372.84389296423961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3.3613858240084187</v>
      </c>
      <c r="AV163" s="23">
        <f>EXP(-LN(2)/25)*AV162+(1-EXP(-LN(2)/25))/(LN(2)/25)*Calculateur!AQ163*Calculateur!AS163*VLOOKUP('Données projet'!$B$10,Paramètres!$A$1:$I$89,3,0)*0.475*44/12</f>
        <v>0.48190054932021537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3.8432863733286342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169.10494041758477</v>
      </c>
      <c r="BJ163" s="62">
        <f t="shared" si="146"/>
        <v>373.38644103117821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3.6991366668877692</v>
      </c>
      <c r="BQ163" s="23">
        <f>EXP(-LN(2)/25)*BQ162+(1-EXP(-LN(2)/25))/(LN(2)/25)*Calculateur!BL163*Calculateur!BN163*VLOOKUP('Données projet'!$B$11,Paramètres!$A$1:$I$89,3,0)*0.475*44/12</f>
        <v>0.54739497367850443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4.2465316405662739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142.72679502162805</v>
      </c>
      <c r="CE163" s="62">
        <f t="shared" si="148"/>
        <v>372.84389296423961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3.3613858240084187</v>
      </c>
      <c r="CL163" s="23">
        <f>EXP(-LN(2)/25)*CL162+(1-EXP(-LN(2)/25))/(LN(2)/25)*Calculateur!CG163*Calculateur!CI163*VLOOKUP('Données projet'!$B$12,Paramètres!$A$1:$I$89,3,0)*0.475*44/12</f>
        <v>0.48190054932021537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3.8432863733286342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105.48719999999965</v>
      </c>
      <c r="D164" s="12">
        <f t="shared" si="140"/>
        <v>28.26515536792374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1032.4743221383558</v>
      </c>
      <c r="H164" s="70">
        <f t="shared" si="110"/>
        <v>526.28535226579982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133.56954582136541</v>
      </c>
      <c r="T164" s="62">
        <f t="shared" si="142"/>
        <v>412.851273435613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3.6341722944507779</v>
      </c>
      <c r="AA164" s="23">
        <f>EXP(-LN(2)/25)*AA163+(1-EXP(-LN(2)/25))/(LN(2)/25)*Calculateur!V164*Calculateur!X164*VLOOKUP('Données projet'!$B$9,Paramètres!$A$1:$I$89,3,0)*0.475*44/12</f>
        <v>0.51689725700675326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4.1510695514575309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142.72679502162805</v>
      </c>
      <c r="AO164" s="62">
        <f t="shared" si="144"/>
        <v>372.84389296423961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3.2954710982425217</v>
      </c>
      <c r="AV164" s="23">
        <f>EXP(-LN(2)/25)*AV163+(1-EXP(-LN(2)/25))/(LN(2)/25)*Calculateur!AQ164*Calculateur!AS164*VLOOKUP('Données projet'!$B$10,Paramètres!$A$1:$I$89,3,0)*0.475*44/12</f>
        <v>0.4687229534570056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3.7641940516995271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169.10494041758477</v>
      </c>
      <c r="BJ164" s="62">
        <f t="shared" si="146"/>
        <v>373.38644103117821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3.6265988531006808</v>
      </c>
      <c r="BQ164" s="23">
        <f>EXP(-LN(2)/25)*BQ163+(1-EXP(-LN(2)/25))/(LN(2)/25)*Calculateur!BL164*Calculateur!BN164*VLOOKUP('Données projet'!$B$11,Paramètres!$A$1:$I$89,3,0)*0.475*44/12</f>
        <v>0.53242642933701512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4.1590252824376961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142.72679502162805</v>
      </c>
      <c r="CE164" s="62">
        <f t="shared" si="148"/>
        <v>372.84389296423961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3.2954710982425217</v>
      </c>
      <c r="CL164" s="23">
        <f>EXP(-LN(2)/25)*CL163+(1-EXP(-LN(2)/25))/(LN(2)/25)*Calculateur!CG164*Calculateur!CI164*VLOOKUP('Données projet'!$B$12,Paramètres!$A$1:$I$89,3,0)*0.475*44/12</f>
        <v>0.4687229534570056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3.7641940516995271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106.14239999999964</v>
      </c>
      <c r="D165" s="12">
        <f t="shared" si="140"/>
        <v>28.420224211524875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1038.7290290012418</v>
      </c>
      <c r="H165" s="70">
        <f t="shared" si="110"/>
        <v>527.69657050173851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133.56954582136541</v>
      </c>
      <c r="T165" s="62">
        <f t="shared" si="142"/>
        <v>412.851273435613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3.5629083923828242</v>
      </c>
      <c r="AA165" s="23">
        <f>EXP(-LN(2)/25)*AA164+(1-EXP(-LN(2)/25))/(LN(2)/25)*Calculateur!V165*Calculateur!X165*VLOOKUP('Données projet'!$B$9,Paramètres!$A$1:$I$89,3,0)*0.475*44/12</f>
        <v>0.50276267433145827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4.0656710667142821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142.72679502162805</v>
      </c>
      <c r="AO165" s="62">
        <f t="shared" si="144"/>
        <v>372.84389296423961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3.2308489200448811</v>
      </c>
      <c r="AV165" s="23">
        <f>EXP(-LN(2)/25)*AV164+(1-EXP(-LN(2)/25))/(LN(2)/25)*Calculateur!AQ165*Calculateur!AS165*VLOOKUP('Données projet'!$B$10,Paramètres!$A$1:$I$89,3,0)*0.475*44/12</f>
        <v>0.45590569964565492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3.6867546196905359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169.10494041758477</v>
      </c>
      <c r="BJ165" s="62">
        <f t="shared" si="146"/>
        <v>373.38644103117821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3.5554834615982593</v>
      </c>
      <c r="BQ165" s="23">
        <f>EXP(-LN(2)/25)*BQ164+(1-EXP(-LN(2)/25))/(LN(2)/25)*Calculateur!BL165*Calculateur!BN165*VLOOKUP('Données projet'!$B$11,Paramètres!$A$1:$I$89,3,0)*0.475*44/12</f>
        <v>0.51786720062770542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4.0733506622259643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142.72679502162805</v>
      </c>
      <c r="CE165" s="62">
        <f t="shared" si="148"/>
        <v>372.84389296423961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3.2308489200448811</v>
      </c>
      <c r="CL165" s="23">
        <f>EXP(-LN(2)/25)*CL164+(1-EXP(-LN(2)/25))/(LN(2)/25)*Calculateur!CG165*Calculateur!CI165*VLOOKUP('Données projet'!$B$12,Paramètres!$A$1:$I$89,3,0)*0.475*44/12</f>
        <v>0.45590569964565492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3.6867546196905359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106.79759999999963</v>
      </c>
      <c r="D166" s="12">
        <f t="shared" si="140"/>
        <v>28.575181674561019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1044.9828760843282</v>
      </c>
      <c r="H166" s="70">
        <f t="shared" si="110"/>
        <v>529.1075947498598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133.56954582136541</v>
      </c>
      <c r="T166" s="62">
        <f t="shared" si="142"/>
        <v>412.851273435613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3.4930419319677348</v>
      </c>
      <c r="AA166" s="23">
        <f>EXP(-LN(2)/25)*AA165+(1-EXP(-LN(2)/25))/(LN(2)/25)*Calculateur!V166*Calculateur!X166*VLOOKUP('Données projet'!$B$9,Paramètres!$A$1:$I$89,3,0)*0.475*44/12</f>
        <v>0.48901460256272455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3.9820565345304595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142.72679502162805</v>
      </c>
      <c r="AO166" s="62">
        <f t="shared" si="144"/>
        <v>372.84389296423961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3.1674939433460594</v>
      </c>
      <c r="AV166" s="23">
        <f>EXP(-LN(2)/25)*AV165+(1-EXP(-LN(2)/25))/(LN(2)/25)*Calculateur!AQ166*Calculateur!AS166*VLOOKUP('Données projet'!$B$10,Paramètres!$A$1:$I$89,3,0)*0.475*44/12</f>
        <v>0.44343893431380571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3.6109328776598653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169.10494041758477</v>
      </c>
      <c r="BJ166" s="62">
        <f t="shared" si="146"/>
        <v>373.38644103117821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3.4857625995470944</v>
      </c>
      <c r="BQ166" s="23">
        <f>EXP(-LN(2)/25)*BQ165+(1-EXP(-LN(2)/25))/(LN(2)/25)*Calculateur!BL166*Calculateur!BN166*VLOOKUP('Données projet'!$B$11,Paramètres!$A$1:$I$89,3,0)*0.475*44/12</f>
        <v>0.50370609479308837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3.9894686943401827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142.72679502162805</v>
      </c>
      <c r="CE166" s="62">
        <f t="shared" si="148"/>
        <v>372.84389296423961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3.1674939433460594</v>
      </c>
      <c r="CL166" s="23">
        <f>EXP(-LN(2)/25)*CL165+(1-EXP(-LN(2)/25))/(LN(2)/25)*Calculateur!CG166*Calculateur!CI166*VLOOKUP('Données projet'!$B$12,Paramètres!$A$1:$I$89,3,0)*0.475*44/12</f>
        <v>0.44343893431380571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3.6109328776598653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107.45279999999963</v>
      </c>
      <c r="D167" s="12">
        <f t="shared" si="140"/>
        <v>28.730028519623797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1051.2358692742862</v>
      </c>
      <c r="H167" s="70">
        <f t="shared" si="110"/>
        <v>530.51842633834417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133.56954582136541</v>
      </c>
      <c r="T167" s="62">
        <f t="shared" si="142"/>
        <v>412.851273435613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3.4245455102270523</v>
      </c>
      <c r="AA167" s="23">
        <f>EXP(-LN(2)/25)*AA166+(1-EXP(-LN(2)/25))/(LN(2)/25)*Calculateur!V167*Calculateur!X167*VLOOKUP('Données projet'!$B$9,Paramètres!$A$1:$I$89,3,0)*0.475*44/12</f>
        <v>0.47564247253948655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3.9001879827665391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142.72679502162805</v>
      </c>
      <c r="AO167" s="62">
        <f t="shared" si="144"/>
        <v>372.84389296423961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3.1053813190975812</v>
      </c>
      <c r="AV167" s="23">
        <f>EXP(-LN(2)/25)*AV166+(1-EXP(-LN(2)/25))/(LN(2)/25)*Calculateur!AQ167*Calculateur!AS167*VLOOKUP('Données projet'!$B$10,Paramètres!$A$1:$I$89,3,0)*0.475*44/12</f>
        <v>0.43131307333555463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3.536694392433136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169.10494041758477</v>
      </c>
      <c r="BJ167" s="62">
        <f t="shared" si="146"/>
        <v>373.38644103117821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3.4174089210752263</v>
      </c>
      <c r="BQ167" s="23">
        <f>EXP(-LN(2)/25)*BQ166+(1-EXP(-LN(2)/25))/(LN(2)/25)*Calculateur!BL167*Calculateur!BN167*VLOOKUP('Données projet'!$B$11,Paramètres!$A$1:$I$89,3,0)*0.475*44/12</f>
        <v>0.48993222514221907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3.9073411462174454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142.72679502162805</v>
      </c>
      <c r="CE167" s="62">
        <f t="shared" si="148"/>
        <v>372.84389296423961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3.1053813190975812</v>
      </c>
      <c r="CL167" s="23">
        <f>EXP(-LN(2)/25)*CL166+(1-EXP(-LN(2)/25))/(LN(2)/25)*Calculateur!CG167*Calculateur!CI167*VLOOKUP('Données projet'!$B$12,Paramètres!$A$1:$I$89,3,0)*0.475*44/12</f>
        <v>0.43131307333555463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3.536694392433136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108.10799999999962</v>
      </c>
      <c r="D168" s="12">
        <f t="shared" si="140"/>
        <v>28.884765499467058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1057.488014381848</v>
      </c>
      <c r="H168" s="70">
        <f t="shared" si="110"/>
        <v>531.92906657823778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133.56954582136541</v>
      </c>
      <c r="T168" s="62">
        <f t="shared" si="142"/>
        <v>412.851273435613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3.3573922615380125</v>
      </c>
      <c r="AA168" s="23">
        <f>EXP(-LN(2)/25)*AA167+(1-EXP(-LN(2)/25))/(LN(2)/25)*Calculateur!V168*Calculateur!X168*VLOOKUP('Données projet'!$B$9,Paramètres!$A$1:$I$89,3,0)*0.475*44/12</f>
        <v>0.46263600411494377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3.8200282656529563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142.72679502162805</v>
      </c>
      <c r="AO168" s="62">
        <f t="shared" si="144"/>
        <v>372.84389296423961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3.0444866855256558</v>
      </c>
      <c r="AV168" s="23">
        <f>EXP(-LN(2)/25)*AV167+(1-EXP(-LN(2)/25))/(LN(2)/25)*Calculateur!AQ168*Calculateur!AS168*VLOOKUP('Données projet'!$B$10,Paramètres!$A$1:$I$89,3,0)*0.475*44/12</f>
        <v>0.41951879466342512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3.4640054801890807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169.10494041758477</v>
      </c>
      <c r="BJ168" s="62">
        <f t="shared" si="146"/>
        <v>373.38644103117821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3.3503956165465643</v>
      </c>
      <c r="BQ168" s="23">
        <f>EXP(-LN(2)/25)*BQ167+(1-EXP(-LN(2)/25))/(LN(2)/25)*Calculateur!BL168*Calculateur!BN168*VLOOKUP('Données projet'!$B$11,Paramètres!$A$1:$I$89,3,0)*0.475*44/12</f>
        <v>0.47653500268128912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3.8269306192278534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142.72679502162805</v>
      </c>
      <c r="CE168" s="62">
        <f t="shared" si="148"/>
        <v>372.84389296423961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3.0444866855256558</v>
      </c>
      <c r="CL168" s="23">
        <f>EXP(-LN(2)/25)*CL167+(1-EXP(-LN(2)/25))/(LN(2)/25)*Calculateur!CG168*Calculateur!CI168*VLOOKUP('Données projet'!$B$12,Paramètres!$A$1:$I$89,3,0)*0.475*44/12</f>
        <v>0.41951879466342512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3.4640054801890807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108.76319999999961</v>
      </c>
      <c r="D169" s="12">
        <f t="shared" si="140"/>
        <v>29.039393357192509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1063.7393171432375</v>
      </c>
      <c r="H169" s="70">
        <f t="shared" si="110"/>
        <v>533.33951676377626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133.56954582136541</v>
      </c>
      <c r="T169" s="62">
        <f t="shared" si="142"/>
        <v>412.851273435613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3.2915558470963275</v>
      </c>
      <c r="AA169" s="23">
        <f>EXP(-LN(2)/25)*AA168+(1-EXP(-LN(2)/25))/(LN(2)/25)*Calculateur!V169*Calculateur!X169*VLOOKUP('Données projet'!$B$9,Paramètres!$A$1:$I$89,3,0)*0.475*44/12</f>
        <v>0.44998519825345057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3.7415410453497779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142.72679502162805</v>
      </c>
      <c r="AO169" s="62">
        <f t="shared" si="144"/>
        <v>372.84389296423961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2.9847861585760169</v>
      </c>
      <c r="AV169" s="23">
        <f>EXP(-LN(2)/25)*AV168+(1-EXP(-LN(2)/25))/(LN(2)/25)*Calculateur!AQ169*Calculateur!AS169*VLOOKUP('Données projet'!$B$10,Paramètres!$A$1:$I$89,3,0)*0.475*44/12</f>
        <v>0.40804703116181917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3.3928331897378361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169.10494041758477</v>
      </c>
      <c r="BJ169" s="62">
        <f t="shared" si="146"/>
        <v>373.38644103117821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3.2846964020456295</v>
      </c>
      <c r="BQ169" s="23">
        <f>EXP(-LN(2)/25)*BQ168+(1-EXP(-LN(2)/25))/(LN(2)/25)*Calculateur!BL169*Calculateur!BN169*VLOOKUP('Données projet'!$B$11,Paramètres!$A$1:$I$89,3,0)*0.475*44/12</f>
        <v>0.4635041279730826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3.7482005300187122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142.72679502162805</v>
      </c>
      <c r="CE169" s="62">
        <f t="shared" si="148"/>
        <v>372.84389296423961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2.9847861585760169</v>
      </c>
      <c r="CL169" s="23">
        <f>EXP(-LN(2)/25)*CL168+(1-EXP(-LN(2)/25))/(LN(2)/25)*Calculateur!CG169*Calculateur!CI169*VLOOKUP('Données projet'!$B$12,Paramètres!$A$1:$I$89,3,0)*0.475*44/12</f>
        <v>0.40804703116181917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3.3928331897378361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109.41839999999961</v>
      </c>
      <c r="D170" s="12">
        <f t="shared" si="140"/>
        <v>29.193912826430889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1069.9897832215688</v>
      </c>
      <c r="H170" s="70">
        <f t="shared" si="110"/>
        <v>534.74977817269973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133.56954582136541</v>
      </c>
      <c r="T170" s="62">
        <f t="shared" si="142"/>
        <v>412.851273435613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3.2270104445855963</v>
      </c>
      <c r="AA170" s="23">
        <f>EXP(-LN(2)/25)*AA169+(1-EXP(-LN(2)/25))/(LN(2)/25)*Calculateur!V170*Calculateur!X170*VLOOKUP('Données projet'!$B$9,Paramètres!$A$1:$I$89,3,0)*0.475*44/12</f>
        <v>0.43768032934351686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3.664690773929113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142.72679502162805</v>
      </c>
      <c r="AO170" s="62">
        <f t="shared" si="144"/>
        <v>372.84389296423961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2.9262563225461347</v>
      </c>
      <c r="AV170" s="23">
        <f>EXP(-LN(2)/25)*AV169+(1-EXP(-LN(2)/25))/(LN(2)/25)*Calculateur!AQ170*Calculateur!AS170*VLOOKUP('Données projet'!$B$10,Paramètres!$A$1:$I$89,3,0)*0.475*44/12</f>
        <v>0.39688896363643844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3.323145286182573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169.10494041758477</v>
      </c>
      <c r="BJ170" s="62">
        <f t="shared" si="146"/>
        <v>373.38644103117821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3.2202855090684941</v>
      </c>
      <c r="BQ170" s="23">
        <f>EXP(-LN(2)/25)*BQ169+(1-EXP(-LN(2)/25))/(LN(2)/25)*Calculateur!BL170*Calculateur!BN170*VLOOKUP('Données projet'!$B$11,Paramètres!$A$1:$I$89,3,0)*0.475*44/12</f>
        <v>0.45082958321903593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3.67111509228753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142.72679502162805</v>
      </c>
      <c r="CE170" s="62">
        <f t="shared" si="148"/>
        <v>372.84389296423961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2.9262563225461347</v>
      </c>
      <c r="CL170" s="23">
        <f>EXP(-LN(2)/25)*CL169+(1-EXP(-LN(2)/25))/(LN(2)/25)*Calculateur!CG170*Calculateur!CI170*VLOOKUP('Données projet'!$B$12,Paramètres!$A$1:$I$89,3,0)*0.475*44/12</f>
        <v>0.39688896363643844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3.323145286182573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110.0735999999996</v>
      </c>
      <c r="D171" s="12">
        <f t="shared" si="140"/>
        <v>29.348324631518697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1076.2394182082114</v>
      </c>
      <c r="H171" s="70">
        <f t="shared" si="110"/>
        <v>536.15985206656092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133.56954582136541</v>
      </c>
      <c r="T171" s="62">
        <f t="shared" si="142"/>
        <v>412.851273435613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3.1637307380492921</v>
      </c>
      <c r="AA171" s="23">
        <f>EXP(-LN(2)/25)*AA170+(1-EXP(-LN(2)/25))/(LN(2)/25)*Calculateur!V171*Calculateur!X171*VLOOKUP('Données projet'!$B$9,Paramètres!$A$1:$I$89,3,0)*0.475*44/12</f>
        <v>0.42571193772101018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3.5894426757703024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142.72679502162805</v>
      </c>
      <c r="AO171" s="62">
        <f t="shared" si="144"/>
        <v>372.84389296423961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2.8688742209011235</v>
      </c>
      <c r="AV171" s="23">
        <f>EXP(-LN(2)/25)*AV170+(1-EXP(-LN(2)/25))/(LN(2)/25)*Calculateur!AQ171*Calculateur!AS171*VLOOKUP('Données projet'!$B$10,Paramètres!$A$1:$I$89,3,0)*0.475*44/12</f>
        <v>0.38603601405431653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3.2549102349554402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169.10494041758477</v>
      </c>
      <c r="BJ171" s="62">
        <f t="shared" si="146"/>
        <v>373.38644103117821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3.1571376744158748</v>
      </c>
      <c r="BQ171" s="23">
        <f>EXP(-LN(2)/25)*BQ170+(1-EXP(-LN(2)/25))/(LN(2)/25)*Calculateur!BL171*Calculateur!BN171*VLOOKUP('Données projet'!$B$11,Paramètres!$A$1:$I$89,3,0)*0.475*44/12</f>
        <v>0.438501624557814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3.5956392989736887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142.72679502162805</v>
      </c>
      <c r="CE171" s="62">
        <f t="shared" si="148"/>
        <v>372.84389296423961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2.8688742209011235</v>
      </c>
      <c r="CL171" s="23">
        <f>EXP(-LN(2)/25)*CL170+(1-EXP(-LN(2)/25))/(LN(2)/25)*Calculateur!CG171*Calculateur!CI171*VLOOKUP('Données projet'!$B$12,Paramètres!$A$1:$I$89,3,0)*0.475*44/12</f>
        <v>0.38603601405431653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3.2549102349554402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110.72879999999959</v>
      </c>
      <c r="D172" s="12">
        <f t="shared" si="140"/>
        <v>29.502629487670585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1082.4882276241206</v>
      </c>
      <c r="H172" s="70">
        <f t="shared" si="110"/>
        <v>537.56973969102546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133.56954582136541</v>
      </c>
      <c r="T172" s="62">
        <f t="shared" si="142"/>
        <v>412.851273435613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3.1016919079613552</v>
      </c>
      <c r="AA172" s="23">
        <f>EXP(-LN(2)/25)*AA171+(1-EXP(-LN(2)/25))/(LN(2)/25)*Calculateur!V172*Calculateur!X172*VLOOKUP('Données projet'!$B$9,Paramètres!$A$1:$I$89,3,0)*0.475*44/12</f>
        <v>0.41407082239681131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3.5157627303581664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142.72679502162805</v>
      </c>
      <c r="AO172" s="62">
        <f t="shared" si="144"/>
        <v>372.84389296423961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2.8126173472697449</v>
      </c>
      <c r="AV172" s="23">
        <f>EXP(-LN(2)/25)*AV171+(1-EXP(-LN(2)/25))/(LN(2)/25)*Calculateur!AQ172*Calculateur!AS172*VLOOKUP('Données projet'!$B$10,Paramètres!$A$1:$I$89,3,0)*0.475*44/12</f>
        <v>0.37547983894924958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3.1880971862189944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169.10494041758477</v>
      </c>
      <c r="BJ172" s="62">
        <f t="shared" si="146"/>
        <v>373.38644103117821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3.0952281302844176</v>
      </c>
      <c r="BQ172" s="23">
        <f>EXP(-LN(2)/25)*BQ171+(1-EXP(-LN(2)/25))/(LN(2)/25)*Calculateur!BL172*Calculateur!BN172*VLOOKUP('Données projet'!$B$11,Paramètres!$A$1:$I$89,3,0)*0.475*44/12</f>
        <v>0.42651077457448233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3.5217389048588998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142.72679502162805</v>
      </c>
      <c r="CE172" s="62">
        <f t="shared" si="148"/>
        <v>372.84389296423961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2.8126173472697449</v>
      </c>
      <c r="CL172" s="23">
        <f>EXP(-LN(2)/25)*CL171+(1-EXP(-LN(2)/25))/(LN(2)/25)*Calculateur!CG172*Calculateur!CI172*VLOOKUP('Données projet'!$B$12,Paramètres!$A$1:$I$89,3,0)*0.475*44/12</f>
        <v>0.37547983894924958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3.1880971862189944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111.38399999999959</v>
      </c>
      <c r="D173" s="12">
        <f t="shared" si="140"/>
        <v>29.656828101147326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1088.7362169211342</v>
      </c>
      <c r="H173" s="70">
        <f t="shared" si="110"/>
        <v>538.97944227616415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133.56954582136541</v>
      </c>
      <c r="T173" s="62">
        <f t="shared" si="142"/>
        <v>412.851273435613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3.0408696214914928</v>
      </c>
      <c r="AA173" s="23">
        <f>EXP(-LN(2)/25)*AA172+(1-EXP(-LN(2)/25))/(LN(2)/25)*Calculateur!V173*Calculateur!X173*VLOOKUP('Données projet'!$B$9,Paramètres!$A$1:$I$89,3,0)*0.475*44/12</f>
        <v>0.40274803398333231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3.4436176554748252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142.72679502162805</v>
      </c>
      <c r="AO173" s="62">
        <f t="shared" si="144"/>
        <v>372.84389296423961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2.7574636366169729</v>
      </c>
      <c r="AV173" s="23">
        <f>EXP(-LN(2)/25)*AV172+(1-EXP(-LN(2)/25))/(LN(2)/25)*Calculateur!AQ173*Calculateur!AS173*VLOOKUP('Données projet'!$B$10,Paramètres!$A$1:$I$89,3,0)*0.475*44/12</f>
        <v>0.36521232300755579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3.1226759596245288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169.10494041758477</v>
      </c>
      <c r="BJ173" s="62">
        <f t="shared" si="146"/>
        <v>373.38644103117821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3.0345325945522847</v>
      </c>
      <c r="BQ173" s="23">
        <f>EXP(-LN(2)/25)*BQ172+(1-EXP(-LN(2)/25))/(LN(2)/25)*Calculateur!BL173*Calculateur!BN173*VLOOKUP('Données projet'!$B$11,Paramètres!$A$1:$I$89,3,0)*0.475*44/12</f>
        <v>0.41484781501451629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3.449380409566801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142.72679502162805</v>
      </c>
      <c r="CE173" s="62">
        <f t="shared" si="148"/>
        <v>372.84389296423961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2.7574636366169729</v>
      </c>
      <c r="CL173" s="23">
        <f>EXP(-LN(2)/25)*CL172+(1-EXP(-LN(2)/25))/(LN(2)/25)*Calculateur!CG173*Calculateur!CI173*VLOOKUP('Données projet'!$B$12,Paramètres!$A$1:$I$89,3,0)*0.475*44/12</f>
        <v>0.36521232300755579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3.1226759596245288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112.03919999999958</v>
      </c>
      <c r="D174" s="12">
        <f t="shared" si="140"/>
        <v>29.810921169420094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1094.9833914832398</v>
      </c>
      <c r="H174" s="70">
        <f t="shared" si="110"/>
        <v>540.38896103673915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133.56954582136541</v>
      </c>
      <c r="T174" s="62">
        <f t="shared" si="142"/>
        <v>412.851273435613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2.9812400229613725</v>
      </c>
      <c r="AA174" s="23">
        <f>EXP(-LN(2)/25)*AA173+(1-EXP(-LN(2)/25))/(LN(2)/25)*Calculateur!V174*Calculateur!X174*VLOOKUP('Données projet'!$B$9,Paramètres!$A$1:$I$89,3,0)*0.475*44/12</f>
        <v>0.39173486781445949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3.3729748907758319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142.72679502162805</v>
      </c>
      <c r="AO174" s="62">
        <f t="shared" si="144"/>
        <v>372.84389296423961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2.7033914565896597</v>
      </c>
      <c r="AV174" s="23">
        <f>EXP(-LN(2)/25)*AV173+(1-EXP(-LN(2)/25))/(LN(2)/25)*Calculateur!AQ174*Calculateur!AS174*VLOOKUP('Données projet'!$B$10,Paramètres!$A$1:$I$89,3,0)*0.475*44/12</f>
        <v>0.35522557282923284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3.0586170294188926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169.10494041758477</v>
      </c>
      <c r="BJ174" s="62">
        <f t="shared" si="146"/>
        <v>373.38644103117821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2.9750272612552378</v>
      </c>
      <c r="BQ174" s="23">
        <f>EXP(-LN(2)/25)*BQ173+(1-EXP(-LN(2)/25))/(LN(2)/25)*Calculateur!BL174*Calculateur!BN174*VLOOKUP('Données projet'!$B$11,Paramètres!$A$1:$I$89,3,0)*0.475*44/12</f>
        <v>0.40350377969704587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3.3785310409522835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142.72679502162805</v>
      </c>
      <c r="CE174" s="62">
        <f t="shared" si="148"/>
        <v>372.84389296423961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2.7033914565896597</v>
      </c>
      <c r="CL174" s="23">
        <f>EXP(-LN(2)/25)*CL173+(1-EXP(-LN(2)/25))/(LN(2)/25)*Calculateur!CG174*Calculateur!CI174*VLOOKUP('Données projet'!$B$12,Paramètres!$A$1:$I$89,3,0)*0.475*44/12</f>
        <v>0.35522557282923284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3.0586170294188926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112.69439999999958</v>
      </c>
      <c r="D175" s="12">
        <f t="shared" si="140"/>
        <v>29.9649093813305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1101.2297566278112</v>
      </c>
      <c r="H175" s="70">
        <f t="shared" si="110"/>
        <v>541.79829717248322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133.56954582136541</v>
      </c>
      <c r="T175" s="62">
        <f t="shared" si="142"/>
        <v>412.851273435613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2.9227797244879641</v>
      </c>
      <c r="AA175" s="23">
        <f>EXP(-LN(2)/25)*AA174+(1-EXP(-LN(2)/25))/(LN(2)/25)*Calculateur!V175*Calculateur!X175*VLOOKUP('Données projet'!$B$9,Paramètres!$A$1:$I$89,3,0)*0.475*44/12</f>
        <v>0.38102285725363172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3.3038025817415959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142.72679502162805</v>
      </c>
      <c r="AO175" s="62">
        <f t="shared" si="144"/>
        <v>372.84389296423961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2.650379599031909</v>
      </c>
      <c r="AV175" s="23">
        <f>EXP(-LN(2)/25)*AV174+(1-EXP(-LN(2)/25))/(LN(2)/25)*Calculateur!AQ175*Calculateur!AS175*VLOOKUP('Données projet'!$B$10,Paramètres!$A$1:$I$89,3,0)*0.475*44/12</f>
        <v>0.3455119108597165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2.9958915098916257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169.10494041758477</v>
      </c>
      <c r="BJ175" s="62">
        <f t="shared" si="146"/>
        <v>373.38644103117821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2.9166887912494763</v>
      </c>
      <c r="BQ175" s="23">
        <f>EXP(-LN(2)/25)*BQ174+(1-EXP(-LN(2)/25))/(LN(2)/25)*Calculateur!BL175*Calculateur!BN175*VLOOKUP('Données projet'!$B$11,Paramètres!$A$1:$I$89,3,0)*0.475*44/12</f>
        <v>0.39246994762188858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3.309158738871365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142.72679502162805</v>
      </c>
      <c r="CE175" s="62">
        <f t="shared" si="148"/>
        <v>372.84389296423961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2.650379599031909</v>
      </c>
      <c r="CL175" s="23">
        <f>EXP(-LN(2)/25)*CL174+(1-EXP(-LN(2)/25))/(LN(2)/25)*Calculateur!CG175*Calculateur!CI175*VLOOKUP('Données projet'!$B$12,Paramètres!$A$1:$I$89,3,0)*0.475*44/12</f>
        <v>0.3455119108597165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2.9958915098916257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113.34959999999957</v>
      </c>
      <c r="D176" s="12">
        <f t="shared" si="140"/>
        <v>30.11879341724697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1107.4753176068155</v>
      </c>
      <c r="H176" s="70">
        <f t="shared" si="110"/>
        <v>543.20745186837098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133.56954582136541</v>
      </c>
      <c r="T176" s="62">
        <f t="shared" si="142"/>
        <v>412.851273435613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2.8654657968103581</v>
      </c>
      <c r="AA176" s="23">
        <f>EXP(-LN(2)/25)*AA175+(1-EXP(-LN(2)/25))/(LN(2)/25)*Calculateur!V176*Calculateur!X176*VLOOKUP('Données projet'!$B$9,Paramètres!$A$1:$I$89,3,0)*0.475*44/12</f>
        <v>0.37060376718490995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3.2360695639952679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142.72679502162805</v>
      </c>
      <c r="AO176" s="62">
        <f t="shared" si="144"/>
        <v>372.84389296423961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2.5984072716668254</v>
      </c>
      <c r="AV176" s="23">
        <f>EXP(-LN(2)/25)*AV175+(1-EXP(-LN(2)/25))/(LN(2)/25)*Calculateur!AQ176*Calculateur!AS176*VLOOKUP('Données projet'!$B$10,Paramètres!$A$1:$I$89,3,0)*0.475*44/12</f>
        <v>0.33606386948757583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2.9344711411544013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169.10494041758477</v>
      </c>
      <c r="BJ176" s="62">
        <f t="shared" si="146"/>
        <v>373.38644103117821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2.8594943030575748</v>
      </c>
      <c r="BQ176" s="23">
        <f>EXP(-LN(2)/25)*BQ175+(1-EXP(-LN(2)/25))/(LN(2)/25)*Calculateur!BL176*Calculateur!BN176*VLOOKUP('Données projet'!$B$11,Paramètres!$A$1:$I$89,3,0)*0.475*44/12</f>
        <v>0.38173783626507052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3.2412321393226451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142.72679502162805</v>
      </c>
      <c r="CE176" s="62">
        <f t="shared" si="148"/>
        <v>372.84389296423961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2.5984072716668254</v>
      </c>
      <c r="CL176" s="23">
        <f>EXP(-LN(2)/25)*CL175+(1-EXP(-LN(2)/25))/(LN(2)/25)*Calculateur!CG176*Calculateur!CI176*VLOOKUP('Données projet'!$B$12,Paramètres!$A$1:$I$89,3,0)*0.475*44/12</f>
        <v>0.33606386948757583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2.9344711411544013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114.00479999999956</v>
      </c>
      <c r="D177" s="12">
        <f t="shared" si="140"/>
        <v>30.272573949217197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1113.720079607989</v>
      </c>
      <c r="H177" s="70">
        <f t="shared" si="110"/>
        <v>544.61642629488585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133.56954582136541</v>
      </c>
      <c r="T177" s="62">
        <f t="shared" si="142"/>
        <v>412.851273435613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2.8092757602964658</v>
      </c>
      <c r="AA177" s="23">
        <f>EXP(-LN(2)/25)*AA176+(1-EXP(-LN(2)/25))/(LN(2)/25)*Calculateur!V177*Calculateur!X177*VLOOKUP('Données projet'!$B$9,Paramètres!$A$1:$I$89,3,0)*0.475*44/12</f>
        <v>0.36046958768203352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3.1697453479784992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142.72679502162805</v>
      </c>
      <c r="AO177" s="62">
        <f t="shared" si="144"/>
        <v>372.84389296423961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2.5474540899413816</v>
      </c>
      <c r="AV177" s="23">
        <f>EXP(-LN(2)/25)*AV176+(1-EXP(-LN(2)/25))/(LN(2)/25)*Calculateur!AQ177*Calculateur!AS177*VLOOKUP('Données projet'!$B$10,Paramètres!$A$1:$I$89,3,0)*0.475*44/12</f>
        <v>0.32687418530360723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2.8743282752449888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169.10494041758477</v>
      </c>
      <c r="BJ177" s="62">
        <f t="shared" si="146"/>
        <v>373.38644103117821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2.8034213638939232</v>
      </c>
      <c r="BQ177" s="23">
        <f>EXP(-LN(2)/25)*BQ176+(1-EXP(-LN(2)/25))/(LN(2)/25)*Calculateur!BL177*Calculateur!BN177*VLOOKUP('Données projet'!$B$11,Paramètres!$A$1:$I$89,3,0)*0.475*44/12</f>
        <v>0.37129919505768183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3.1747205589516048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142.72679502162805</v>
      </c>
      <c r="CE177" s="62">
        <f t="shared" si="148"/>
        <v>372.84389296423961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2.5474540899413816</v>
      </c>
      <c r="CL177" s="23">
        <f>EXP(-LN(2)/25)*CL176+(1-EXP(-LN(2)/25))/(LN(2)/25)*Calculateur!CG177*Calculateur!CI177*VLOOKUP('Données projet'!$B$12,Paramètres!$A$1:$I$89,3,0)*0.475*44/12</f>
        <v>0.32687418530360723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2.8743282752449888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114.65999999999956</v>
      </c>
      <c r="D178" s="12">
        <f t="shared" si="140"/>
        <v>30.426251641117307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1119.9640477559899</v>
      </c>
      <c r="H178" s="70">
        <f t="shared" si="110"/>
        <v>546.02522160827846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133.56954582136541</v>
      </c>
      <c r="T178" s="62">
        <f t="shared" si="142"/>
        <v>412.851273435613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2.754187576126073</v>
      </c>
      <c r="AA178" s="23">
        <f>EXP(-LN(2)/25)*AA177+(1-EXP(-LN(2)/25))/(LN(2)/25)*Calculateur!V178*Calculateur!X178*VLOOKUP('Données projet'!$B$9,Paramètres!$A$1:$I$89,3,0)*0.475*44/12</f>
        <v>0.35061252785059654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3.1048001039766695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142.72679502162805</v>
      </c>
      <c r="AO178" s="62">
        <f t="shared" si="144"/>
        <v>372.84389296423961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2.4975000690312017</v>
      </c>
      <c r="AV178" s="23">
        <f>EXP(-LN(2)/25)*AV177+(1-EXP(-LN(2)/25))/(LN(2)/25)*Calculateur!AQ178*Calculateur!AS178*VLOOKUP('Données projet'!$B$10,Paramètres!$A$1:$I$89,3,0)*0.475*44/12</f>
        <v>0.31793579351691376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2.8154358625481155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169.10494041758477</v>
      </c>
      <c r="BJ178" s="62">
        <f t="shared" si="146"/>
        <v>373.38644103117821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2.748447980866155</v>
      </c>
      <c r="BQ178" s="23">
        <f>EXP(-LN(2)/25)*BQ177+(1-EXP(-LN(2)/25))/(LN(2)/25)*Calculateur!BL178*Calculateur!BN178*VLOOKUP('Données projet'!$B$11,Paramètres!$A$1:$I$89,3,0)*0.475*44/12</f>
        <v>0.36114599904305345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3.1095939799092083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142.72679502162805</v>
      </c>
      <c r="CE178" s="62">
        <f t="shared" si="148"/>
        <v>372.84389296423961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2.4975000690312017</v>
      </c>
      <c r="CL178" s="23">
        <f>EXP(-LN(2)/25)*CL177+(1-EXP(-LN(2)/25))/(LN(2)/25)*Calculateur!CG178*Calculateur!CI178*VLOOKUP('Données projet'!$B$12,Paramètres!$A$1:$I$89,3,0)*0.475*44/12</f>
        <v>0.31793579351691376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2.8154358625481155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115.31519999999955</v>
      </c>
      <c r="D179" s="12">
        <f t="shared" si="140"/>
        <v>30.579827148797211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1126.2072271135189</v>
      </c>
      <c r="H179" s="70">
        <f t="shared" si="110"/>
        <v>547.43383895082093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133.56954582136541</v>
      </c>
      <c r="T179" s="62">
        <f t="shared" si="142"/>
        <v>412.851273435613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2.7001796376467868</v>
      </c>
      <c r="AA179" s="23">
        <f>EXP(-LN(2)/25)*AA178+(1-EXP(-LN(2)/25))/(LN(2)/25)*Calculateur!V179*Calculateur!X179*VLOOKUP('Données projet'!$B$9,Paramètres!$A$1:$I$89,3,0)*0.475*44/12</f>
        <v>0.3410250098386105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3.0412046474853973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142.72679502162805</v>
      </c>
      <c r="AO179" s="62">
        <f t="shared" si="144"/>
        <v>372.84389296423961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2.4485256160021263</v>
      </c>
      <c r="AV179" s="23">
        <f>EXP(-LN(2)/25)*AV178+(1-EXP(-LN(2)/25))/(LN(2)/25)*Calculateur!AQ179*Calculateur!AS179*VLOOKUP('Données projet'!$B$10,Paramètres!$A$1:$I$89,3,0)*0.475*44/12</f>
        <v>0.30924182252367705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2.7577674385258035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169.10494041758477</v>
      </c>
      <c r="BJ179" s="62">
        <f t="shared" si="146"/>
        <v>373.38644103117821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2.6945525923491087</v>
      </c>
      <c r="BQ179" s="23">
        <f>EXP(-LN(2)/25)*BQ178+(1-EXP(-LN(2)/25))/(LN(2)/25)*Calculateur!BL179*Calculateur!BN179*VLOOKUP('Données projet'!$B$11,Paramètres!$A$1:$I$89,3,0)*0.475*44/12</f>
        <v>0.35127044270737845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3.045823035056487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142.72679502162805</v>
      </c>
      <c r="CE179" s="62">
        <f t="shared" si="148"/>
        <v>372.84389296423961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2.4485256160021263</v>
      </c>
      <c r="CL179" s="23">
        <f>EXP(-LN(2)/25)*CL178+(1-EXP(-LN(2)/25))/(LN(2)/25)*Calculateur!CG179*Calculateur!CI179*VLOOKUP('Données projet'!$B$12,Paramètres!$A$1:$I$89,3,0)*0.475*44/12</f>
        <v>0.30924182252367705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2.7577674385258035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115.97039999999954</v>
      </c>
      <c r="D180" s="12">
        <f t="shared" si="140"/>
        <v>30.733301120222659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1132.4496226824169</v>
      </c>
      <c r="H180" s="70">
        <f t="shared" si="110"/>
        <v>548.84227945105363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133.56954582136541</v>
      </c>
      <c r="T180" s="62">
        <f t="shared" si="142"/>
        <v>412.851273435613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2.6472307618994897</v>
      </c>
      <c r="AA180" s="23">
        <f>EXP(-LN(2)/25)*AA179+(1-EXP(-LN(2)/25))/(LN(2)/25)*Calculateur!V180*Calculateur!X180*VLOOKUP('Données projet'!$B$9,Paramètres!$A$1:$I$89,3,0)*0.475*44/12</f>
        <v>0.33169966301084786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2.9789304249103377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142.72679502162805</v>
      </c>
      <c r="AO180" s="62">
        <f t="shared" si="144"/>
        <v>372.84389296423961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2.400511522125484</v>
      </c>
      <c r="AV180" s="23">
        <f>EXP(-LN(2)/25)*AV179+(1-EXP(-LN(2)/25))/(LN(2)/25)*Calculateur!AQ180*Calculateur!AS180*VLOOKUP('Données projet'!$B$10,Paramètres!$A$1:$I$89,3,0)*0.475*44/12</f>
        <v>0.30078558862444643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2.7012971107499304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169.10494041758477</v>
      </c>
      <c r="BJ180" s="62">
        <f t="shared" si="146"/>
        <v>373.38644103117821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2.6417140595279403</v>
      </c>
      <c r="BQ180" s="23">
        <f>EXP(-LN(2)/25)*BQ179+(1-EXP(-LN(2)/25))/(LN(2)/25)*Calculateur!BL180*Calculateur!BN180*VLOOKUP('Données projet'!$B$11,Paramètres!$A$1:$I$89,3,0)*0.475*44/12</f>
        <v>0.34166493397903547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2.9833789935069759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142.72679502162805</v>
      </c>
      <c r="CE180" s="62">
        <f t="shared" si="148"/>
        <v>372.84389296423961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2.400511522125484</v>
      </c>
      <c r="CL180" s="23">
        <f>EXP(-LN(2)/25)*CL179+(1-EXP(-LN(2)/25))/(LN(2)/25)*Calculateur!CG180*Calculateur!CI180*VLOOKUP('Données projet'!$B$12,Paramètres!$A$1:$I$89,3,0)*0.475*44/12</f>
        <v>0.30078558862444643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2.7012971107499304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116.62559999999954</v>
      </c>
      <c r="D181" s="12">
        <f t="shared" si="140"/>
        <v>30.886674195614138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1138.6912394047374</v>
      </c>
      <c r="H181" s="70">
        <f t="shared" si="110"/>
        <v>550.25054422402718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133.56954582136541</v>
      </c>
      <c r="T181" s="62">
        <f t="shared" si="142"/>
        <v>412.851273435613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2.595320181309972</v>
      </c>
      <c r="AA181" s="23">
        <f>EXP(-LN(2)/25)*AA180+(1-EXP(-LN(2)/25))/(LN(2)/25)*Calculateur!V181*Calculateur!X181*VLOOKUP('Données projet'!$B$9,Paramètres!$A$1:$I$89,3,0)*0.475*44/12</f>
        <v>0.32262931828248903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2.9179494995924609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142.72679502162805</v>
      </c>
      <c r="AO181" s="62">
        <f t="shared" si="144"/>
        <v>372.84389296423961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2.3534389553440573</v>
      </c>
      <c r="AV181" s="23">
        <f>EXP(-LN(2)/25)*AV180+(1-EXP(-LN(2)/25))/(LN(2)/25)*Calculateur!AQ181*Calculateur!AS181*VLOOKUP('Données projet'!$B$10,Paramètres!$A$1:$I$89,3,0)*0.475*44/12</f>
        <v>0.29256059088588432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2.6459995462299415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169.10494041758477</v>
      </c>
      <c r="BJ181" s="62">
        <f t="shared" si="146"/>
        <v>373.38644103117821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2.5899116581070722</v>
      </c>
      <c r="BQ181" s="23">
        <f>EXP(-LN(2)/25)*BQ180+(1-EXP(-LN(2)/25))/(LN(2)/25)*Calculateur!BL181*Calculateur!BN181*VLOOKUP('Données projet'!$B$11,Paramètres!$A$1:$I$89,3,0)*0.475*44/12</f>
        <v>0.33232208839200073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2.9222337464990731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142.72679502162805</v>
      </c>
      <c r="CE181" s="62">
        <f t="shared" si="148"/>
        <v>372.84389296423961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2.3534389553440573</v>
      </c>
      <c r="CL181" s="23">
        <f>EXP(-LN(2)/25)*CL180+(1-EXP(-LN(2)/25))/(LN(2)/25)*Calculateur!CG181*Calculateur!CI181*VLOOKUP('Données projet'!$B$12,Paramètres!$A$1:$I$89,3,0)*0.475*44/12</f>
        <v>0.29256059088588432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2.6459995462299415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117.28079999999953</v>
      </c>
      <c r="D182" s="12">
        <f t="shared" si="140"/>
        <v>31.039947007582253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1144.9320821637893</v>
      </c>
      <c r="H182" s="70">
        <f t="shared" si="110"/>
        <v>551.65863437153826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133.56954582136541</v>
      </c>
      <c r="T182" s="62">
        <f t="shared" si="142"/>
        <v>412.851273435613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2.5444275355434867</v>
      </c>
      <c r="AA182" s="23">
        <f>EXP(-LN(2)/25)*AA181+(1-EXP(-LN(2)/25))/(LN(2)/25)*Calculateur!V182*Calculateur!X182*VLOOKUP('Données projet'!$B$9,Paramètres!$A$1:$I$89,3,0)*0.475*44/12</f>
        <v>0.31380700260771588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2.8582345381512027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142.72679502162805</v>
      </c>
      <c r="AO182" s="62">
        <f t="shared" si="144"/>
        <v>372.84389296423961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2.3072894528857835</v>
      </c>
      <c r="AV182" s="23">
        <f>EXP(-LN(2)/25)*AV181+(1-EXP(-LN(2)/25))/(LN(2)/25)*Calculateur!AQ182*Calculateur!AS182*VLOOKUP('Données projet'!$B$10,Paramètres!$A$1:$I$89,3,0)*0.475*44/12</f>
        <v>0.28456050614301698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2.5918499590288002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169.10494041758477</v>
      </c>
      <c r="BJ182" s="62">
        <f t="shared" si="146"/>
        <v>373.38644103117821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2.5391250701817225</v>
      </c>
      <c r="BQ182" s="23">
        <f>EXP(-LN(2)/25)*BQ181+(1-EXP(-LN(2)/25))/(LN(2)/25)*Calculateur!BL182*Calculateur!BN182*VLOOKUP('Données projet'!$B$11,Paramètres!$A$1:$I$89,3,0)*0.475*44/12</f>
        <v>0.32323472340886239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2.8623597935905849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142.72679502162805</v>
      </c>
      <c r="CE182" s="62">
        <f t="shared" si="148"/>
        <v>372.84389296423961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2.3072894528857835</v>
      </c>
      <c r="CL182" s="23">
        <f>EXP(-LN(2)/25)*CL181+(1-EXP(-LN(2)/25))/(LN(2)/25)*Calculateur!CG182*Calculateur!CI182*VLOOKUP('Données projet'!$B$12,Paramètres!$A$1:$I$89,3,0)*0.475*44/12</f>
        <v>0.28456050614301698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2.5918499590288002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117.93599999999952</v>
      </c>
      <c r="D183" s="12">
        <f t="shared" si="140"/>
        <v>31.193120181260419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1151.1721557851645</v>
      </c>
      <c r="H183" s="70">
        <f t="shared" si="110"/>
        <v>553.06655098236104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133.56954582136541</v>
      </c>
      <c r="T183" s="62">
        <f t="shared" si="142"/>
        <v>412.851273435613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2.4945328635190336</v>
      </c>
      <c r="AA183" s="23">
        <f>EXP(-LN(2)/25)*AA182+(1-EXP(-LN(2)/25))/(LN(2)/25)*Calculateur!V183*Calculateur!X183*VLOOKUP('Données projet'!$B$9,Paramètres!$A$1:$I$89,3,0)*0.475*44/12</f>
        <v>0.30522593361901484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2.7997587971380486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142.72679502162805</v>
      </c>
      <c r="AO183" s="62">
        <f t="shared" si="144"/>
        <v>372.84389296423961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2.2620449140222996</v>
      </c>
      <c r="AV183" s="23">
        <f>EXP(-LN(2)/25)*AV182+(1-EXP(-LN(2)/25))/(LN(2)/25)*Calculateur!AQ183*Calculateur!AS183*VLOOKUP('Données projet'!$B$10,Paramètres!$A$1:$I$89,3,0)*0.475*44/12</f>
        <v>0.27677918413814956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2.5388240981604491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169.10494041758477</v>
      </c>
      <c r="BJ183" s="62">
        <f t="shared" si="146"/>
        <v>373.38644103117821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2.4893343762688289</v>
      </c>
      <c r="BQ183" s="23">
        <f>EXP(-LN(2)/25)*BQ182+(1-EXP(-LN(2)/25))/(LN(2)/25)*Calculateur!BL183*Calculateur!BN183*VLOOKUP('Données projet'!$B$11,Paramètres!$A$1:$I$89,3,0)*0.475*44/12</f>
        <v>0.31439585289907168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2.8037302291679005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142.72679502162805</v>
      </c>
      <c r="CE183" s="62">
        <f t="shared" si="148"/>
        <v>372.84389296423961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2.2620449140222996</v>
      </c>
      <c r="CL183" s="23">
        <f>EXP(-LN(2)/25)*CL182+(1-EXP(-LN(2)/25))/(LN(2)/25)*Calculateur!CG183*Calculateur!CI183*VLOOKUP('Données projet'!$B$12,Paramètres!$A$1:$I$89,3,0)*0.475*44/12</f>
        <v>0.27677918413814956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2.5388240981604491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118.59119999999952</v>
      </c>
      <c r="D184" s="12">
        <f t="shared" si="140"/>
        <v>31.346194334433953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1157.4114650377321</v>
      </c>
      <c r="H184" s="70">
        <f t="shared" si="110"/>
        <v>554.47429513247152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133.56954582136541</v>
      </c>
      <c r="T184" s="62">
        <f t="shared" si="142"/>
        <v>412.851273435613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2.4456165955802351</v>
      </c>
      <c r="AA184" s="23">
        <f>EXP(-LN(2)/25)*AA183+(1-EXP(-LN(2)/25))/(LN(2)/25)*Calculateur!V184*Calculateur!X184*VLOOKUP('Données projet'!$B$9,Paramètres!$A$1:$I$89,3,0)*0.475*44/12</f>
        <v>0.29687951441306865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2.7424961099933038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142.72679502162805</v>
      </c>
      <c r="AO184" s="62">
        <f t="shared" si="144"/>
        <v>372.84389296423961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2.2176875929694848</v>
      </c>
      <c r="AV184" s="23">
        <f>EXP(-LN(2)/25)*AV183+(1-EXP(-LN(2)/25))/(LN(2)/25)*Calculateur!AQ184*Calculateur!AS184*VLOOKUP('Données projet'!$B$10,Paramètres!$A$1:$I$89,3,0)*0.475*44/12</f>
        <v>0.26921064279270718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2.486898235762192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169.10494041758477</v>
      </c>
      <c r="BJ184" s="62">
        <f t="shared" si="146"/>
        <v>373.38644103117821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2.4405200474942426</v>
      </c>
      <c r="BQ184" s="23">
        <f>EXP(-LN(2)/25)*BQ183+(1-EXP(-LN(2)/25))/(LN(2)/25)*Calculateur!BL184*Calculateur!BN184*VLOOKUP('Données projet'!$B$11,Paramètres!$A$1:$I$89,3,0)*0.475*44/12</f>
        <v>0.3057986817681872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2.7463187292624296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142.72679502162805</v>
      </c>
      <c r="CE184" s="62">
        <f t="shared" si="148"/>
        <v>372.84389296423961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2.2176875929694848</v>
      </c>
      <c r="CL184" s="23">
        <f>EXP(-LN(2)/25)*CL183+(1-EXP(-LN(2)/25))/(LN(2)/25)*Calculateur!CG184*Calculateur!CI184*VLOOKUP('Données projet'!$B$12,Paramètres!$A$1:$I$89,3,0)*0.475*44/12</f>
        <v>0.26921064279270718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2.486898235762192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119.24639999999951</v>
      </c>
      <c r="D185" s="12">
        <f t="shared" si="140"/>
        <v>31.4991700776669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1163.6500146346179</v>
      </c>
      <c r="H185" s="70">
        <f t="shared" si="110"/>
        <v>555.881867885269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133.56954582136541</v>
      </c>
      <c r="T185" s="62">
        <f t="shared" si="142"/>
        <v>412.851273435613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2.3976595458197392</v>
      </c>
      <c r="AA185" s="23">
        <f>EXP(-LN(2)/25)*AA184+(1-EXP(-LN(2)/25))/(LN(2)/25)*Calculateur!V185*Calculateur!X185*VLOOKUP('Données projet'!$B$9,Paramètres!$A$1:$I$89,3,0)*0.475*44/12</f>
        <v>0.28876132847922814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2.6864208742989675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142.72679502162805</v>
      </c>
      <c r="AO185" s="62">
        <f t="shared" si="144"/>
        <v>372.84389296423961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2.1742000919272213</v>
      </c>
      <c r="AV185" s="23">
        <f>EXP(-LN(2)/25)*AV184+(1-EXP(-LN(2)/25))/(LN(2)/25)*Calculateur!AQ185*Calculateur!AS185*VLOOKUP('Données projet'!$B$10,Paramètres!$A$1:$I$89,3,0)*0.475*44/12</f>
        <v>0.26184906360836818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2.4360491555355894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169.10494041758477</v>
      </c>
      <c r="BJ185" s="62">
        <f t="shared" si="146"/>
        <v>373.38644103117821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2.3926629379331255</v>
      </c>
      <c r="BQ185" s="23">
        <f>EXP(-LN(2)/25)*BQ184+(1-EXP(-LN(2)/25))/(LN(2)/25)*Calculateur!BL185*Calculateur!BN185*VLOOKUP('Données projet'!$B$11,Paramètres!$A$1:$I$89,3,0)*0.475*44/12</f>
        <v>0.29743660073398237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2.6900995386671078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142.72679502162805</v>
      </c>
      <c r="CE185" s="62">
        <f t="shared" si="148"/>
        <v>372.84389296423961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2.1742000919272213</v>
      </c>
      <c r="CL185" s="23">
        <f>EXP(-LN(2)/25)*CL184+(1-EXP(-LN(2)/25))/(LN(2)/25)*Calculateur!CG185*Calculateur!CI185*VLOOKUP('Données projet'!$B$12,Paramètres!$A$1:$I$89,3,0)*0.475*44/12</f>
        <v>0.26184906360836818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2.4360491555355894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119.9015999999995</v>
      </c>
      <c r="D186" s="12">
        <f t="shared" si="140"/>
        <v>31.652048014425425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1169.8878092341574</v>
      </c>
      <c r="H186" s="70">
        <f t="shared" si="110"/>
        <v>557.2892702917901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133.56954582136541</v>
      </c>
      <c r="T186" s="62">
        <f t="shared" si="142"/>
        <v>412.851273435613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2.3506429045541344</v>
      </c>
      <c r="AA186" s="23">
        <f>EXP(-LN(2)/25)*AA185+(1-EXP(-LN(2)/25))/(LN(2)/25)*Calculateur!V186*Calculateur!X186*VLOOKUP('Données projet'!$B$9,Paramètres!$A$1:$I$89,3,0)*0.475*44/12</f>
        <v>0.28086513476666536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2.6315080393207997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142.72679502162805</v>
      </c>
      <c r="AO186" s="62">
        <f t="shared" si="144"/>
        <v>372.84389296423961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2.1315653542556401</v>
      </c>
      <c r="AV186" s="23">
        <f>EXP(-LN(2)/25)*AV185+(1-EXP(-LN(2)/25))/(LN(2)/25)*Calculateur!AQ186*Calculateur!AS186*VLOOKUP('Données projet'!$B$10,Paramètres!$A$1:$I$89,3,0)*0.475*44/12</f>
        <v>0.25468878719395355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2.3862541414495935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169.10494041758477</v>
      </c>
      <c r="BJ186" s="62">
        <f t="shared" si="146"/>
        <v>373.38644103117821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2.3457442771005472</v>
      </c>
      <c r="BQ186" s="23">
        <f>EXP(-LN(2)/25)*BQ185+(1-EXP(-LN(2)/25))/(LN(2)/25)*Calculateur!BL186*Calculateur!BN186*VLOOKUP('Données projet'!$B$11,Paramètres!$A$1:$I$89,3,0)*0.475*44/12</f>
        <v>0.28930318124540061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2.635047458345948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142.72679502162805</v>
      </c>
      <c r="CE186" s="62">
        <f t="shared" si="148"/>
        <v>372.84389296423961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2.1315653542556401</v>
      </c>
      <c r="CL186" s="23">
        <f>EXP(-LN(2)/25)*CL185+(1-EXP(-LN(2)/25))/(LN(2)/25)*Calculateur!CG186*Calculateur!CI186*VLOOKUP('Données projet'!$B$12,Paramètres!$A$1:$I$89,3,0)*0.475*44/12</f>
        <v>0.25468878719395355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2.3862541414495935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120.5567999999995</v>
      </c>
      <c r="D187" s="12">
        <f t="shared" si="140"/>
        <v>31.804828741198666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1176.124853440828</v>
      </c>
      <c r="H187" s="70">
        <f t="shared" si="110"/>
        <v>558.69650339092004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133.56954582136541</v>
      </c>
      <c r="T187" s="62">
        <f t="shared" si="142"/>
        <v>412.851273435613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2.3045482309464287</v>
      </c>
      <c r="AA187" s="23">
        <f>EXP(-LN(2)/25)*AA186+(1-EXP(-LN(2)/25))/(LN(2)/25)*Calculateur!V187*Calculateur!X187*VLOOKUP('Données projet'!$B$9,Paramètres!$A$1:$I$89,3,0)*0.475*44/12</f>
        <v>0.27318486288641536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2.577733093832844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142.72679502162805</v>
      </c>
      <c r="AO187" s="62">
        <f t="shared" si="144"/>
        <v>372.84389296423961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2.0897666577851761</v>
      </c>
      <c r="AV187" s="23">
        <f>EXP(-LN(2)/25)*AV186+(1-EXP(-LN(2)/25))/(LN(2)/25)*Calculateur!AQ187*Calculateur!AS187*VLOOKUP('Données projet'!$B$10,Paramètres!$A$1:$I$89,3,0)*0.475*44/12</f>
        <v>0.24772430891463368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2.3374909666998098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169.10494041758477</v>
      </c>
      <c r="BJ187" s="62">
        <f t="shared" si="146"/>
        <v>373.38644103117821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2.2997456625893387</v>
      </c>
      <c r="BQ187" s="23">
        <f>EXP(-LN(2)/25)*BQ186+(1-EXP(-LN(2)/25))/(LN(2)/25)*Calculateur!BL187*Calculateur!BN187*VLOOKUP('Données projet'!$B$11,Paramètres!$A$1:$I$89,3,0)*0.475*44/12</f>
        <v>0.28139217054045201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2.5811378331297905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142.72679502162805</v>
      </c>
      <c r="CE187" s="62">
        <f t="shared" si="148"/>
        <v>372.84389296423961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2.0897666577851761</v>
      </c>
      <c r="CL187" s="23">
        <f>EXP(-LN(2)/25)*CL186+(1-EXP(-LN(2)/25))/(LN(2)/25)*Calculateur!CG187*Calculateur!CI187*VLOOKUP('Données projet'!$B$12,Paramètres!$A$1:$I$89,3,0)*0.475*44/12</f>
        <v>0.24772430891463368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2.3374909666998098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121.21199999999949</v>
      </c>
      <c r="D188" s="12">
        <f t="shared" si="140"/>
        <v>31.957512847616947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1182.3611518061618</v>
      </c>
      <c r="H188" s="70">
        <f t="shared" si="110"/>
        <v>560.10356820959851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133.56954582136541</v>
      </c>
      <c r="T188" s="62">
        <f t="shared" si="142"/>
        <v>412.851273435613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2.2593574457731953</v>
      </c>
      <c r="AA188" s="23">
        <f>EXP(-LN(2)/25)*AA187+(1-EXP(-LN(2)/25))/(LN(2)/25)*Calculateur!V188*Calculateur!X188*VLOOKUP('Données projet'!$B$9,Paramètres!$A$1:$I$89,3,0)*0.475*44/12</f>
        <v>0.26571460844461875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2.525072054217814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142.72679502162805</v>
      </c>
      <c r="AO188" s="62">
        <f t="shared" si="144"/>
        <v>372.84389296423961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2.0487876082578107</v>
      </c>
      <c r="AV188" s="23">
        <f>EXP(-LN(2)/25)*AV187+(1-EXP(-LN(2)/25))/(LN(2)/25)*Calculateur!AQ188*Calculateur!AS188*VLOOKUP('Données projet'!$B$10,Paramètres!$A$1:$I$89,3,0)*0.475*44/12</f>
        <v>0.24095027466010779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2.2897378829179185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169.10494041758477</v>
      </c>
      <c r="BJ188" s="62">
        <f t="shared" si="146"/>
        <v>373.38644103117821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2.2546490528523102</v>
      </c>
      <c r="BQ188" s="23">
        <f>EXP(-LN(2)/25)*BQ187+(1-EXP(-LN(2)/25))/(LN(2)/25)*Calculateur!BL188*Calculateur!BN188*VLOOKUP('Données projet'!$B$11,Paramètres!$A$1:$I$89,3,0)*0.475*44/12</f>
        <v>0.27369748683925221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2.5283465396915625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142.72679502162805</v>
      </c>
      <c r="CE188" s="62">
        <f t="shared" si="148"/>
        <v>372.84389296423961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2.0487876082578107</v>
      </c>
      <c r="CL188" s="23">
        <f>EXP(-LN(2)/25)*CL187+(1-EXP(-LN(2)/25))/(LN(2)/25)*Calculateur!CG188*Calculateur!CI188*VLOOKUP('Données projet'!$B$12,Paramètres!$A$1:$I$89,3,0)*0.475*44/12</f>
        <v>0.24095027466010779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2.2897378829179185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121.86719999999949</v>
      </c>
      <c r="D189" s="12">
        <f t="shared" si="140"/>
        <v>32.110100916567262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1188.5967088296381</v>
      </c>
      <c r="H189" s="70">
        <f t="shared" si="110"/>
        <v>561.51046576302042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133.56954582136541</v>
      </c>
      <c r="T189" s="62">
        <f t="shared" si="142"/>
        <v>412.851273435613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2.2150528243335517</v>
      </c>
      <c r="AA189" s="23">
        <f>EXP(-LN(2)/25)*AA188+(1-EXP(-LN(2)/25))/(LN(2)/25)*Calculateur!V189*Calculateur!X189*VLOOKUP('Données projet'!$B$9,Paramètres!$A$1:$I$89,3,0)*0.475*44/12</f>
        <v>0.25844862850337669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2.4735014528369286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142.72679502162805</v>
      </c>
      <c r="AO189" s="62">
        <f t="shared" si="144"/>
        <v>372.84389296423961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2.0086121328969249</v>
      </c>
      <c r="AV189" s="23">
        <f>EXP(-LN(2)/25)*AV188+(1-EXP(-LN(2)/25))/(LN(2)/25)*Calculateur!AQ189*Calculateur!AS189*VLOOKUP('Données projet'!$B$10,Paramètres!$A$1:$I$89,3,0)*0.475*44/12</f>
        <v>0.23436147672850291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2.2429736096254276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169.10494041758477</v>
      </c>
      <c r="BJ189" s="62">
        <f t="shared" si="146"/>
        <v>373.38644103117821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2.2104367601260089</v>
      </c>
      <c r="BQ189" s="23">
        <f>EXP(-LN(2)/25)*BQ188+(1-EXP(-LN(2)/25))/(LN(2)/25)*Calculateur!BL189*Calculateur!BN189*VLOOKUP('Données projet'!$B$11,Paramètres!$A$1:$I$89,3,0)*0.475*44/12</f>
        <v>0.26621321466850756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2.4766499747945163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142.72679502162805</v>
      </c>
      <c r="CE189" s="62">
        <f t="shared" si="148"/>
        <v>372.84389296423961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2.0086121328969249</v>
      </c>
      <c r="CL189" s="23">
        <f>EXP(-LN(2)/25)*CL188+(1-EXP(-LN(2)/25))/(LN(2)/25)*Calculateur!CG189*Calculateur!CI189*VLOOKUP('Données projet'!$B$12,Paramètres!$A$1:$I$89,3,0)*0.475*44/12</f>
        <v>0.23436147672850291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2.2429736096254276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122.52239999999948</v>
      </c>
      <c r="D190" s="12">
        <f t="shared" si="140"/>
        <v>32.262593524306148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1194.8315289595523</v>
      </c>
      <c r="H190" s="70">
        <f t="shared" si="110"/>
        <v>562.91719705483229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133.56954582136541</v>
      </c>
      <c r="T190" s="62">
        <f t="shared" si="142"/>
        <v>412.851273435613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2.1716169894971884</v>
      </c>
      <c r="AA190" s="23">
        <f>EXP(-LN(2)/25)*AA189+(1-EXP(-LN(2)/25))/(LN(2)/25)*Calculateur!V190*Calculateur!X190*VLOOKUP('Données projet'!$B$9,Paramètres!$A$1:$I$89,3,0)*0.475*44/12</f>
        <v>0.25138133716572919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2.4229983266629178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142.72679502162805</v>
      </c>
      <c r="AO190" s="62">
        <f t="shared" si="144"/>
        <v>372.84389296423961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1.9692244741032454</v>
      </c>
      <c r="AV190" s="23">
        <f>EXP(-LN(2)/25)*AV189+(1-EXP(-LN(2)/25))/(LN(2)/25)*Calculateur!AQ190*Calculateur!AS190*VLOOKUP('Données projet'!$B$10,Paramètres!$A$1:$I$89,3,0)*0.475*44/12</f>
        <v>0.22795284982282757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2.197177323926073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169.10494041758477</v>
      </c>
      <c r="BJ190" s="62">
        <f t="shared" si="146"/>
        <v>373.38644103117821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2.1670914434932347</v>
      </c>
      <c r="BQ190" s="23">
        <f>EXP(-LN(2)/25)*BQ189+(1-EXP(-LN(2)/25))/(LN(2)/25)*Calculateur!BL190*Calculateur!BN190*VLOOKUP('Données projet'!$B$11,Paramètres!$A$1:$I$89,3,0)*0.475*44/12</f>
        <v>0.25893360031385271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2.4260250438070874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142.72679502162805</v>
      </c>
      <c r="CE190" s="62">
        <f t="shared" si="148"/>
        <v>372.84389296423961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1.9692244741032454</v>
      </c>
      <c r="CL190" s="23">
        <f>EXP(-LN(2)/25)*CL189+(1-EXP(-LN(2)/25))/(LN(2)/25)*Calculateur!CG190*Calculateur!CI190*VLOOKUP('Données projet'!$B$12,Paramètres!$A$1:$I$89,3,0)*0.475*44/12</f>
        <v>0.22795284982282757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2.197177323926073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123.17759999999947</v>
      </c>
      <c r="D191" s="12">
        <f t="shared" si="140"/>
        <v>32.414991240570302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1201.0656165938722</v>
      </c>
      <c r="H191" s="70">
        <f t="shared" si="110"/>
        <v>564.32376307732568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133.56954582136541</v>
      </c>
      <c r="T191" s="62">
        <f t="shared" si="142"/>
        <v>412.851273435613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2.1290329048887231</v>
      </c>
      <c r="AA191" s="23">
        <f>EXP(-LN(2)/25)*AA190+(1-EXP(-LN(2)/25))/(LN(2)/25)*Calculateur!V191*Calculateur!X191*VLOOKUP('Données projet'!$B$9,Paramètres!$A$1:$I$89,3,0)*0.475*44/12</f>
        <v>0.24450730128136233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2.3735402061700857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142.72679502162805</v>
      </c>
      <c r="AO191" s="62">
        <f t="shared" si="144"/>
        <v>372.84389296423961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1.9306091832744103</v>
      </c>
      <c r="AV191" s="23">
        <f>EXP(-LN(2)/25)*AV190+(1-EXP(-LN(2)/25))/(LN(2)/25)*Calculateur!AQ191*Calculateur!AS191*VLOOKUP('Données projet'!$B$10,Paramètres!$A$1:$I$89,3,0)*0.475*44/12</f>
        <v>0.22171946715690297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2.1523286504313135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169.10494041758477</v>
      </c>
      <c r="BJ191" s="62">
        <f t="shared" si="146"/>
        <v>373.38644103117821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2.1245961020815964</v>
      </c>
      <c r="BQ191" s="23">
        <f>EXP(-LN(2)/25)*BQ190+(1-EXP(-LN(2)/25))/(LN(2)/25)*Calculateur!BL191*Calculateur!BN191*VLOOKUP('Données projet'!$B$11,Paramètres!$A$1:$I$89,3,0)*0.475*44/12</f>
        <v>0.25185304739654418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2.3764491494781406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142.72679502162805</v>
      </c>
      <c r="CE191" s="62">
        <f t="shared" si="148"/>
        <v>372.84389296423961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1.9306091832744103</v>
      </c>
      <c r="CL191" s="23">
        <f>EXP(-LN(2)/25)*CL190+(1-EXP(-LN(2)/25))/(LN(2)/25)*Calculateur!CG191*Calculateur!CI191*VLOOKUP('Données projet'!$B$12,Paramètres!$A$1:$I$89,3,0)*0.475*44/12</f>
        <v>0.22171946715690297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2.1523286504313135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123.83279999999947</v>
      </c>
      <c r="D192" s="12">
        <f t="shared" si="140"/>
        <v>32.567294628684436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1207.298976081069</v>
      </c>
      <c r="H192" s="70">
        <f t="shared" si="110"/>
        <v>565.73016481162449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133.56954582136541</v>
      </c>
      <c r="T192" s="62">
        <f t="shared" si="142"/>
        <v>412.851273435613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2.0872838682057031</v>
      </c>
      <c r="AA192" s="23">
        <f>EXP(-LN(2)/25)*AA191+(1-EXP(-LN(2)/25))/(LN(2)/25)*Calculateur!V192*Calculateur!X192*VLOOKUP('Données projet'!$B$9,Paramètres!$A$1:$I$89,3,0)*0.475*44/12</f>
        <v>0.23782123626974333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2.3251051044754463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142.72679502162805</v>
      </c>
      <c r="AO192" s="62">
        <f t="shared" si="144"/>
        <v>372.84389296423961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1.892751114745727</v>
      </c>
      <c r="AV192" s="23">
        <f>EXP(-LN(2)/25)*AV191+(1-EXP(-LN(2)/25))/(LN(2)/25)*Calculateur!AQ192*Calculateur!AS192*VLOOKUP('Données projet'!$B$10,Paramètres!$A$1:$I$89,3,0)*0.475*44/12</f>
        <v>0.21565653666777743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2.1084076514135046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169.10494041758477</v>
      </c>
      <c r="BJ192" s="62">
        <f t="shared" si="146"/>
        <v>373.38644103117821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2.0829340683954416</v>
      </c>
      <c r="BQ192" s="23">
        <f>EXP(-LN(2)/25)*BQ191+(1-EXP(-LN(2)/25))/(LN(2)/25)*Calculateur!BL192*Calculateur!BN192*VLOOKUP('Données projet'!$B$11,Paramètres!$A$1:$I$89,3,0)*0.475*44/12</f>
        <v>0.24496611257110953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2.3279001809665512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142.72679502162805</v>
      </c>
      <c r="CE192" s="62">
        <f t="shared" si="148"/>
        <v>372.84389296423961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1.892751114745727</v>
      </c>
      <c r="CL192" s="23">
        <f>EXP(-LN(2)/25)*CL191+(1-EXP(-LN(2)/25))/(LN(2)/25)*Calculateur!CG192*Calculateur!CI192*VLOOKUP('Données projet'!$B$12,Paramètres!$A$1:$I$89,3,0)*0.475*44/12</f>
        <v>0.21565653666777743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2.1084076514135046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124.48799999999946</v>
      </c>
      <c r="D193" s="12">
        <f t="shared" si="140"/>
        <v>32.719504245667153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1213.5316117209352</v>
      </c>
      <c r="H193" s="70">
        <f t="shared" si="110"/>
        <v>567.13640322786932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133.56954582136541</v>
      </c>
      <c r="T193" s="62">
        <f t="shared" si="142"/>
        <v>412.851273435613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2.0463535046676391</v>
      </c>
      <c r="AA193" s="23">
        <f>EXP(-LN(2)/25)*AA192+(1-EXP(-LN(2)/25))/(LN(2)/25)*Calculateur!V193*Calculateur!X193*VLOOKUP('Données projet'!$B$9,Paramètres!$A$1:$I$89,3,0)*0.475*44/12</f>
        <v>0.23131800205747194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2.277671506725111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142.72679502162805</v>
      </c>
      <c r="AO193" s="62">
        <f t="shared" si="144"/>
        <v>372.84389296423961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1.8556354198497493</v>
      </c>
      <c r="AV193" s="23">
        <f>EXP(-LN(2)/25)*AV192+(1-EXP(-LN(2)/25))/(LN(2)/25)*Calculateur!AQ193*Calculateur!AS193*VLOOKUP('Données projet'!$B$10,Paramètres!$A$1:$I$89,3,0)*0.475*44/12</f>
        <v>0.20975939733171267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2.065394817181462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169.10494041758477</v>
      </c>
      <c r="BJ193" s="62">
        <f t="shared" si="146"/>
        <v>373.38644103117821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2.0420890017785407</v>
      </c>
      <c r="BQ193" s="23">
        <f>EXP(-LN(2)/25)*BQ192+(1-EXP(-LN(2)/25))/(LN(2)/25)*Calculateur!BL193*Calculateur!BN193*VLOOKUP('Données projet'!$B$11,Paramètres!$A$1:$I$89,3,0)*0.475*44/12</f>
        <v>0.23826750134064456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2.2803565031191853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142.72679502162805</v>
      </c>
      <c r="CE193" s="62">
        <f t="shared" si="148"/>
        <v>372.84389296423961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1.8556354198497493</v>
      </c>
      <c r="CL193" s="23">
        <f>EXP(-LN(2)/25)*CL192+(1-EXP(-LN(2)/25))/(LN(2)/25)*Calculateur!CG193*Calculateur!CI193*VLOOKUP('Données projet'!$B$12,Paramètres!$A$1:$I$89,3,0)*0.475*44/12</f>
        <v>0.20975939733171267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2.065394817181462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125.14319999999945</v>
      </c>
      <c r="D194" s="12">
        <f t="shared" si="140"/>
        <v>32.871620642334207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1219.7635277653828</v>
      </c>
      <c r="H194" s="70">
        <f t="shared" si="110"/>
        <v>568.5424792853978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133.56954582136541</v>
      </c>
      <c r="T194" s="62">
        <f t="shared" si="142"/>
        <v>412.851273435613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2.0062257605934999</v>
      </c>
      <c r="AA194" s="23">
        <f>EXP(-LN(2)/25)*AA193+(1-EXP(-LN(2)/25))/(LN(2)/25)*Calculateur!V194*Calculateur!X194*VLOOKUP('Données projet'!$B$9,Paramètres!$A$1:$I$89,3,0)*0.475*44/12</f>
        <v>0.22499259912672531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2.2312183597202253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142.72679502162805</v>
      </c>
      <c r="AO194" s="62">
        <f t="shared" si="144"/>
        <v>372.84389296423961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1.8192475410923434</v>
      </c>
      <c r="AV194" s="23">
        <f>EXP(-LN(2)/25)*AV193+(1-EXP(-LN(2)/25))/(LN(2)/25)*Calculateur!AQ194*Calculateur!AS194*VLOOKUP('Données projet'!$B$10,Paramètres!$A$1:$I$89,3,0)*0.475*44/12</f>
        <v>0.2040235155809097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2.023271056673253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169.10494041758477</v>
      </c>
      <c r="BJ194" s="62">
        <f t="shared" si="146"/>
        <v>373.38644103117821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2.0020448820049666</v>
      </c>
      <c r="BQ194" s="23">
        <f>EXP(-LN(2)/25)*BQ193+(1-EXP(-LN(2)/25))/(LN(2)/25)*Calculateur!BL194*Calculateur!BN194*VLOOKUP('Données projet'!$B$11,Paramètres!$A$1:$I$89,3,0)*0.475*44/12</f>
        <v>0.2317520639865413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2.2337969459915077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142.72679502162805</v>
      </c>
      <c r="CE194" s="62">
        <f t="shared" si="148"/>
        <v>372.84389296423961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1.8192475410923434</v>
      </c>
      <c r="CL194" s="23">
        <f>EXP(-LN(2)/25)*CL193+(1-EXP(-LN(2)/25))/(LN(2)/25)*Calculateur!CG194*Calculateur!CI194*VLOOKUP('Données projet'!$B$12,Paramètres!$A$1:$I$89,3,0)*0.475*44/12</f>
        <v>0.2040235155809097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2.023271056673253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125.79839999999945</v>
      </c>
      <c r="D195" s="12">
        <f t="shared" si="140"/>
        <v>33.023644363399811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1225.9947284192224</v>
      </c>
      <c r="H195" s="70">
        <f t="shared" si="110"/>
        <v>569.94839393292034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133.56954582136541</v>
      </c>
      <c r="T195" s="62">
        <f t="shared" si="142"/>
        <v>412.851273435613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1.9668848971051474</v>
      </c>
      <c r="AA195" s="23">
        <f>EXP(-LN(2)/25)*AA194+(1-EXP(-LN(2)/25))/(LN(2)/25)*Calculateur!V195*Calculateur!X195*VLOOKUP('Données projet'!$B$9,Paramètres!$A$1:$I$89,3,0)*0.475*44/12</f>
        <v>0.21884016467175846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2.185725061776906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142.72679502162805</v>
      </c>
      <c r="AO195" s="62">
        <f t="shared" si="144"/>
        <v>372.84389296423961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1.7835732064429557</v>
      </c>
      <c r="AV195" s="23">
        <f>EXP(-LN(2)/25)*AV194+(1-EXP(-LN(2)/25))/(LN(2)/25)*Calculateur!AQ195*Calculateur!AS195*VLOOKUP('Données projet'!$B$10,Paramètres!$A$1:$I$89,3,0)*0.475*44/12</f>
        <v>0.19844448181821933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1.9820176882611751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169.10494041758477</v>
      </c>
      <c r="BJ195" s="62">
        <f t="shared" si="146"/>
        <v>373.38644103117821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1.962786002995651</v>
      </c>
      <c r="BQ195" s="23">
        <f>EXP(-LN(2)/25)*BQ194+(1-EXP(-LN(2)/25))/(LN(2)/25)*Calculateur!BL195*Calculateur!BN195*VLOOKUP('Données projet'!$B$11,Paramètres!$A$1:$I$89,3,0)*0.475*44/12</f>
        <v>0.22541479160951797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2.1882007946051689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142.72679502162805</v>
      </c>
      <c r="CE195" s="62">
        <f t="shared" si="148"/>
        <v>372.84389296423961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1.7835732064429557</v>
      </c>
      <c r="CL195" s="23">
        <f>EXP(-LN(2)/25)*CL194+(1-EXP(-LN(2)/25))/(LN(2)/25)*Calculateur!CG195*Calculateur!CI195*VLOOKUP('Données projet'!$B$12,Paramètres!$A$1:$I$89,3,0)*0.475*44/12</f>
        <v>0.19844448181821933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1.9820176882611751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126.45359999999944</v>
      </c>
      <c r="D196" s="12">
        <f t="shared" si="140"/>
        <v>33.175575947575517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1232.2252178409296</v>
      </c>
      <c r="H196" s="70">
        <f t="shared" ref="H196:H203" si="192">(B196+E196+F196)*44/12+(C196+D196)*0.475*44/12</f>
        <v>571.35414810869304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133.56954582136541</v>
      </c>
      <c r="T196" s="62">
        <f t="shared" si="142"/>
        <v>412.851273435613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1.928315483954244</v>
      </c>
      <c r="AA196" s="23">
        <f>EXP(-LN(2)/25)*AA195+(1-EXP(-LN(2)/25))/(LN(2)/25)*Calculateur!V196*Calculateur!X196*VLOOKUP('Données projet'!$B$9,Paramètres!$A$1:$I$89,3,0)*0.475*44/12</f>
        <v>0.21285596886050512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2.1411714528147492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142.72679502162805</v>
      </c>
      <c r="AO196" s="62">
        <f t="shared" si="144"/>
        <v>372.84389296423961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1.7485984237368468</v>
      </c>
      <c r="AV196" s="23">
        <f>EXP(-LN(2)/25)*AV195+(1-EXP(-LN(2)/25))/(LN(2)/25)*Calculateur!AQ196*Calculateur!AS196*VLOOKUP('Données projet'!$B$10,Paramètres!$A$1:$I$89,3,0)*0.475*44/12</f>
        <v>0.19301800702715838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1.9416164307640051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169.10494041758477</v>
      </c>
      <c r="BJ196" s="62">
        <f t="shared" si="146"/>
        <v>373.38644103117821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1.9242969666581562</v>
      </c>
      <c r="BQ196" s="23">
        <f>EXP(-LN(2)/25)*BQ195+(1-EXP(-LN(2)/25))/(LN(2)/25)*Calculateur!BL196*Calculateur!BN196*VLOOKUP('Données projet'!$B$11,Paramètres!$A$1:$I$89,3,0)*0.475*44/12</f>
        <v>0.219250812278907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2.1435477789370632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142.72679502162805</v>
      </c>
      <c r="CE196" s="62">
        <f t="shared" si="148"/>
        <v>372.84389296423961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1.7485984237368468</v>
      </c>
      <c r="CL196" s="23">
        <f>EXP(-LN(2)/25)*CL195+(1-EXP(-LN(2)/25))/(LN(2)/25)*Calculateur!CG196*Calculateur!CI196*VLOOKUP('Données projet'!$B$12,Paramètres!$A$1:$I$89,3,0)*0.475*44/12</f>
        <v>0.19301800702715838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1.9416164307640051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127.10879999999943</v>
      </c>
      <c r="D197" s="12">
        <f t="shared" ref="D197:D203" si="202">IFERROR(EXP(-1.0587+0.8836*LN(C197)+0.284),0)</f>
        <v>33.327415927667211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1238.4550001433915</v>
      </c>
      <c r="H197" s="70">
        <f t="shared" si="192"/>
        <v>572.75974274068608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133.56954582136541</v>
      </c>
      <c r="T197" s="62">
        <f t="shared" ref="T197:T203" si="204">$T$3</f>
        <v>412.851273435613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1.8905023934702108</v>
      </c>
      <c r="AA197" s="23">
        <f>EXP(-LN(2)/25)*AA196+(1-EXP(-LN(2)/25))/(LN(2)/25)*Calculateur!V197*Calculateur!X197*VLOOKUP('Données projet'!$B$9,Paramètres!$A$1:$I$89,3,0)*0.475*44/12</f>
        <v>0.20703541119840568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2.0975378046686166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142.72679502162805</v>
      </c>
      <c r="AO197" s="62">
        <f t="shared" ref="AO197:AO203" si="205">$AO$3</f>
        <v>372.84389296423961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1.7143094751870938</v>
      </c>
      <c r="AV197" s="23">
        <f>EXP(-LN(2)/25)*AV196+(1-EXP(-LN(2)/25))/(LN(2)/25)*Calculateur!AQ197*Calculateur!AS197*VLOOKUP('Données projet'!$B$10,Paramètres!$A$1:$I$89,3,0)*0.475*44/12</f>
        <v>0.1877399194746249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1.9020493946617187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169.10494041758477</v>
      </c>
      <c r="BJ197" s="62">
        <f t="shared" ref="BJ197:BJ203" si="206">$BJ$3</f>
        <v>373.38644103117821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1.8865626768472457</v>
      </c>
      <c r="BQ197" s="23">
        <f>EXP(-LN(2)/25)*BQ196+(1-EXP(-LN(2)/25))/(LN(2)/25)*Calculateur!BL197*Calculateur!BN197*VLOOKUP('Données projet'!$B$11,Paramètres!$A$1:$I$89,3,0)*0.475*44/12</f>
        <v>0.21325538728724117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2.099818064134487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142.72679502162805</v>
      </c>
      <c r="CE197" s="62">
        <f t="shared" ref="CE197:CE203" si="207">$CE$3</f>
        <v>372.84389296423961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1.7143094751870938</v>
      </c>
      <c r="CL197" s="23">
        <f>EXP(-LN(2)/25)*CL196+(1-EXP(-LN(2)/25))/(LN(2)/25)*Calculateur!CG197*Calculateur!CI197*VLOOKUP('Données projet'!$B$12,Paramètres!$A$1:$I$89,3,0)*0.475*44/12</f>
        <v>0.1877399194746249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1.9020493946617187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127.76399999999943</v>
      </c>
      <c r="D198" s="12">
        <f t="shared" si="202"/>
        <v>33.47916483066993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1244.6840793946405</v>
      </c>
      <c r="H198" s="70">
        <f t="shared" si="192"/>
        <v>574.16517874674912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133.56954582136541</v>
      </c>
      <c r="T198" s="62">
        <f t="shared" si="204"/>
        <v>412.851273435613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1.8534307946268616</v>
      </c>
      <c r="AA198" s="23">
        <f>EXP(-LN(2)/25)*AA197+(1-EXP(-LN(2)/25))/(LN(2)/25)*Calculateur!V198*Calculateur!X198*VLOOKUP('Données projet'!$B$9,Paramètres!$A$1:$I$89,3,0)*0.475*44/12</f>
        <v>0.20137401699166618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2.0548048116185278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142.72679502162805</v>
      </c>
      <c r="AO198" s="62">
        <f t="shared" si="205"/>
        <v>372.84389296423961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1.6806929120042078</v>
      </c>
      <c r="AV198" s="23">
        <f>EXP(-LN(2)/25)*AV197+(1-EXP(-LN(2)/25))/(LN(2)/25)*Calculateur!AQ198*Calculateur!AS198*VLOOKUP('Données projet'!$B$10,Paramètres!$A$1:$I$89,3,0)*0.475*44/12</f>
        <v>0.18260616150377801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1.8632990735079857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169.10494041758477</v>
      </c>
      <c r="BJ198" s="62">
        <f t="shared" si="206"/>
        <v>373.38644103117821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1.8495683334438828</v>
      </c>
      <c r="BQ198" s="23">
        <f>EXP(-LN(2)/25)*BQ197+(1-EXP(-LN(2)/25))/(LN(2)/25)*Calculateur!BL198*Calculateur!BN198*VLOOKUP('Données projet'!$B$11,Paramètres!$A$1:$I$89,3,0)*0.475*44/12</f>
        <v>0.20742390750725814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2.056992240951141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142.72679502162805</v>
      </c>
      <c r="CE198" s="62">
        <f t="shared" si="207"/>
        <v>372.84389296423961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1.6806929120042078</v>
      </c>
      <c r="CL198" s="23">
        <f>EXP(-LN(2)/25)*CL197+(1-EXP(-LN(2)/25))/(LN(2)/25)*Calculateur!CG198*Calculateur!CI198*VLOOKUP('Données projet'!$B$12,Paramètres!$A$1:$I$89,3,0)*0.475*44/12</f>
        <v>0.18260616150377801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1.8632990735079857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128.41919999999942</v>
      </c>
      <c r="D199" s="12">
        <f t="shared" si="202"/>
        <v>33.630823177860641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1250.9124596185688</v>
      </c>
      <c r="H199" s="70">
        <f t="shared" si="192"/>
        <v>575.57045703477297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133.56954582136541</v>
      </c>
      <c r="T199" s="62">
        <f t="shared" si="204"/>
        <v>412.851273435613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1.8170861472253879</v>
      </c>
      <c r="AA199" s="23">
        <f>EXP(-LN(2)/25)*AA198+(1-EXP(-LN(2)/25))/(LN(2)/25)*Calculateur!V199*Calculateur!X199*VLOOKUP('Données projet'!$B$9,Paramètres!$A$1:$I$89,3,0)*0.475*44/12</f>
        <v>0.19586743390722977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2.0129535811326176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142.72679502162805</v>
      </c>
      <c r="AO199" s="62">
        <f t="shared" si="205"/>
        <v>372.84389296423961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1.6477355491212593</v>
      </c>
      <c r="AV199" s="23">
        <f>EXP(-LN(2)/25)*AV198+(1-EXP(-LN(2)/25))/(LN(2)/25)*Calculateur!AQ199*Calculateur!AS199*VLOOKUP('Données projet'!$B$10,Paramètres!$A$1:$I$89,3,0)*0.475*44/12</f>
        <v>0.17761278641461653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1.8253483355358759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169.10494041758477</v>
      </c>
      <c r="BJ199" s="62">
        <f t="shared" si="206"/>
        <v>373.38644103117821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1.8132994265503386</v>
      </c>
      <c r="BQ199" s="23">
        <f>EXP(-LN(2)/25)*BQ198+(1-EXP(-LN(2)/25))/(LN(2)/25)*Calculateur!BL199*Calculateur!BN199*VLOOKUP('Données projet'!$B$11,Paramètres!$A$1:$I$89,3,0)*0.475*44/12</f>
        <v>0.20175188984852294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2.0150513163988615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142.72679502162805</v>
      </c>
      <c r="CE199" s="62">
        <f t="shared" si="207"/>
        <v>372.84389296423961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1.6477355491212593</v>
      </c>
      <c r="CL199" s="23">
        <f>EXP(-LN(2)/25)*CL198+(1-EXP(-LN(2)/25))/(LN(2)/25)*Calculateur!CG199*Calculateur!CI199*VLOOKUP('Données projet'!$B$12,Paramètres!$A$1:$I$89,3,0)*0.475*44/12</f>
        <v>0.17761278641461653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1.8253483355358759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129.07439999999943</v>
      </c>
      <c r="D200" s="12">
        <f t="shared" si="202"/>
        <v>33.782391484889175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1257.1401447956316</v>
      </c>
      <c r="H200" s="70">
        <f t="shared" si="192"/>
        <v>576.97557850284761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133.56954582136541</v>
      </c>
      <c r="T200" s="62">
        <f t="shared" si="204"/>
        <v>412.851273435613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1.781454196191411</v>
      </c>
      <c r="AA200" s="23">
        <f>EXP(-LN(2)/25)*AA199+(1-EXP(-LN(2)/25))/(LN(2)/25)*Calculateur!V200*Calculateur!X200*VLOOKUP('Données projet'!$B$9,Paramètres!$A$1:$I$89,3,0)*0.475*44/12</f>
        <v>0.19051142862681589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1.9719656248182269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142.72679502162805</v>
      </c>
      <c r="AO200" s="62">
        <f t="shared" si="205"/>
        <v>372.84389296423961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1.615424460022439</v>
      </c>
      <c r="AV200" s="23">
        <f>EXP(-LN(2)/25)*AV199+(1-EXP(-LN(2)/25))/(LN(2)/25)*Calculateur!AQ200*Calculateur!AS200*VLOOKUP('Données projet'!$B$10,Paramètres!$A$1:$I$89,3,0)*0.475*44/12</f>
        <v>0.17275595542985833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1.7881804154522973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169.10494041758477</v>
      </c>
      <c r="BJ200" s="62">
        <f t="shared" si="206"/>
        <v>373.38644103117821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1.7777417307991279</v>
      </c>
      <c r="BQ200" s="23">
        <f>EXP(-LN(2)/25)*BQ199+(1-EXP(-LN(2)/25))/(LN(2)/25)*Calculateur!BL200*Calculateur!BN200*VLOOKUP('Données projet'!$B$11,Paramètres!$A$1:$I$89,3,0)*0.475*44/12</f>
        <v>0.19623497381094429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1.9739767046100722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142.72679502162805</v>
      </c>
      <c r="CE200" s="62">
        <f t="shared" si="207"/>
        <v>372.84389296423961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1.615424460022439</v>
      </c>
      <c r="CL200" s="23">
        <f>EXP(-LN(2)/25)*CL199+(1-EXP(-LN(2)/25))/(LN(2)/25)*Calculateur!CG200*Calculateur!CI200*VLOOKUP('Données projet'!$B$12,Paramètres!$A$1:$I$89,3,0)*0.475*44/12</f>
        <v>0.17275595542985833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1.7881804154522973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129.72959999999944</v>
      </c>
      <c r="D201" s="12">
        <f t="shared" si="202"/>
        <v>33.933870261867362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1263.3671388635332</v>
      </c>
      <c r="H201" s="70">
        <f t="shared" si="192"/>
        <v>578.38054403941794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133.56954582136541</v>
      </c>
      <c r="T201" s="62">
        <f t="shared" si="204"/>
        <v>412.851273435613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1.7465209659838663</v>
      </c>
      <c r="AA201" s="23">
        <f>EXP(-LN(2)/25)*AA200+(1-EXP(-LN(2)/25))/(LN(2)/25)*Calculateur!V201*Calculateur!X201*VLOOKUP('Données projet'!$B$9,Paramètres!$A$1:$I$89,3,0)*0.475*44/12</f>
        <v>0.185301883592455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1.9318228495763212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142.72679502162805</v>
      </c>
      <c r="AO201" s="62">
        <f t="shared" si="205"/>
        <v>372.84389296423961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1.5837469716730281</v>
      </c>
      <c r="AV201" s="23">
        <f>EXP(-LN(2)/25)*AV200+(1-EXP(-LN(2)/25))/(LN(2)/25)*Calculateur!AQ201*Calculateur!AS201*VLOOKUP('Données projet'!$B$10,Paramètres!$A$1:$I$89,3,0)*0.475*44/12</f>
        <v>0.168031934743788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1.7517789064168161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169.10494041758477</v>
      </c>
      <c r="BJ201" s="62">
        <f t="shared" si="206"/>
        <v>373.38644103117821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1.7428812997735454</v>
      </c>
      <c r="BQ201" s="23">
        <f>EXP(-LN(2)/25)*BQ200+(1-EXP(-LN(2)/25))/(LN(2)/25)*Calculateur!BL201*Calculateur!BN201*VLOOKUP('Données projet'!$B$11,Paramètres!$A$1:$I$89,3,0)*0.475*44/12</f>
        <v>0.19086891813253526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1.9337502179060806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142.72679502162805</v>
      </c>
      <c r="CE201" s="62">
        <f t="shared" si="207"/>
        <v>372.84389296423961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1.5837469716730281</v>
      </c>
      <c r="CL201" s="23">
        <f>EXP(-LN(2)/25)*CL200+(1-EXP(-LN(2)/25))/(LN(2)/25)*Calculateur!CG201*Calculateur!CI201*VLOOKUP('Données projet'!$B$12,Paramètres!$A$1:$I$89,3,0)*0.475*44/12</f>
        <v>0.168031934743788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1.7517789064168161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130.38479999999944</v>
      </c>
      <c r="D202" s="12">
        <f t="shared" si="202"/>
        <v>34.085260013455894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1269.593445717901</v>
      </c>
      <c r="H202" s="70">
        <f t="shared" si="192"/>
        <v>579.78535452343476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133.56954582136541</v>
      </c>
      <c r="T202" s="62">
        <f t="shared" si="204"/>
        <v>412.851273435613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1.7122727551135251</v>
      </c>
      <c r="AA202" s="23">
        <f>EXP(-LN(2)/25)*AA201+(1-EXP(-LN(2)/25))/(LN(2)/25)*Calculateur!V202*Calculateur!X202*VLOOKUP('Données projet'!$B$9,Paramètres!$A$1:$I$89,3,0)*0.475*44/12</f>
        <v>0.18023479384101679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1.8925075489545418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142.72679502162805</v>
      </c>
      <c r="AO202" s="62">
        <f t="shared" si="205"/>
        <v>372.84389296423961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1.5526906595487893</v>
      </c>
      <c r="AV202" s="23">
        <f>EXP(-LN(2)/25)*AV201+(1-EXP(-LN(2)/25))/(LN(2)/25)*Calculateur!AQ202*Calculateur!AS202*VLOOKUP('Données projet'!$B$10,Paramètres!$A$1:$I$89,3,0)*0.475*44/12</f>
        <v>0.1634370926518037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1.7161277522005929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169.10494041758477</v>
      </c>
      <c r="BJ202" s="62">
        <f t="shared" si="206"/>
        <v>373.38644103117821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1.7087044605376114</v>
      </c>
      <c r="BQ202" s="23">
        <f>EXP(-LN(2)/25)*BQ201+(1-EXP(-LN(2)/25))/(LN(2)/25)*Calculateur!BL202*Calculateur!BN202*VLOOKUP('Données projet'!$B$11,Paramètres!$A$1:$I$89,3,0)*0.475*44/12</f>
        <v>0.18564959752884092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1.8943540580664524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142.72679502162805</v>
      </c>
      <c r="CE202" s="62">
        <f t="shared" si="207"/>
        <v>372.84389296423961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1.5526906595487893</v>
      </c>
      <c r="CL202" s="23">
        <f>EXP(-LN(2)/25)*CL201+(1-EXP(-LN(2)/25))/(LN(2)/25)*Calculateur!CG202*Calculateur!CI202*VLOOKUP('Données projet'!$B$12,Paramètres!$A$1:$I$89,3,0)*0.475*44/12</f>
        <v>0.1634370926518037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1.7161277522005929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131.03999999999945</v>
      </c>
      <c r="D203" s="12">
        <f t="shared" si="202"/>
        <v>34.236561238949797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1275.8190692129417</v>
      </c>
      <c r="H203" s="70">
        <f t="shared" si="192"/>
        <v>581.19001082450325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133.56954582136541</v>
      </c>
      <c r="T203" s="62">
        <f t="shared" si="204"/>
        <v>412.851273435613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1.6786961307690051</v>
      </c>
      <c r="AA203" s="23">
        <f>EXP(-LN(2)/25)*AA202+(1-EXP(-LN(2)/25))/(LN(2)/25)*Calculateur!V203*Calculateur!X203*VLOOKUP('Données projet'!$B$9,Paramètres!$A$1:$I$89,3,0)*0.475*44/12</f>
        <v>0.1753062639252983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1.8540023946943034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142.72679502162805</v>
      </c>
      <c r="AO203" s="62">
        <f t="shared" si="205"/>
        <v>372.84389296423961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1.5222433427628266</v>
      </c>
      <c r="AV203" s="23">
        <f>EXP(-LN(2)/25)*AV202+(1-EXP(-LN(2)/25))/(LN(2)/25)*Calculateur!AQ203*Calculateur!AS203*VLOOKUP('Données projet'!$B$10,Paramètres!$A$1:$I$89,3,0)*0.475*44/12</f>
        <v>0.15896789675845696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1.6812112395212835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169.10494041758477</v>
      </c>
      <c r="BJ203" s="62">
        <f t="shared" si="206"/>
        <v>373.38644103117821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1.6751978082732804</v>
      </c>
      <c r="BQ203" s="23">
        <f>EXP(-LN(2)/25)*BQ202+(1-EXP(-LN(2)/25))/(LN(2)/25)*Calculateur!BL203*Calculateur!BN203*VLOOKUP('Données projet'!$B$11,Paramètres!$A$1:$I$89,3,0)*0.475*44/12</f>
        <v>0.18057299952152672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1.8557708077948072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142.72679502162805</v>
      </c>
      <c r="CE203" s="62">
        <f t="shared" si="207"/>
        <v>372.84389296423961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1.5222433427628266</v>
      </c>
      <c r="CL203" s="23">
        <f>EXP(-LN(2)/25)*CL202+(1-EXP(-LN(2)/25))/(LN(2)/25)*Calculateur!CG203*Calculateur!CI203*VLOOKUP('Données projet'!$B$12,Paramètres!$A$1:$I$89,3,0)*0.475*44/12</f>
        <v>0.15896789675845696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1.6812112395212835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1.3076604860118306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1.661000956165023</v>
      </c>
      <c r="BA205" s="88">
        <f>EXP(LN('Données projet'!B88)/'Données projet'!A88)</f>
        <v>1.2457309396155174</v>
      </c>
      <c r="BV205" s="88">
        <f>EXP(LN('Données projet'!B114)/'Données projet'!A114)</f>
        <v>1.661000956165023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18" sqref="M1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Peuplier Koster</v>
      </c>
      <c r="B6" s="155">
        <f>'Données projet'!D9</f>
        <v>7.0000129368000001</v>
      </c>
      <c r="C6" s="156">
        <f ca="1">IF(OR('Données projet'!B9="",'Données projet'!C9="",'Données projet'!C9=0%),0,Calculateur!S3)</f>
        <v>133.56954582136541</v>
      </c>
      <c r="D6" s="156">
        <f>IF(OR('Données projet'!B9="",'Données projet'!C9="",'Données projet'!C9=0%),0,Calculateur!T3)</f>
        <v>412.851273435613</v>
      </c>
      <c r="E6" s="156">
        <f ca="1">MIN(C6,D6)</f>
        <v>133.56954582136541</v>
      </c>
      <c r="F6" s="156">
        <f ca="1">E6*B6</f>
        <v>934.98854871205822</v>
      </c>
      <c r="G6" s="156">
        <f ca="1">F6*(100%-'Données projet'!$C$24)*(100%-'Données projet'!$C$25)*(100%-'Données projet'!$C$26)*(100%-'Données projet'!$C$27)</f>
        <v>673.19175507268199</v>
      </c>
      <c r="H6" s="157">
        <f>IF(OR('Données projet'!B9="",'Données projet'!C9="",'Données projet'!C9=0%),0,AVERAGE(Calculateur!$AC$3:$AC$33)*B6)</f>
        <v>249.90986524536407</v>
      </c>
      <c r="I6" s="158">
        <f>H6*(100%-'Données projet'!$C$24)*(100%-'Données projet'!$C$25)*(100%-'Données projet'!$C$26)*(100%-'Données projet'!$C$27)</f>
        <v>179.93510297666217</v>
      </c>
      <c r="J6" s="159">
        <f>IF(OR('Données projet'!B9="",'Données projet'!C9="",'Données projet'!C9=0%),0,SUM(Calculateur!$V$3:$V$33)*VLOOKUP('Données projet'!$B$9,Paramètres!$A$1:$I$89,9,0)*B6)</f>
        <v>2862.3752899868882</v>
      </c>
      <c r="K6" s="160">
        <f>J6*(100%-'Données projet'!$C$24)*(100%-'Données projet'!$C$25)*(100%-'Données projet'!$C$26)*(100%-'Données projet'!$C$27)</f>
        <v>2060.9102087905599</v>
      </c>
      <c r="L6" s="161">
        <f ca="1">G6+I6+K6</f>
        <v>2914.0370668399041</v>
      </c>
      <c r="M6" s="25" t="s">
        <v>327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Peuplier Koster</v>
      </c>
      <c r="B7" s="163">
        <f>'Données projet'!D10</f>
        <v>7.4999899727999999</v>
      </c>
      <c r="C7" s="156">
        <f ca="1">IF(OR('Données projet'!B10="",'Données projet'!C10="",'Données projet'!C10=0%),0,Calculateur!AN3)</f>
        <v>142.72679502162805</v>
      </c>
      <c r="D7" s="156">
        <f>IF(OR('Données projet'!B10="",'Données projet'!C10="",'Données projet'!C10=0%),0,Calculateur!AO3)</f>
        <v>372.84389296423961</v>
      </c>
      <c r="E7" s="156">
        <f t="shared" ref="E7:E15" ca="1" si="0">MIN(C7,D7)</f>
        <v>142.72679502162805</v>
      </c>
      <c r="F7" s="156">
        <f t="shared" ref="F7:F15" ca="1" si="1">E7*B7</f>
        <v>1070.4495315120914</v>
      </c>
      <c r="G7" s="156">
        <f ca="1">F7*(100%-'Données projet'!$C$24)*(100%-'Données projet'!$C$25)*(100%-'Données projet'!$C$26)*(100%-'Données projet'!$C$27)</f>
        <v>770.72366268870587</v>
      </c>
      <c r="H7" s="164">
        <f>IF(OR('Données projet'!B10="",'Données projet'!C10="",'Données projet'!C10=0%),0,AVERAGE(Calculateur!$AX$3:$AX$33)*B7)</f>
        <v>242.80478122218196</v>
      </c>
      <c r="I7" s="158">
        <f>H7*(100%-'Données projet'!$C$24)*(100%-'Données projet'!$C$25)*(100%-'Données projet'!$C$26)*(100%-'Données projet'!$C$27)</f>
        <v>174.81944247997103</v>
      </c>
      <c r="J7" s="159">
        <f>IF(OR('Données projet'!B10="",'Données projet'!C10="",'Données projet'!C10=0%),0,SUM(Calculateur!$AQ$3:$AQ$33)*VLOOKUP('Données projet'!$B$10,Paramètres!$A$1:$I$89,9,0)*B7)</f>
        <v>2780.9962819142402</v>
      </c>
      <c r="K7" s="160">
        <f>J7*(100%-'Données projet'!$C$24)*(100%-'Données projet'!$C$25)*(100%-'Données projet'!$C$26)*(100%-'Données projet'!$C$27)</f>
        <v>2002.3173229782531</v>
      </c>
      <c r="L7" s="161">
        <f t="shared" ref="L7:L15" ca="1" si="2">G7+I7+K7</f>
        <v>2947.8604281469297</v>
      </c>
      <c r="M7" s="25" t="s">
        <v>324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Peuplier Koster</v>
      </c>
      <c r="B8" s="163">
        <f>'Données projet'!D11</f>
        <v>7.4999899727999999</v>
      </c>
      <c r="C8" s="156">
        <f ca="1">IF(OR('Données projet'!B11="",'Données projet'!C11="",'Données projet'!C11=0%),0,Calculateur!BI3)</f>
        <v>169.10494041758477</v>
      </c>
      <c r="D8" s="156">
        <f>IF(OR('Données projet'!B11="",'Données projet'!C11="",'Données projet'!C11=0%),0,Calculateur!BJ3)</f>
        <v>373.38644103117821</v>
      </c>
      <c r="E8" s="156">
        <f t="shared" ca="1" si="0"/>
        <v>169.10494041758477</v>
      </c>
      <c r="F8" s="156">
        <f t="shared" ca="1" si="1"/>
        <v>1268.2853574828273</v>
      </c>
      <c r="G8" s="156">
        <f ca="1">F8*(100%-'Données projet'!$C$24)*(100%-'Données projet'!$C$25)*(100%-'Données projet'!$C$26)*(100%-'Données projet'!$C$27)</f>
        <v>913.16545738763568</v>
      </c>
      <c r="H8" s="164">
        <f>IF(OR('Données projet'!B11="",'Données projet'!C11="",'Données projet'!C11=0%),0,AVERAGE(Calculateur!$BS$3:$BS$33)*B8)</f>
        <v>183.94701455446031</v>
      </c>
      <c r="I8" s="158">
        <f>H8*(100%-'Données projet'!$C$24)*(100%-'Données projet'!$C$25)*(100%-'Données projet'!$C$26)*(100%-'Données projet'!$C$27)</f>
        <v>132.44185047921144</v>
      </c>
      <c r="J8" s="159">
        <f>IF(OR('Données projet'!B11="",'Données projet'!C11="",'Données projet'!C11=0%),0,SUM(Calculateur!$BL$3:$BL$33)*VLOOKUP('Données projet'!$B$11,Paramètres!$A$1:$I$89,9,0)*B8)</f>
        <v>2827.3462199461442</v>
      </c>
      <c r="K8" s="160">
        <f>J8*(100%-'Données projet'!$C$24)*(100%-'Données projet'!$C$25)*(100%-'Données projet'!$C$26)*(100%-'Données projet'!$C$27)</f>
        <v>2035.6892783612238</v>
      </c>
      <c r="L8" s="161">
        <f t="shared" ca="1" si="2"/>
        <v>3081.2965862280707</v>
      </c>
      <c r="M8" s="25" t="s">
        <v>329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Peuplier Koster</v>
      </c>
      <c r="B9" s="163">
        <f>'Données projet'!D12</f>
        <v>5.8694071175999998</v>
      </c>
      <c r="C9" s="156">
        <f ca="1">IF(OR('Données projet'!B12="",'Données projet'!C12="",'Données projet'!C12=0%),0,Calculateur!CD3)</f>
        <v>142.72679502162805</v>
      </c>
      <c r="D9" s="156">
        <f>IF(OR('Données projet'!B12="",'Données projet'!C12="",'Données projet'!C12=0%),0,Calculateur!CE3)</f>
        <v>372.84389296423961</v>
      </c>
      <c r="E9" s="156">
        <f t="shared" ca="1" si="0"/>
        <v>142.72679502162805</v>
      </c>
      <c r="F9" s="156">
        <f t="shared" ca="1" si="1"/>
        <v>837.72166657217986</v>
      </c>
      <c r="G9" s="156">
        <f ca="1">F9*(100%-'Données projet'!$C$24)*(100%-'Données projet'!$C$25)*(100%-'Données projet'!$C$26)*(100%-'Données projet'!$C$27)</f>
        <v>603.15959993196952</v>
      </c>
      <c r="H9" s="164">
        <f>IF(OR('Données projet'!B12="",'Données projet'!C12="",'Données projet'!C12=0%),0,AVERAGE(Calculateur!$CN$3:$CN$33)*B9)</f>
        <v>190.01626885652223</v>
      </c>
      <c r="I9" s="158">
        <f>H9*(100%-'Données projet'!$C$24)*(100%-'Données projet'!$C$25)*(100%-'Données projet'!$C$26)*(100%-'Données projet'!$C$27)</f>
        <v>136.81171357669604</v>
      </c>
      <c r="J9" s="159">
        <f>IF(OR('Données projet'!B12="",'Données projet'!C12="",'Données projet'!C12=0%),0,SUM(Calculateur!$CG$3:$CG$33)*VLOOKUP('Données projet'!$B$12,Paramètres!$A$1:$I$89,9,0)*B9)</f>
        <v>2176.37615920608</v>
      </c>
      <c r="K9" s="160">
        <f>J9*(100%-'Données projet'!$C$24)*(100%-'Données projet'!$C$25)*(100%-'Données projet'!$C$26)*(100%-'Données projet'!$C$27)</f>
        <v>1566.9908346283778</v>
      </c>
      <c r="L9" s="161">
        <f t="shared" ca="1" si="2"/>
        <v>2306.9621481370432</v>
      </c>
      <c r="M9" s="25" t="s">
        <v>326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4111.445104279157</v>
      </c>
      <c r="G16" s="175">
        <f t="shared" ca="1" si="3"/>
        <v>2960.2404750809928</v>
      </c>
      <c r="H16" s="176">
        <f t="shared" si="3"/>
        <v>866.67792987852863</v>
      </c>
      <c r="I16" s="176">
        <f t="shared" si="3"/>
        <v>624.00810951254061</v>
      </c>
      <c r="J16" s="177">
        <f t="shared" si="3"/>
        <v>10647.093951053354</v>
      </c>
      <c r="K16" s="177">
        <f t="shared" si="3"/>
        <v>7665.9076447584139</v>
      </c>
      <c r="L16" s="178">
        <f t="shared" ca="1" si="3"/>
        <v>11250.156229351947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Peuplier Koster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Peuplier Koster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37" zoomScale="80" zoomScaleNormal="80" workbookViewId="0">
      <selection activeCell="C302" sqref="C302:C32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7.0000129368000001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Peuplier Koster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7.4999899727999999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Peuplier Koster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7.4999899727999999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Peuplier Koster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5.8694071175999998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6</v>
      </c>
      <c r="B23" s="193">
        <f>'Données projet'!D36</f>
        <v>0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7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8</v>
      </c>
      <c r="B25" s="193">
        <f>'Données projet'!D38</f>
        <v>0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40">
        <f ca="1">T23-T24</f>
        <v>0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9</v>
      </c>
      <c r="B26" s="193">
        <f>'Données projet'!D39</f>
        <v>0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n'est pas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10</v>
      </c>
      <c r="B27" s="193">
        <f>'Données projet'!D40</f>
        <v>0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11</v>
      </c>
      <c r="B28" s="193">
        <f>'Données projet'!D41</f>
        <v>0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12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13</v>
      </c>
      <c r="B30" s="193">
        <f>'Données projet'!D43</f>
        <v>0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14</v>
      </c>
      <c r="B31" s="193">
        <f>'Données projet'!D44</f>
        <v>0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15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16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17</v>
      </c>
      <c r="B34" s="193">
        <f>'Données projet'!D47</f>
        <v>397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6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7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8</v>
      </c>
      <c r="B56" s="193">
        <f>'Données projet'!D64</f>
        <v>0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9</v>
      </c>
      <c r="B57" s="193">
        <f>'Données projet'!D65</f>
        <v>0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10</v>
      </c>
      <c r="B58" s="193">
        <f>'Données projet'!D66</f>
        <v>0</v>
      </c>
      <c r="C58" s="204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11</v>
      </c>
      <c r="B59" s="193">
        <f>'Données projet'!D67</f>
        <v>0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12</v>
      </c>
      <c r="B60" s="193">
        <f>'Données projet'!D68</f>
        <v>0</v>
      </c>
      <c r="C60" s="204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13</v>
      </c>
      <c r="B61" s="193">
        <f>'Données projet'!D69</f>
        <v>0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14</v>
      </c>
      <c r="B62" s="193">
        <f>'Données projet'!D70</f>
        <v>0</v>
      </c>
      <c r="C62" s="204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15</v>
      </c>
      <c r="B63" s="193">
        <f>'Données projet'!D71</f>
        <v>0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16</v>
      </c>
      <c r="B64" s="193">
        <f>'Données projet'!D72</f>
        <v>0</v>
      </c>
      <c r="C64" s="204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17</v>
      </c>
      <c r="B65" s="193">
        <f>'Données projet'!D73</f>
        <v>360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Peuplier Koster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5</v>
      </c>
      <c r="B85" s="193">
        <f>'Données projet'!D88</f>
        <v>0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6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7</v>
      </c>
      <c r="B87" s="193">
        <f>'Données projet'!D90</f>
        <v>0</v>
      </c>
      <c r="C87" s="204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8</v>
      </c>
      <c r="B88" s="193">
        <f>'Données projet'!D91</f>
        <v>0</v>
      </c>
      <c r="C88" s="204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9</v>
      </c>
      <c r="B89" s="193">
        <f>'Données projet'!D92</f>
        <v>0</v>
      </c>
      <c r="C89" s="204"/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10</v>
      </c>
      <c r="B90" s="193">
        <f>'Données projet'!D93</f>
        <v>0</v>
      </c>
      <c r="C90" s="204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11</v>
      </c>
      <c r="B91" s="193">
        <f>'Données projet'!D94</f>
        <v>0</v>
      </c>
      <c r="C91" s="204"/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12</v>
      </c>
      <c r="B92" s="193">
        <f>'Données projet'!D95</f>
        <v>0</v>
      </c>
      <c r="C92" s="204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13</v>
      </c>
      <c r="B93" s="193">
        <f>'Données projet'!D96</f>
        <v>0</v>
      </c>
      <c r="C93" s="204"/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14</v>
      </c>
      <c r="B94" s="193">
        <f>'Données projet'!D97</f>
        <v>0</v>
      </c>
      <c r="C94" s="204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15</v>
      </c>
      <c r="B95" s="193">
        <f>'Données projet'!D98</f>
        <v>0</v>
      </c>
      <c r="C95" s="204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16</v>
      </c>
      <c r="B96" s="193">
        <f>'Données projet'!D99</f>
        <v>0</v>
      </c>
      <c r="C96" s="204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17</v>
      </c>
      <c r="B97" s="193">
        <f>'Données projet'!D100</f>
        <v>0</v>
      </c>
      <c r="C97" s="204"/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18</v>
      </c>
      <c r="B98" s="193">
        <f>'Données projet'!D101</f>
        <v>0</v>
      </c>
      <c r="C98" s="204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19</v>
      </c>
      <c r="B99" s="193">
        <f>'Données projet'!D102</f>
        <v>0</v>
      </c>
      <c r="C99" s="204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20</v>
      </c>
      <c r="B100" s="193">
        <f>'Données projet'!D103</f>
        <v>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21</v>
      </c>
      <c r="B101" s="193">
        <f>'Données projet'!D104</f>
        <v>366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Peuplier Koster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6</v>
      </c>
      <c r="B116" s="193">
        <f>'Données projet'!D114</f>
        <v>0</v>
      </c>
      <c r="C116" s="204"/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7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8</v>
      </c>
      <c r="B118" s="193">
        <f>'Données projet'!D116</f>
        <v>0</v>
      </c>
      <c r="C118" s="204"/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9</v>
      </c>
      <c r="B119" s="193">
        <f>'Données projet'!D117</f>
        <v>0</v>
      </c>
      <c r="C119" s="204"/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10</v>
      </c>
      <c r="B120" s="193">
        <f>'Données projet'!D118</f>
        <v>0</v>
      </c>
      <c r="C120" s="204"/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11</v>
      </c>
      <c r="B121" s="193">
        <f>'Données projet'!D119</f>
        <v>0</v>
      </c>
      <c r="C121" s="204"/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12</v>
      </c>
      <c r="B122" s="193">
        <f>'Données projet'!D120</f>
        <v>0</v>
      </c>
      <c r="C122" s="204"/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13</v>
      </c>
      <c r="B123" s="193">
        <f>'Données projet'!D121</f>
        <v>0</v>
      </c>
      <c r="C123" s="204"/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14</v>
      </c>
      <c r="B124" s="193">
        <f>'Données projet'!D122</f>
        <v>0</v>
      </c>
      <c r="C124" s="204"/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15</v>
      </c>
      <c r="B125" s="193">
        <f>'Données projet'!D123</f>
        <v>0</v>
      </c>
      <c r="C125" s="204"/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16</v>
      </c>
      <c r="B126" s="193">
        <f>'Données projet'!D124</f>
        <v>0</v>
      </c>
      <c r="C126" s="204"/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17</v>
      </c>
      <c r="B127" s="193">
        <f>'Données projet'!D125</f>
        <v>360</v>
      </c>
      <c r="C127" s="204"/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/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2024-10-24T13:14:47Z</dcterms:modified>
</cp:coreProperties>
</file>