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Gascogne-Pyrénées\Callian (32) - CAPDEVILLE Ind. et Sébastien\Dossier déposé 3012 2024\"/>
    </mc:Choice>
  </mc:AlternateContent>
  <xr:revisionPtr revIDLastSave="0" documentId="13_ncr:1_{F49CB5D3-CBFE-4D85-A8B4-63E0E21EA094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" i="6" l="1"/>
  <c r="I23" i="6"/>
  <c r="I21" i="6"/>
  <c r="I20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EC4" i="2"/>
  <c r="BR4" i="2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B21" i="2" l="1"/>
  <c r="EW21" i="2"/>
  <c r="HI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G28" i="2" l="1"/>
  <c r="EC28" i="2"/>
  <c r="EB28" i="2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HI29" i="2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EX38" i="2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H44" i="2"/>
  <c r="EC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HH57" i="2"/>
  <c r="EV57" i="2"/>
  <c r="EB57" i="2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W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I70" i="2"/>
  <c r="EB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FS75" i="2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FS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FQ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FS113" i="2"/>
  <c r="HI113" i="2"/>
  <c r="EC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EW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W122" i="2"/>
  <c r="EC122" i="2"/>
  <c r="HH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FS124" i="2"/>
  <c r="HH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V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FS130" i="2"/>
  <c r="HI130" i="2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W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HI134" i="2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HH139" i="2"/>
  <c r="EW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FR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B145" i="2" l="1"/>
  <c r="EA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AB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HH155" i="2" l="1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EB156" i="2" l="1"/>
  <c r="HH156" i="2"/>
  <c r="HG156" i="2"/>
  <c r="A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H158" i="2" l="1"/>
  <c r="EC158" i="2"/>
  <c r="HG158" i="2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 l="1"/>
  <c r="HG160" i="2"/>
  <c r="HI160" i="2"/>
  <c r="HH160" i="2"/>
  <c r="EC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EB161" i="2"/>
  <c r="EA161" i="2"/>
  <c r="FS161" i="2"/>
  <c r="HH161" i="2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C162" i="2" l="1"/>
  <c r="EB162" i="2"/>
  <c r="HH162" i="2"/>
  <c r="HG162" i="2"/>
  <c r="FS162" i="2"/>
  <c r="AU162" i="2"/>
  <c r="EX162" i="2"/>
  <c r="EA162" i="2"/>
  <c r="ED162" i="2" s="1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H163" i="2" l="1"/>
  <c r="HG163" i="2"/>
  <c r="EB163" i="2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X164" i="2" l="1"/>
  <c r="FR164" i="2"/>
  <c r="DH164" i="2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A165" i="2"/>
  <c r="EB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CN165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R167" i="2" l="1"/>
  <c r="HH167" i="2"/>
  <c r="DG167" i="2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H168" i="2" l="1"/>
  <c r="EC168" i="2"/>
  <c r="DI167" i="2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EX169" i="2"/>
  <c r="EA169" i="2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B172" i="2" l="1"/>
  <c r="HG172" i="2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HJ172" i="2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HI175" i="2" l="1"/>
  <c r="AA175" i="2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FS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S178" i="2" l="1"/>
  <c r="EB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I179" i="2" l="1"/>
  <c r="HH179" i="2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I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V185" i="2" l="1"/>
  <c r="EB185" i="2"/>
  <c r="HI185" i="2"/>
  <c r="EW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FS186" i="2"/>
  <c r="EW186" i="2"/>
  <c r="HH186" i="2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EB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H190" i="2" l="1"/>
  <c r="EB190" i="2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H191" i="2" l="1"/>
  <c r="HG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A193" i="2" l="1"/>
  <c r="HI193" i="2"/>
  <c r="EX193" i="2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EB194" i="2"/>
  <c r="CN193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HI195" i="2" l="1"/>
  <c r="DH195" i="2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G196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W197" i="2" l="1"/>
  <c r="AA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EW199" i="2"/>
  <c r="EA199" i="2"/>
  <c r="HH199" i="2"/>
  <c r="EV199" i="2"/>
  <c r="HG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FS201" i="2" l="1"/>
  <c r="EB201" i="2"/>
  <c r="EA201" i="2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I202" i="2" l="1"/>
  <c r="FS202" i="2"/>
  <c r="FZ6" i="2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FS203" i="2" l="1"/>
  <c r="BC34" i="2" a="1"/>
  <c r="BC34" i="2" s="1"/>
  <c r="AH199" i="2" a="1"/>
  <c r="AH199" i="2" s="1"/>
  <c r="BX107" i="2" a="1"/>
  <c r="BX107" i="2" s="1"/>
  <c r="AH19" i="2" a="1"/>
  <c r="AH19" i="2" s="1"/>
  <c r="AH90" i="2" a="1"/>
  <c r="AH90" i="2" s="1"/>
  <c r="AH151" i="2" a="1"/>
  <c r="AH151" i="2" s="1"/>
  <c r="AH163" i="2" a="1"/>
  <c r="AH163" i="2" s="1"/>
  <c r="AH62" i="2" a="1"/>
  <c r="AH62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0" i="2" l="1"/>
  <c r="FZ11" i="2" s="1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93" i="2" l="1"/>
  <c r="BI28" i="2"/>
  <c r="BI39" i="2"/>
  <c r="BI57" i="2"/>
  <c r="BI16" i="2"/>
  <c r="BI128" i="2"/>
  <c r="BI103" i="2"/>
  <c r="BI72" i="2"/>
  <c r="BI47" i="2"/>
  <c r="BI199" i="2"/>
  <c r="BI142" i="2"/>
  <c r="BI183" i="2"/>
  <c r="BI161" i="2"/>
  <c r="BI179" i="2"/>
  <c r="BI198" i="2"/>
  <c r="BI119" i="2"/>
  <c r="BI65" i="2"/>
  <c r="BI145" i="2"/>
  <c r="BI33" i="2"/>
  <c r="BI165" i="2"/>
  <c r="BI116" i="2"/>
  <c r="BI56" i="2"/>
  <c r="BI73" i="2"/>
  <c r="BI35" i="2"/>
  <c r="BI187" i="2"/>
  <c r="BI74" i="2"/>
  <c r="BI150" i="2"/>
  <c r="BI4" i="2"/>
  <c r="BI8" i="2"/>
  <c r="BI158" i="2"/>
  <c r="BI134" i="2"/>
  <c r="BI191" i="2"/>
  <c r="BI126" i="2"/>
  <c r="BI201" i="2"/>
  <c r="BI168" i="2"/>
  <c r="BI52" i="2"/>
  <c r="BI82" i="2"/>
  <c r="BI140" i="2"/>
  <c r="BI86" i="2"/>
  <c r="BI136" i="2"/>
  <c r="BI112" i="2"/>
  <c r="BI41" i="2"/>
  <c r="BI48" i="2"/>
  <c r="BI151" i="2"/>
  <c r="BI153" i="2"/>
  <c r="BI146" i="2"/>
  <c r="BI178" i="2"/>
  <c r="BI131" i="2"/>
  <c r="BI176" i="2"/>
  <c r="BI169" i="2"/>
  <c r="BI177" i="2"/>
  <c r="BI149" i="2"/>
  <c r="BI188" i="2"/>
  <c r="BI132" i="2"/>
  <c r="BI195" i="2"/>
  <c r="BI97" i="2"/>
  <c r="BI99" i="2"/>
  <c r="BI66" i="2"/>
  <c r="BI108" i="2"/>
  <c r="BI3" i="2"/>
  <c r="C8" i="4" s="1"/>
  <c r="E8" i="4" s="1"/>
  <c r="F8" i="4" s="1"/>
  <c r="G8" i="4" s="1"/>
  <c r="L8" i="4" s="1"/>
  <c r="BI22" i="2"/>
  <c r="BI83" i="2"/>
  <c r="BI156" i="2"/>
  <c r="BI125" i="2"/>
  <c r="BI92" i="2"/>
  <c r="BI7" i="2"/>
  <c r="BI123" i="2"/>
  <c r="BI18" i="2"/>
  <c r="BI43" i="2"/>
  <c r="BI110" i="2"/>
  <c r="BI190" i="2"/>
  <c r="BI25" i="2"/>
  <c r="BI147" i="2"/>
  <c r="BI34" i="2"/>
  <c r="BI181" i="2"/>
  <c r="BI137" i="2"/>
  <c r="BI88" i="2"/>
  <c r="BI78" i="2"/>
  <c r="BI76" i="2"/>
  <c r="BI23" i="2"/>
  <c r="BI11" i="2"/>
  <c r="BI62" i="2"/>
  <c r="BI173" i="2"/>
  <c r="BI105" i="2"/>
  <c r="BI63" i="2"/>
  <c r="BI107" i="2"/>
  <c r="BI200" i="2"/>
  <c r="BI30" i="2"/>
  <c r="BI171" i="2"/>
  <c r="BI113" i="2"/>
  <c r="BI104" i="2"/>
  <c r="BI5" i="2"/>
  <c r="BI77" i="2"/>
  <c r="BI130" i="2"/>
  <c r="BI85" i="2"/>
  <c r="BI138" i="2"/>
  <c r="BI186" i="2"/>
  <c r="BI12" i="2"/>
  <c r="BI124" i="2"/>
  <c r="BI95" i="2"/>
  <c r="BI38" i="2"/>
  <c r="BI10" i="2"/>
  <c r="BI60" i="2"/>
  <c r="BI152" i="2"/>
  <c r="BI75" i="2"/>
  <c r="BI144" i="2"/>
  <c r="BI67" i="2"/>
  <c r="BI45" i="2"/>
  <c r="BI118" i="2"/>
  <c r="BI31" i="2"/>
  <c r="BI135" i="2"/>
  <c r="BI182" i="2"/>
  <c r="BI89" i="2"/>
  <c r="BI32" i="2"/>
  <c r="BI148" i="2"/>
  <c r="BI46" i="2"/>
  <c r="BI163" i="2"/>
  <c r="BI94" i="2"/>
  <c r="BI69" i="2"/>
  <c r="BI13" i="2"/>
  <c r="BI170" i="2"/>
  <c r="BI70" i="2"/>
  <c r="BI155" i="2"/>
  <c r="BI87" i="2"/>
  <c r="BI81" i="2"/>
  <c r="BI24" i="2"/>
  <c r="BI196" i="2"/>
  <c r="BI154" i="2"/>
  <c r="BI42" i="2"/>
  <c r="BI192" i="2"/>
  <c r="BI203" i="2"/>
  <c r="BI160" i="2"/>
  <c r="BI98" i="2"/>
  <c r="BI122" i="2"/>
  <c r="BI157" i="2"/>
  <c r="BI59" i="2"/>
  <c r="BI164" i="2"/>
  <c r="BI117" i="2"/>
  <c r="BI101" i="2"/>
  <c r="BI49" i="2"/>
  <c r="BI80" i="2"/>
  <c r="BI91" i="2"/>
  <c r="BI9" i="2"/>
  <c r="BI111" i="2"/>
  <c r="BI167" i="2"/>
  <c r="BI139" i="2"/>
  <c r="BI159" i="2"/>
  <c r="BI27" i="2"/>
  <c r="BI53" i="2"/>
  <c r="BI15" i="2"/>
  <c r="BI37" i="2"/>
  <c r="BI121" i="2"/>
  <c r="BI193" i="2"/>
  <c r="BI55" i="2"/>
  <c r="BI84" i="2"/>
  <c r="BI174" i="2"/>
  <c r="BI115" i="2"/>
  <c r="BI109" i="2"/>
  <c r="BI40" i="2"/>
  <c r="BI197" i="2"/>
  <c r="BI166" i="2"/>
  <c r="BI51" i="2"/>
  <c r="BI68" i="2"/>
  <c r="BI102" i="2"/>
  <c r="BI29" i="2"/>
  <c r="BI61" i="2"/>
  <c r="BI189" i="2"/>
  <c r="BI17" i="2"/>
  <c r="BI6" i="2"/>
  <c r="BI143" i="2"/>
  <c r="BI79" i="2"/>
  <c r="BI54" i="2"/>
  <c r="BI71" i="2"/>
  <c r="BI114" i="2"/>
  <c r="BI14" i="2"/>
  <c r="BI100" i="2"/>
  <c r="BI96" i="2"/>
  <c r="BI162" i="2"/>
  <c r="BI141" i="2"/>
  <c r="BI202" i="2"/>
  <c r="BI44" i="2"/>
  <c r="BI64" i="2"/>
  <c r="BI36" i="2"/>
  <c r="BI106" i="2"/>
  <c r="BI50" i="2"/>
  <c r="BI180" i="2"/>
  <c r="BI185" i="2"/>
  <c r="BI21" i="2"/>
  <c r="BI175" i="2"/>
  <c r="BI58" i="2"/>
  <c r="BI194" i="2"/>
  <c r="BI120" i="2"/>
  <c r="BI127" i="2"/>
  <c r="BI133" i="2"/>
  <c r="BI90" i="2"/>
  <c r="BI26" i="2"/>
  <c r="BI20" i="2"/>
  <c r="BI129" i="2"/>
  <c r="BI172" i="2"/>
  <c r="BI19" i="2"/>
  <c r="BI184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<sst xmlns="http://schemas.openxmlformats.org/spreadsheetml/2006/main" count="1171" uniqueCount="324">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</sst>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3.0390461285480193</c:v>
                </c:pt>
                <c:pt idx="2">
                  <c:v>3.5820082011770853</c:v>
                </c:pt>
                <c:pt idx="3">
                  <c:v>4.2223305446090311</c:v>
                </c:pt>
                <c:pt idx="4">
                  <c:v>4.9775309648326838</c:v>
                </c:pt>
                <c:pt idx="5">
                  <c:v>5.868289290782422</c:v>
                </c:pt>
                <c:pt idx="6">
                  <c:v>6.919019824455714</c:v>
                </c:pt>
                <c:pt idx="7">
                  <c:v>8.1585477106915896</c:v>
                </c:pt>
                <c:pt idx="8">
                  <c:v>9.6209081390309201</c:v>
                </c:pt>
                <c:pt idx="9">
                  <c:v>11.346290739854856</c:v>
                </c:pt>
                <c:pt idx="10">
                  <c:v>13.382155617350314</c:v>
                </c:pt>
                <c:pt idx="11">
                  <c:v>15.784552288259455</c:v>
                </c:pt>
                <c:pt idx="12">
                  <c:v>18.619678504496793</c:v>
                </c:pt>
                <c:pt idx="13">
                  <c:v>21.965722691301057</c:v>
                </c:pt>
                <c:pt idx="14">
                  <c:v>25.915041722051782</c:v>
                </c:pt>
                <c:pt idx="15">
                  <c:v>30.576735202784167</c:v>
                </c:pt>
                <c:pt idx="16">
                  <c:v>36.079688621942118</c:v>
                </c:pt>
                <c:pt idx="17">
                  <c:v>42.576170951428125</c:v>
                </c:pt>
                <c:pt idx="18">
                  <c:v>50.246087939256903</c:v>
                </c:pt>
                <c:pt idx="19">
                  <c:v>59.302010856844014</c:v>
                </c:pt>
                <c:pt idx="20">
                  <c:v>69.995122381643057</c:v>
                </c:pt>
                <c:pt idx="21">
                  <c:v>82.62224723173459</c:v>
                </c:pt>
                <c:pt idx="22">
                  <c:v>97.534165860904935</c:v>
                </c:pt>
                <c:pt idx="23">
                  <c:v>115.14544584424293</c:v>
                </c:pt>
                <c:pt idx="24">
                  <c:v>135.94606856949596</c:v>
                </c:pt>
                <c:pt idx="25">
                  <c:v>160.51517972277688</c:v>
                </c:pt>
                <c:pt idx="26">
                  <c:v>158.31162856255909</c:v>
                </c:pt>
                <c:pt idx="27">
                  <c:v>173.72181380960993</c:v>
                </c:pt>
                <c:pt idx="28">
                  <c:v>189.09987078266829</c:v>
                </c:pt>
                <c:pt idx="29">
                  <c:v>204.4487812295192</c:v>
                </c:pt>
                <c:pt idx="30">
                  <c:v>219.7710421086791</c:v>
                </c:pt>
                <c:pt idx="31">
                  <c:v>190.85545638141195</c:v>
                </c:pt>
                <c:pt idx="32">
                  <c:v>207.95327986760662</c:v>
                </c:pt>
                <c:pt idx="33">
                  <c:v>225.01864445582441</c:v>
                </c:pt>
                <c:pt idx="34">
                  <c:v>242.05435856211645</c:v>
                </c:pt>
                <c:pt idx="35">
                  <c:v>259.06280274212457</c:v>
                </c:pt>
                <c:pt idx="36">
                  <c:v>231.57421272848475</c:v>
                </c:pt>
                <c:pt idx="37">
                  <c:v>249.90766763554748</c:v>
                </c:pt>
                <c:pt idx="38">
                  <c:v>268.21062796009522</c:v>
                </c:pt>
                <c:pt idx="39">
                  <c:v>286.48546717612544</c:v>
                </c:pt>
                <c:pt idx="40">
                  <c:v>304.73423115701871</c:v>
                </c:pt>
                <c:pt idx="41">
                  <c:v>277.35142797945286</c:v>
                </c:pt>
                <c:pt idx="42">
                  <c:v>295.61299167711019</c:v>
                </c:pt>
                <c:pt idx="43">
                  <c:v>313.84940040812506</c:v>
                </c:pt>
                <c:pt idx="44">
                  <c:v>332.06232108561716</c:v>
                </c:pt>
                <c:pt idx="45">
                  <c:v>350.25322285655176</c:v>
                </c:pt>
                <c:pt idx="46">
                  <c:v>322.95870071836066</c:v>
                </c:pt>
                <c:pt idx="47">
                  <c:v>341.16043929184929</c:v>
                </c:pt>
                <c:pt idx="48">
                  <c:v>359.34082988600289</c:v>
                </c:pt>
                <c:pt idx="49">
                  <c:v>377.50110417225511</c:v>
                </c:pt>
                <c:pt idx="50">
                  <c:v>395.64236567985591</c:v>
                </c:pt>
                <c:pt idx="51">
                  <c:v>367.55861487745005</c:v>
                </c:pt>
                <c:pt idx="52">
                  <c:v>384.84622774857991</c:v>
                </c:pt>
                <c:pt idx="53">
                  <c:v>402.11697226951833</c:v>
                </c:pt>
                <c:pt idx="54">
                  <c:v>419.3716746420655</c:v>
                </c:pt>
                <c:pt idx="55">
                  <c:v>436.61108755732999</c:v>
                </c:pt>
                <c:pt idx="56">
                  <c:v>407.29503182673926</c:v>
                </c:pt>
                <c:pt idx="57">
                  <c:v>423.25185013219863</c:v>
                </c:pt>
                <c:pt idx="58">
                  <c:v>439.19572410876793</c:v>
                </c:pt>
                <c:pt idx="59">
                  <c:v>455.12718968444216</c:v>
                </c:pt>
                <c:pt idx="60">
                  <c:v>471.04674221919907</c:v>
                </c:pt>
                <c:pt idx="61">
                  <c:v>441.34933861906433</c:v>
                </c:pt>
                <c:pt idx="62">
                  <c:v>456.84878825602203</c:v>
                </c:pt>
                <c:pt idx="63">
                  <c:v>472.33700882458038</c:v>
                </c:pt>
                <c:pt idx="64">
                  <c:v>487.81442026172436</c:v>
                </c:pt>
                <c:pt idx="65">
                  <c:v>503.28141369303734</c:v>
                </c:pt>
                <c:pt idx="66">
                  <c:v>472.76708100439265</c:v>
                </c:pt>
                <c:pt idx="67">
                  <c:v>487.38463458913157</c:v>
                </c:pt>
                <c:pt idx="68">
                  <c:v>501.99288641186803</c:v>
                </c:pt>
                <c:pt idx="69">
                  <c:v>516.59214520035437</c:v>
                </c:pt>
                <c:pt idx="70">
                  <c:v>531.18270081556841</c:v>
                </c:pt>
                <c:pt idx="71">
                  <c:v>499.84518527975473</c:v>
                </c:pt>
                <c:pt idx="72">
                  <c:v>513.58713617235435</c:v>
                </c:pt>
                <c:pt idx="73">
                  <c:v>527.32132625656061</c:v>
                </c:pt>
                <c:pt idx="74">
                  <c:v>541.04798608205112</c:v>
                </c:pt>
                <c:pt idx="75">
                  <c:v>554.76733354996077</c:v>
                </c:pt>
                <c:pt idx="76">
                  <c:v>522.60105914818303</c:v>
                </c:pt>
                <c:pt idx="77">
                  <c:v>535.47242448427448</c:v>
                </c:pt>
                <c:pt idx="78">
                  <c:v>548.33728653000833</c:v>
                </c:pt>
                <c:pt idx="79">
                  <c:v>561.19581932256801</c:v>
                </c:pt>
                <c:pt idx="80">
                  <c:v>574.04818827573672</c:v>
                </c:pt>
                <c:pt idx="81">
                  <c:v>541.04798608205112</c:v>
                </c:pt>
                <c:pt idx="82">
                  <c:v>553.05280785462708</c:v>
                </c:pt>
                <c:pt idx="83">
                  <c:v>565.052169900031</c:v>
                </c:pt>
                <c:pt idx="84">
                  <c:v>577.04620447443301</c:v>
                </c:pt>
                <c:pt idx="85">
                  <c:v>589.03503788906949</c:v>
                </c:pt>
                <c:pt idx="86">
                  <c:v>555.6245547409618</c:v>
                </c:pt>
                <c:pt idx="87">
                  <c:v>567.19434879973335</c:v>
                </c:pt>
                <c:pt idx="88">
                  <c:v>578.75921052572869</c:v>
                </c:pt>
                <c:pt idx="89">
                  <c:v>590.31925234777327</c:v>
                </c:pt>
                <c:pt idx="90">
                  <c:v>601.87458193334146</c:v>
                </c:pt>
                <c:pt idx="91">
                  <c:v>567.622764260351</c:v>
                </c:pt>
                <c:pt idx="92">
                  <c:v>578.33096894357823</c:v>
                </c:pt>
                <c:pt idx="93">
                  <c:v>589.03503788906926</c:v>
                </c:pt>
                <c:pt idx="94">
                  <c:v>599.73505683441124</c:v>
                </c:pt>
                <c:pt idx="95">
                  <c:v>610.43110820893185</c:v>
                </c:pt>
                <c:pt idx="96">
                  <c:v>575.76138030334971</c:v>
                </c:pt>
                <c:pt idx="97">
                  <c:v>586.03831044894594</c:v>
                </c:pt>
                <c:pt idx="98">
                  <c:v>596.31148632519512</c:v>
                </c:pt>
                <c:pt idx="99">
                  <c:v>606.58098171901804</c:v>
                </c:pt>
                <c:pt idx="100">
                  <c:v>616.84686771553993</c:v>
                </c:pt>
                <c:pt idx="101">
                  <c:v>581.32852138015028</c:v>
                </c:pt>
                <c:pt idx="102">
                  <c:v>590.74731089993566</c:v>
                </c:pt>
                <c:pt idx="103">
                  <c:v>600.16297452894207</c:v>
                </c:pt>
                <c:pt idx="104">
                  <c:v>609.57556821855781</c:v>
                </c:pt>
                <c:pt idx="105">
                  <c:v>618.98514605149205</c:v>
                </c:pt>
                <c:pt idx="106">
                  <c:v>585.1820440334875</c:v>
                </c:pt>
                <c:pt idx="107">
                  <c:v>594.17154727265404</c:v>
                </c:pt>
                <c:pt idx="108">
                  <c:v>603.15822108828741</c:v>
                </c:pt>
                <c:pt idx="109">
                  <c:v>612.14211357944725</c:v>
                </c:pt>
                <c:pt idx="110">
                  <c:v>621.12327131831148</c:v>
                </c:pt>
                <c:pt idx="111">
                  <c:v>588.60695345087686</c:v>
                </c:pt>
                <c:pt idx="112">
                  <c:v>596.7394549467042</c:v>
                </c:pt>
                <c:pt idx="113">
                  <c:v>604.8696516932963</c:v>
                </c:pt>
                <c:pt idx="114">
                  <c:v>612.99757903900309</c:v>
                </c:pt>
                <c:pt idx="115">
                  <c:v>621.12327131831159</c:v>
                </c:pt>
                <c:pt idx="116">
                  <c:v>590.31925234777316</c:v>
                </c:pt>
                <c:pt idx="117">
                  <c:v>598.02332252750432</c:v>
                </c:pt>
                <c:pt idx="118">
                  <c:v>605.72532925827124</c:v>
                </c:pt>
                <c:pt idx="119">
                  <c:v>613.42530247966863</c:v>
                </c:pt>
                <c:pt idx="120">
                  <c:v>621.12327131831182</c:v>
                </c:pt>
                <c:pt idx="121">
                  <c:v>3.1675048597887374E-12</c:v>
                </c:pt>
                <c:pt idx="122">
                  <c:v>3.1675048597887374E-12</c:v>
                </c:pt>
                <c:pt idx="123">
                  <c:v>3.1675048597887374E-12</c:v>
                </c:pt>
                <c:pt idx="124">
                  <c:v>3.1675048597887374E-12</c:v>
                </c:pt>
                <c:pt idx="125">
                  <c:v>3.1675048597887374E-12</c:v>
                </c:pt>
                <c:pt idx="126">
                  <c:v>3.1675048597887374E-12</c:v>
                </c:pt>
                <c:pt idx="127">
                  <c:v>3.1675048597887374E-12</c:v>
                </c:pt>
                <c:pt idx="128">
                  <c:v>3.1675048597887374E-12</c:v>
                </c:pt>
                <c:pt idx="129">
                  <c:v>3.1675048597887374E-12</c:v>
                </c:pt>
                <c:pt idx="130">
                  <c:v>3.1675048597887374E-12</c:v>
                </c:pt>
                <c:pt idx="131">
                  <c:v>3.1675048597887374E-12</c:v>
                </c:pt>
                <c:pt idx="132">
                  <c:v>3.1675048597887374E-12</c:v>
                </c:pt>
                <c:pt idx="133">
                  <c:v>3.1675048597887374E-12</c:v>
                </c:pt>
                <c:pt idx="134">
                  <c:v>3.1675048597887374E-12</c:v>
                </c:pt>
                <c:pt idx="135">
                  <c:v>3.1675048597887374E-12</c:v>
                </c:pt>
                <c:pt idx="136">
                  <c:v>3.1675048597887374E-12</c:v>
                </c:pt>
                <c:pt idx="137">
                  <c:v>3.1675048597887374E-12</c:v>
                </c:pt>
                <c:pt idx="138">
                  <c:v>3.1675048597887374E-12</c:v>
                </c:pt>
                <c:pt idx="139">
                  <c:v>3.1675048597887374E-12</c:v>
                </c:pt>
                <c:pt idx="140">
                  <c:v>3.1675048597887374E-12</c:v>
                </c:pt>
                <c:pt idx="141">
                  <c:v>3.1675048597887374E-12</c:v>
                </c:pt>
                <c:pt idx="142">
                  <c:v>3.1675048597887374E-12</c:v>
                </c:pt>
                <c:pt idx="143">
                  <c:v>3.1675048597887374E-12</c:v>
                </c:pt>
                <c:pt idx="144">
                  <c:v>3.1675048597887374E-12</c:v>
                </c:pt>
                <c:pt idx="145">
                  <c:v>3.1675048597887374E-12</c:v>
                </c:pt>
                <c:pt idx="146">
                  <c:v>3.1675048597887374E-12</c:v>
                </c:pt>
                <c:pt idx="147">
                  <c:v>3.1675048597887374E-12</c:v>
                </c:pt>
                <c:pt idx="148">
                  <c:v>3.1675048597887374E-12</c:v>
                </c:pt>
                <c:pt idx="149">
                  <c:v>3.1675048597887374E-12</c:v>
                </c:pt>
                <c:pt idx="150">
                  <c:v>3.1675048597887374E-12</c:v>
                </c:pt>
                <c:pt idx="151">
                  <c:v>3.1675048597887374E-12</c:v>
                </c:pt>
                <c:pt idx="152">
                  <c:v>3.1675048597887374E-12</c:v>
                </c:pt>
                <c:pt idx="153">
                  <c:v>3.1675048597887374E-12</c:v>
                </c:pt>
                <c:pt idx="154">
                  <c:v>3.1675048597887374E-12</c:v>
                </c:pt>
                <c:pt idx="155">
                  <c:v>3.1675048597887374E-12</c:v>
                </c:pt>
                <c:pt idx="156">
                  <c:v>3.1675048597887374E-12</c:v>
                </c:pt>
                <c:pt idx="157">
                  <c:v>3.1675048597887374E-12</c:v>
                </c:pt>
                <c:pt idx="158">
                  <c:v>3.1675048597887374E-12</c:v>
                </c:pt>
                <c:pt idx="159">
                  <c:v>3.1675048597887374E-12</c:v>
                </c:pt>
                <c:pt idx="160">
                  <c:v>3.1675048597887374E-12</c:v>
                </c:pt>
                <c:pt idx="161">
                  <c:v>3.1675048597887374E-12</c:v>
                </c:pt>
                <c:pt idx="162">
                  <c:v>3.1675048597887374E-12</c:v>
                </c:pt>
                <c:pt idx="163">
                  <c:v>3.1675048597887374E-12</c:v>
                </c:pt>
                <c:pt idx="164">
                  <c:v>3.1675048597887374E-12</c:v>
                </c:pt>
                <c:pt idx="165">
                  <c:v>3.1675048597887374E-12</c:v>
                </c:pt>
                <c:pt idx="166">
                  <c:v>3.1675048597887374E-12</c:v>
                </c:pt>
                <c:pt idx="167">
                  <c:v>3.1675048597887374E-12</c:v>
                </c:pt>
                <c:pt idx="168">
                  <c:v>3.1675048597887374E-12</c:v>
                </c:pt>
                <c:pt idx="169">
                  <c:v>3.1675048597887374E-12</c:v>
                </c:pt>
                <c:pt idx="170">
                  <c:v>3.1675048597887374E-12</c:v>
                </c:pt>
                <c:pt idx="171">
                  <c:v>3.1675048597887374E-12</c:v>
                </c:pt>
                <c:pt idx="172">
                  <c:v>3.1675048597887374E-12</c:v>
                </c:pt>
                <c:pt idx="173">
                  <c:v>3.1675048597887374E-12</c:v>
                </c:pt>
                <c:pt idx="174">
                  <c:v>3.1675048597887374E-12</c:v>
                </c:pt>
                <c:pt idx="175">
                  <c:v>3.1675048597887374E-12</c:v>
                </c:pt>
                <c:pt idx="176">
                  <c:v>3.1675048597887374E-12</c:v>
                </c:pt>
                <c:pt idx="177">
                  <c:v>3.1675048597887374E-12</c:v>
                </c:pt>
                <c:pt idx="178">
                  <c:v>3.1675048597887374E-12</c:v>
                </c:pt>
                <c:pt idx="179">
                  <c:v>3.1675048597887374E-12</c:v>
                </c:pt>
                <c:pt idx="180">
                  <c:v>3.1675048597887374E-12</c:v>
                </c:pt>
                <c:pt idx="181">
                  <c:v>3.1675048597887374E-12</c:v>
                </c:pt>
                <c:pt idx="182">
                  <c:v>3.1675048597887374E-12</c:v>
                </c:pt>
                <c:pt idx="183">
                  <c:v>3.1675048597887374E-12</c:v>
                </c:pt>
                <c:pt idx="184">
                  <c:v>3.1675048597887374E-12</c:v>
                </c:pt>
                <c:pt idx="185">
                  <c:v>3.1675048597887374E-12</c:v>
                </c:pt>
                <c:pt idx="186">
                  <c:v>3.1675048597887374E-12</c:v>
                </c:pt>
                <c:pt idx="187">
                  <c:v>3.1675048597887374E-12</c:v>
                </c:pt>
                <c:pt idx="188">
                  <c:v>3.1675048597887374E-12</c:v>
                </c:pt>
                <c:pt idx="189">
                  <c:v>3.1675048597887374E-12</c:v>
                </c:pt>
                <c:pt idx="190">
                  <c:v>3.1675048597887374E-12</c:v>
                </c:pt>
                <c:pt idx="191">
                  <c:v>3.1675048597887374E-12</c:v>
                </c:pt>
                <c:pt idx="192">
                  <c:v>3.1675048597887374E-12</c:v>
                </c:pt>
                <c:pt idx="193">
                  <c:v>3.1675048597887374E-12</c:v>
                </c:pt>
                <c:pt idx="194">
                  <c:v>3.1675048597887374E-12</c:v>
                </c:pt>
                <c:pt idx="195">
                  <c:v>3.1675048597887374E-12</c:v>
                </c:pt>
                <c:pt idx="196">
                  <c:v>3.1675048597887374E-12</c:v>
                </c:pt>
                <c:pt idx="197">
                  <c:v>3.1675048597887374E-12</c:v>
                </c:pt>
                <c:pt idx="198">
                  <c:v>3.1675048597887374E-12</c:v>
                </c:pt>
                <c:pt idx="199">
                  <c:v>3.1675048597887374E-12</c:v>
                </c:pt>
                <c:pt idx="200">
                  <c:v>3.1675048597887374E-12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2.041236883655702</c:v>
                </c:pt>
                <c:pt idx="2">
                  <c:v>2.4054338375970299</c:v>
                </c:pt>
                <c:pt idx="3">
                  <c:v>2.8348524456321367</c:v>
                </c:pt>
                <c:pt idx="4">
                  <c:v>3.3412137824850512</c:v>
                </c:pt>
                <c:pt idx="5">
                  <c:v>3.9383522466078329</c:v>
                </c:pt>
                <c:pt idx="6">
                  <c:v>4.6425977577742294</c:v>
                </c:pt>
                <c:pt idx="7">
                  <c:v>5.4732272706025169</c:v>
                </c:pt>
                <c:pt idx="8">
                  <c:v>6.4529982078339678</c:v>
                </c:pt>
                <c:pt idx="9">
                  <c:v>7.6087787143986167</c:v>
                </c:pt>
                <c:pt idx="10">
                  <c:v>8.9722923501024585</c:v>
                </c:pt>
                <c:pt idx="11">
                  <c:v>10.580998051961648</c:v>
                </c:pt>
                <c:pt idx="12">
                  <c:v>12.479129997659642</c:v>
                </c:pt>
                <c:pt idx="13">
                  <c:v>14.718926496846356</c:v>
                </c:pt>
                <c:pt idx="14">
                  <c:v>17.362082354293207</c:v>
                </c:pt>
                <c:pt idx="15">
                  <c:v>20.481465438869272</c:v>
                </c:pt>
                <c:pt idx="16">
                  <c:v>24.163145633157498</c:v>
                </c:pt>
                <c:pt idx="17">
                  <c:v>28.508793141245317</c:v>
                </c:pt>
                <c:pt idx="18">
                  <c:v>33.638513546496135</c:v>
                </c:pt>
                <c:pt idx="19">
                  <c:v>39.6941993324807</c:v>
                </c:pt>
                <c:pt idx="20">
                  <c:v>46.843492158551648</c:v>
                </c:pt>
                <c:pt idx="21">
                  <c:v>55.284467430880447</c:v>
                </c:pt>
                <c:pt idx="22">
                  <c:v>65.251173120335537</c:v>
                </c:pt>
                <c:pt idx="23">
                  <c:v>77.020178930651795</c:v>
                </c:pt>
                <c:pt idx="24">
                  <c:v>90.91832050088675</c:v>
                </c:pt>
                <c:pt idx="25">
                  <c:v>107.33185714845045</c:v>
                </c:pt>
                <c:pt idx="26">
                  <c:v>105.85986329993615</c:v>
                </c:pt>
                <c:pt idx="27">
                  <c:v>116.15363531799953</c:v>
                </c:pt>
                <c:pt idx="28">
                  <c:v>126.42510605145075</c:v>
                </c:pt>
                <c:pt idx="29">
                  <c:v>136.67634522884143</c:v>
                </c:pt>
                <c:pt idx="30">
                  <c:v>146.90908607065367</c:v>
                </c:pt>
                <c:pt idx="31">
                  <c:v>127.59766496907207</c:v>
                </c:pt>
                <c:pt idx="32">
                  <c:v>139.0168314226114</c:v>
                </c:pt>
                <c:pt idx="33">
                  <c:v>150.41346709462948</c:v>
                </c:pt>
                <c:pt idx="34">
                  <c:v>161.78952139845862</c:v>
                </c:pt>
                <c:pt idx="35">
                  <c:v>173.14664675554295</c:v>
                </c:pt>
                <c:pt idx="36">
                  <c:v>154.791212197665</c:v>
                </c:pt>
                <c:pt idx="37">
                  <c:v>167.03353298741311</c:v>
                </c:pt>
                <c:pt idx="38">
                  <c:v>179.25468649117633</c:v>
                </c:pt>
                <c:pt idx="39">
                  <c:v>191.4563202147981</c:v>
                </c:pt>
                <c:pt idx="40">
                  <c:v>203.63985426583085</c:v>
                </c:pt>
                <c:pt idx="41">
                  <c:v>185.3578498069385</c:v>
                </c:pt>
                <c:pt idx="42">
                  <c:v>197.55026855954517</c:v>
                </c:pt>
                <c:pt idx="43">
                  <c:v>209.72522642798995</c:v>
                </c:pt>
                <c:pt idx="44">
                  <c:v>221.88388047112758</c:v>
                </c:pt>
                <c:pt idx="45">
                  <c:v>234.02725047186379</c:v>
                </c:pt>
                <c:pt idx="46">
                  <c:v>215.80652476655186</c:v>
                </c:pt>
                <c:pt idx="47">
                  <c:v>227.95741694598019</c:v>
                </c:pt>
                <c:pt idx="48">
                  <c:v>240.09349079551149</c:v>
                </c:pt>
                <c:pt idx="49">
                  <c:v>252.2156012585265</c:v>
                </c:pt>
                <c:pt idx="50">
                  <c:v>264.32451433073032</c:v>
                </c:pt>
                <c:pt idx="51">
                  <c:v>245.57898442621953</c:v>
                </c:pt>
                <c:pt idx="52">
                  <c:v>257.11837729187437</c:v>
                </c:pt>
                <c:pt idx="53">
                  <c:v>268.64606128457058</c:v>
                </c:pt>
                <c:pt idx="54">
                  <c:v>280.16260989796984</c:v>
                </c:pt>
                <c:pt idx="55">
                  <c:v>291.66854559956113</c:v>
                </c:pt>
                <c:pt idx="56">
                  <c:v>272.10217038608988</c:v>
                </c:pt>
                <c:pt idx="57">
                  <c:v>282.75235306773908</c:v>
                </c:pt>
                <c:pt idx="58">
                  <c:v>293.39355066781309</c:v>
                </c:pt>
                <c:pt idx="59">
                  <c:v>304.02613519144228</c:v>
                </c:pt>
                <c:pt idx="60">
                  <c:v>314.65045048417028</c:v>
                </c:pt>
                <c:pt idx="61">
                  <c:v>294.83088185618158</c:v>
                </c:pt>
                <c:pt idx="62">
                  <c:v>305.17510260314947</c:v>
                </c:pt>
                <c:pt idx="63">
                  <c:v>315.51152888688677</c:v>
                </c:pt>
                <c:pt idx="64">
                  <c:v>325.84045219937371</c:v>
                </c:pt>
                <c:pt idx="65">
                  <c:v>336.16214403365626</c:v>
                </c:pt>
                <c:pt idx="66">
                  <c:v>315.79854343698963</c:v>
                </c:pt>
                <c:pt idx="67">
                  <c:v>325.55363652329214</c:v>
                </c:pt>
                <c:pt idx="68">
                  <c:v>335.30227295269947</c:v>
                </c:pt>
                <c:pt idx="69">
                  <c:v>345.04466702323003</c:v>
                </c:pt>
                <c:pt idx="70">
                  <c:v>354.78101993685908</c:v>
                </c:pt>
                <c:pt idx="71">
                  <c:v>333.86904643331849</c:v>
                </c:pt>
                <c:pt idx="72">
                  <c:v>343.03938028579159</c:v>
                </c:pt>
                <c:pt idx="73">
                  <c:v>352.2043271076123</c:v>
                </c:pt>
                <c:pt idx="74">
                  <c:v>361.36404693084415</c:v>
                </c:pt>
                <c:pt idx="75">
                  <c:v>370.51869100778373</c:v>
                </c:pt>
                <c:pt idx="76">
                  <c:v>349.05447410055427</c:v>
                </c:pt>
                <c:pt idx="77">
                  <c:v>357.64353127694972</c:v>
                </c:pt>
                <c:pt idx="78">
                  <c:v>366.22807430704478</c:v>
                </c:pt>
                <c:pt idx="79">
                  <c:v>374.80822399573418</c:v>
                </c:pt>
                <c:pt idx="80">
                  <c:v>383.38409516212931</c:v>
                </c:pt>
                <c:pt idx="81">
                  <c:v>361.36404693084415</c:v>
                </c:pt>
                <c:pt idx="82">
                  <c:v>369.37463311055041</c:v>
                </c:pt>
                <c:pt idx="83">
                  <c:v>377.38142951525697</c:v>
                </c:pt>
                <c:pt idx="84">
                  <c:v>385.3845279482918</c:v>
                </c:pt>
                <c:pt idx="85">
                  <c:v>393.38401608641107</c:v>
                </c:pt>
                <c:pt idx="86">
                  <c:v>371.09069104114775</c:v>
                </c:pt>
                <c:pt idx="87">
                  <c:v>378.81082287270959</c:v>
                </c:pt>
                <c:pt idx="88">
                  <c:v>386.52753101095124</c:v>
                </c:pt>
                <c:pt idx="89">
                  <c:v>394.24089349639422</c:v>
                </c:pt>
                <c:pt idx="90">
                  <c:v>401.9509850645498</c:v>
                </c:pt>
                <c:pt idx="91">
                  <c:v>379.09668743989397</c:v>
                </c:pt>
                <c:pt idx="92">
                  <c:v>386.24178713849125</c:v>
                </c:pt>
                <c:pt idx="93">
                  <c:v>393.3840160864109</c:v>
                </c:pt>
                <c:pt idx="94">
                  <c:v>400.52343379691297</c:v>
                </c:pt>
                <c:pt idx="95">
                  <c:v>407.6600974868872</c:v>
                </c:pt>
                <c:pt idx="96">
                  <c:v>384.52722731702647</c:v>
                </c:pt>
                <c:pt idx="97">
                  <c:v>391.38447786967771</c:v>
                </c:pt>
                <c:pt idx="98">
                  <c:v>398.23912246132272</c:v>
                </c:pt>
                <c:pt idx="99">
                  <c:v>405.09121230987404</c:v>
                </c:pt>
                <c:pt idx="100">
                  <c:v>411.94079675783945</c:v>
                </c:pt>
                <c:pt idx="101">
                  <c:v>388.24189801221218</c:v>
                </c:pt>
                <c:pt idx="102">
                  <c:v>394.52651032175982</c:v>
                </c:pt>
                <c:pt idx="103">
                  <c:v>400.80895284839471</c:v>
                </c:pt>
                <c:pt idx="104">
                  <c:v>407.08926442980334</c:v>
                </c:pt>
                <c:pt idx="105">
                  <c:v>413.36748260656083</c:v>
                </c:pt>
                <c:pt idx="106">
                  <c:v>390.81314057721039</c:v>
                </c:pt>
                <c:pt idx="107">
                  <c:v>396.81128385496095</c:v>
                </c:pt>
                <c:pt idx="108">
                  <c:v>402.80746313739934</c:v>
                </c:pt>
                <c:pt idx="109">
                  <c:v>408.80171181165457</c:v>
                </c:pt>
                <c:pt idx="110">
                  <c:v>414.79406220499692</c:v>
                </c:pt>
                <c:pt idx="111">
                  <c:v>393.09838129270605</c:v>
                </c:pt>
                <c:pt idx="112">
                  <c:v>398.52467686288395</c:v>
                </c:pt>
                <c:pt idx="113">
                  <c:v>403.9493726313213</c:v>
                </c:pt>
                <c:pt idx="114">
                  <c:v>409.37249313446256</c:v>
                </c:pt>
                <c:pt idx="115">
                  <c:v>414.79406220499692</c:v>
                </c:pt>
                <c:pt idx="116">
                  <c:v>394.24089349639416</c:v>
                </c:pt>
                <c:pt idx="117">
                  <c:v>399.38131349358173</c:v>
                </c:pt>
                <c:pt idx="118">
                  <c:v>404.52030118343015</c:v>
                </c:pt>
                <c:pt idx="119">
                  <c:v>409.65787734799011</c:v>
                </c:pt>
                <c:pt idx="120">
                  <c:v>414.79406220499715</c:v>
                </c:pt>
                <c:pt idx="121">
                  <c:v>2.1921244502123119E-12</c:v>
                </c:pt>
                <c:pt idx="122">
                  <c:v>2.1921244502123119E-12</c:v>
                </c:pt>
                <c:pt idx="123">
                  <c:v>2.1921244502123119E-12</c:v>
                </c:pt>
                <c:pt idx="124">
                  <c:v>2.1921244502123119E-12</c:v>
                </c:pt>
                <c:pt idx="125">
                  <c:v>2.1921244502123119E-12</c:v>
                </c:pt>
                <c:pt idx="126">
                  <c:v>2.1921244502123119E-12</c:v>
                </c:pt>
                <c:pt idx="127">
                  <c:v>2.1921244502123119E-12</c:v>
                </c:pt>
                <c:pt idx="128">
                  <c:v>2.1921244502123119E-12</c:v>
                </c:pt>
                <c:pt idx="129">
                  <c:v>2.1921244502123119E-12</c:v>
                </c:pt>
                <c:pt idx="130">
                  <c:v>2.1921244502123119E-12</c:v>
                </c:pt>
                <c:pt idx="131">
                  <c:v>2.1921244502123119E-12</c:v>
                </c:pt>
                <c:pt idx="132">
                  <c:v>2.1921244502123119E-12</c:v>
                </c:pt>
                <c:pt idx="133">
                  <c:v>2.1921244502123119E-12</c:v>
                </c:pt>
                <c:pt idx="134">
                  <c:v>2.1921244502123119E-12</c:v>
                </c:pt>
                <c:pt idx="135">
                  <c:v>2.1921244502123119E-12</c:v>
                </c:pt>
                <c:pt idx="136">
                  <c:v>2.1921244502123119E-12</c:v>
                </c:pt>
                <c:pt idx="137">
                  <c:v>2.1921244502123119E-12</c:v>
                </c:pt>
                <c:pt idx="138">
                  <c:v>2.1921244502123119E-12</c:v>
                </c:pt>
                <c:pt idx="139">
                  <c:v>2.1921244502123119E-12</c:v>
                </c:pt>
                <c:pt idx="140">
                  <c:v>2.1921244502123119E-12</c:v>
                </c:pt>
                <c:pt idx="141">
                  <c:v>2.1921244502123119E-12</c:v>
                </c:pt>
                <c:pt idx="142">
                  <c:v>2.1921244502123119E-12</c:v>
                </c:pt>
                <c:pt idx="143">
                  <c:v>2.1921244502123119E-12</c:v>
                </c:pt>
                <c:pt idx="144">
                  <c:v>2.1921244502123119E-12</c:v>
                </c:pt>
                <c:pt idx="145">
                  <c:v>2.1921244502123119E-12</c:v>
                </c:pt>
                <c:pt idx="146">
                  <c:v>2.1921244502123119E-12</c:v>
                </c:pt>
                <c:pt idx="147">
                  <c:v>2.1921244502123119E-12</c:v>
                </c:pt>
                <c:pt idx="148">
                  <c:v>2.1921244502123119E-12</c:v>
                </c:pt>
                <c:pt idx="149">
                  <c:v>2.1921244502123119E-12</c:v>
                </c:pt>
                <c:pt idx="150">
                  <c:v>2.1921244502123119E-12</c:v>
                </c:pt>
                <c:pt idx="151">
                  <c:v>2.1921244502123119E-12</c:v>
                </c:pt>
                <c:pt idx="152">
                  <c:v>2.1921244502123119E-12</c:v>
                </c:pt>
                <c:pt idx="153">
                  <c:v>2.1921244502123119E-12</c:v>
                </c:pt>
                <c:pt idx="154">
                  <c:v>2.1921244502123119E-12</c:v>
                </c:pt>
                <c:pt idx="155">
                  <c:v>2.1921244502123119E-12</c:v>
                </c:pt>
                <c:pt idx="156">
                  <c:v>2.1921244502123119E-12</c:v>
                </c:pt>
                <c:pt idx="157">
                  <c:v>2.1921244502123119E-12</c:v>
                </c:pt>
                <c:pt idx="158">
                  <c:v>2.1921244502123119E-12</c:v>
                </c:pt>
                <c:pt idx="159">
                  <c:v>2.1921244502123119E-12</c:v>
                </c:pt>
                <c:pt idx="160">
                  <c:v>2.1921244502123119E-12</c:v>
                </c:pt>
                <c:pt idx="161">
                  <c:v>2.1921244502123119E-12</c:v>
                </c:pt>
                <c:pt idx="162">
                  <c:v>2.1921244502123119E-12</c:v>
                </c:pt>
                <c:pt idx="163">
                  <c:v>2.1921244502123119E-12</c:v>
                </c:pt>
                <c:pt idx="164">
                  <c:v>2.1921244502123119E-12</c:v>
                </c:pt>
                <c:pt idx="165">
                  <c:v>2.1921244502123119E-12</c:v>
                </c:pt>
                <c:pt idx="166">
                  <c:v>2.1921244502123119E-12</c:v>
                </c:pt>
                <c:pt idx="167">
                  <c:v>2.1921244502123119E-12</c:v>
                </c:pt>
                <c:pt idx="168">
                  <c:v>2.1921244502123119E-12</c:v>
                </c:pt>
                <c:pt idx="169">
                  <c:v>2.1921244502123119E-12</c:v>
                </c:pt>
                <c:pt idx="170">
                  <c:v>2.1921244502123119E-12</c:v>
                </c:pt>
                <c:pt idx="171">
                  <c:v>2.1921244502123119E-12</c:v>
                </c:pt>
                <c:pt idx="172">
                  <c:v>2.1921244502123119E-12</c:v>
                </c:pt>
                <c:pt idx="173">
                  <c:v>2.1921244502123119E-12</c:v>
                </c:pt>
                <c:pt idx="174">
                  <c:v>2.1921244502123119E-12</c:v>
                </c:pt>
                <c:pt idx="175">
                  <c:v>2.1921244502123119E-12</c:v>
                </c:pt>
                <c:pt idx="176">
                  <c:v>2.1921244502123119E-12</c:v>
                </c:pt>
                <c:pt idx="177">
                  <c:v>2.1921244502123119E-12</c:v>
                </c:pt>
                <c:pt idx="178">
                  <c:v>2.1921244502123119E-12</c:v>
                </c:pt>
                <c:pt idx="179">
                  <c:v>2.1921244502123119E-12</c:v>
                </c:pt>
                <c:pt idx="180">
                  <c:v>2.1921244502123119E-12</c:v>
                </c:pt>
                <c:pt idx="181">
                  <c:v>2.1921244502123119E-12</c:v>
                </c:pt>
                <c:pt idx="182">
                  <c:v>2.1921244502123119E-12</c:v>
                </c:pt>
                <c:pt idx="183">
                  <c:v>2.1921244502123119E-12</c:v>
                </c:pt>
                <c:pt idx="184">
                  <c:v>2.1921244502123119E-12</c:v>
                </c:pt>
                <c:pt idx="185">
                  <c:v>2.1921244502123119E-12</c:v>
                </c:pt>
                <c:pt idx="186">
                  <c:v>2.1921244502123119E-12</c:v>
                </c:pt>
                <c:pt idx="187">
                  <c:v>2.1921244502123119E-12</c:v>
                </c:pt>
                <c:pt idx="188">
                  <c:v>2.1921244502123119E-12</c:v>
                </c:pt>
                <c:pt idx="189">
                  <c:v>2.1921244502123119E-12</c:v>
                </c:pt>
                <c:pt idx="190">
                  <c:v>2.1921244502123119E-12</c:v>
                </c:pt>
                <c:pt idx="191">
                  <c:v>2.1921244502123119E-12</c:v>
                </c:pt>
                <c:pt idx="192">
                  <c:v>2.1921244502123119E-12</c:v>
                </c:pt>
                <c:pt idx="193">
                  <c:v>2.1921244502123119E-12</c:v>
                </c:pt>
                <c:pt idx="194">
                  <c:v>2.1921244502123119E-12</c:v>
                </c:pt>
                <c:pt idx="195">
                  <c:v>2.1921244502123119E-12</c:v>
                </c:pt>
                <c:pt idx="196">
                  <c:v>2.1921244502123119E-12</c:v>
                </c:pt>
                <c:pt idx="197">
                  <c:v>2.1921244502123119E-12</c:v>
                </c:pt>
                <c:pt idx="198">
                  <c:v>2.1921244502123119E-12</c:v>
                </c:pt>
                <c:pt idx="199">
                  <c:v>2.1921244502123119E-12</c:v>
                </c:pt>
                <c:pt idx="200">
                  <c:v>2.1921244502123119E-12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2.5722677930534954</c:v>
                </c:pt>
                <c:pt idx="2">
                  <c:v>2.9621842966335081</c:v>
                </c:pt>
                <c:pt idx="3">
                  <c:v>3.4114188821959091</c:v>
                </c:pt>
                <c:pt idx="4">
                  <c:v>3.9290262090163979</c:v>
                </c:pt>
                <c:pt idx="5">
                  <c:v>4.5254474752842002</c:v>
                </c:pt>
                <c:pt idx="6">
                  <c:v>5.2127233645153082</c:v>
                </c:pt>
                <c:pt idx="7">
                  <c:v>6.0047397856420881</c:v>
                </c:pt>
                <c:pt idx="8">
                  <c:v>6.9175114696400923</c:v>
                </c:pt>
                <c:pt idx="9">
                  <c:v>7.9695092689740825</c:v>
                </c:pt>
                <c:pt idx="10">
                  <c:v>9.182037911044862</c:v>
                </c:pt>
                <c:pt idx="11">
                  <c:v>10.579672002068646</c:v>
                </c:pt>
                <c:pt idx="12">
                  <c:v>12.190759285230749</c:v>
                </c:pt>
                <c:pt idx="13">
                  <c:v>14.048001551728753</c:v>
                </c:pt>
                <c:pt idx="14">
                  <c:v>16.189125214584752</c:v>
                </c:pt>
                <c:pt idx="15">
                  <c:v>18.657655416524996</c:v>
                </c:pt>
                <c:pt idx="16">
                  <c:v>37.727903052748182</c:v>
                </c:pt>
                <c:pt idx="17">
                  <c:v>56.524479039485897</c:v>
                </c:pt>
                <c:pt idx="18">
                  <c:v>75.154841693095705</c:v>
                </c:pt>
                <c:pt idx="19">
                  <c:v>93.666644730165203</c:v>
                </c:pt>
                <c:pt idx="20">
                  <c:v>112.08679847851981</c:v>
                </c:pt>
                <c:pt idx="21">
                  <c:v>91.358114590501216</c:v>
                </c:pt>
                <c:pt idx="22">
                  <c:v>110.93786523534801</c:v>
                </c:pt>
                <c:pt idx="23">
                  <c:v>130.43254725556011</c:v>
                </c:pt>
                <c:pt idx="24">
                  <c:v>149.85670075971819</c:v>
                </c:pt>
                <c:pt idx="25">
                  <c:v>169.2207687360675</c:v>
                </c:pt>
                <c:pt idx="26">
                  <c:v>147.57479897505831</c:v>
                </c:pt>
                <c:pt idx="27">
                  <c:v>165.80757333279715</c:v>
                </c:pt>
                <c:pt idx="28">
                  <c:v>183.99299337840969</c:v>
                </c:pt>
                <c:pt idx="29">
                  <c:v>202.13640047813919</c:v>
                </c:pt>
                <c:pt idx="30">
                  <c:v>220.24209728386407</c:v>
                </c:pt>
                <c:pt idx="31">
                  <c:v>196.84864368888995</c:v>
                </c:pt>
                <c:pt idx="32">
                  <c:v>213.07952740360665</c:v>
                </c:pt>
                <c:pt idx="33">
                  <c:v>229.28193394845096</c:v>
                </c:pt>
                <c:pt idx="34">
                  <c:v>245.45815924548182</c:v>
                </c:pt>
                <c:pt idx="35">
                  <c:v>261.61017170872896</c:v>
                </c:pt>
                <c:pt idx="36">
                  <c:v>236.43267338641553</c:v>
                </c:pt>
                <c:pt idx="37">
                  <c:v>250.71952474895636</c:v>
                </c:pt>
                <c:pt idx="38">
                  <c:v>264.98792439409277</c:v>
                </c:pt>
                <c:pt idx="39">
                  <c:v>279.23900597474045</c:v>
                </c:pt>
                <c:pt idx="40">
                  <c:v>293.47377793906486</c:v>
                </c:pt>
                <c:pt idx="41">
                  <c:v>266.48883532606988</c:v>
                </c:pt>
                <c:pt idx="42">
                  <c:v>278.86419064084299</c:v>
                </c:pt>
                <c:pt idx="43">
                  <c:v>291.22722867703141</c:v>
                </c:pt>
                <c:pt idx="44">
                  <c:v>303.57854617810898</c:v>
                </c:pt>
                <c:pt idx="45">
                  <c:v>315.91868734548348</c:v>
                </c:pt>
                <c:pt idx="46">
                  <c:v>292.72497100977256</c:v>
                </c:pt>
                <c:pt idx="47">
                  <c:v>303.20443066214938</c:v>
                </c:pt>
                <c:pt idx="48">
                  <c:v>313.67583358542839</c:v>
                </c:pt>
                <c:pt idx="49">
                  <c:v>324.1394867954732</c:v>
                </c:pt>
                <c:pt idx="50">
                  <c:v>334.59567585759856</c:v>
                </c:pt>
                <c:pt idx="51">
                  <c:v>319.28230720978132</c:v>
                </c:pt>
                <c:pt idx="52">
                  <c:v>328.24815038016737</c:v>
                </c:pt>
                <c:pt idx="53">
                  <c:v>337.20858844808708</c:v>
                </c:pt>
                <c:pt idx="54">
                  <c:v>346.16378539221324</c:v>
                </c:pt>
                <c:pt idx="55">
                  <c:v>355.11389600890431</c:v>
                </c:pt>
                <c:pt idx="56">
                  <c:v>342.05996063814388</c:v>
                </c:pt>
                <c:pt idx="57">
                  <c:v>349.52066488969587</c:v>
                </c:pt>
                <c:pt idx="58">
                  <c:v>356.97787588797127</c:v>
                </c:pt>
                <c:pt idx="59">
                  <c:v>364.43167696167421</c:v>
                </c:pt>
                <c:pt idx="60">
                  <c:v>371.88214774985937</c:v>
                </c:pt>
                <c:pt idx="61">
                  <c:v>361.45056054643447</c:v>
                </c:pt>
                <c:pt idx="62">
                  <c:v>367.78479630486135</c:v>
                </c:pt>
                <c:pt idx="63">
                  <c:v>374.11665105684841</c:v>
                </c:pt>
                <c:pt idx="64">
                  <c:v>380.4461708244699</c:v>
                </c:pt>
                <c:pt idx="65">
                  <c:v>386.77339997206701</c:v>
                </c:pt>
                <c:pt idx="66">
                  <c:v>377.46786129486026</c:v>
                </c:pt>
                <c:pt idx="67">
                  <c:v>383.05177541071208</c:v>
                </c:pt>
                <c:pt idx="68">
                  <c:v>388.63392005694874</c:v>
                </c:pt>
                <c:pt idx="69">
                  <c:v>394.21432426135442</c:v>
                </c:pt>
                <c:pt idx="70">
                  <c:v>399.79301616201764</c:v>
                </c:pt>
                <c:pt idx="71">
                  <c:v>393.47036990588703</c:v>
                </c:pt>
                <c:pt idx="72">
                  <c:v>398.30553085732464</c:v>
                </c:pt>
                <c:pt idx="73">
                  <c:v>403.13942078264904</c:v>
                </c:pt>
                <c:pt idx="74">
                  <c:v>407.97205708923889</c:v>
                </c:pt>
                <c:pt idx="75">
                  <c:v>412.80345673799064</c:v>
                </c:pt>
                <c:pt idx="76">
                  <c:v>403.88298445816548</c:v>
                </c:pt>
                <c:pt idx="77">
                  <c:v>407.97205708923889</c:v>
                </c:pt>
                <c:pt idx="78">
                  <c:v>412.06024430985235</c:v>
                </c:pt>
                <c:pt idx="79">
                  <c:v>416.14755615430431</c:v>
                </c:pt>
                <c:pt idx="80">
                  <c:v>420.23400244347653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25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25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25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25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25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25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25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25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25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25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25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25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25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25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25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25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25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25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46" zoomScale="90" zoomScaleNormal="90" workbookViewId="0">
      <selection activeCell="F44" sqref="F44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8" t="s">
        <v>190</v>
      </c>
      <c r="D1" s="298"/>
      <c r="E1" s="298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5" t="s">
        <v>231</v>
      </c>
      <c r="B5" s="305"/>
      <c r="C5" s="26">
        <v>9.0299999999999994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12</v>
      </c>
      <c r="C9" s="35">
        <v>0.75</v>
      </c>
      <c r="D9" s="36">
        <f t="shared" ref="D9:D18" si="0">C9*$C$5</f>
        <v>6.7724999999999991</v>
      </c>
      <c r="E9" s="37">
        <v>120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50</v>
      </c>
      <c r="C10" s="35">
        <v>0.08</v>
      </c>
      <c r="D10" s="36">
        <f t="shared" si="0"/>
        <v>0.72239999999999993</v>
      </c>
      <c r="E10" s="37">
        <v>115</v>
      </c>
      <c r="F10" s="38" t="str">
        <f t="array" ref="F10">IF(E10="","",IF(INDEX(A:A,MAX(IF(ISNUMBER($A$62:$A$81),ROW($A$62:$A$81),"")))&lt;&gt;E10,"Corrigez : révolution incorrecte","OK"))</f>
        <v>Corrigez : révolution incorrecte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21</v>
      </c>
      <c r="C11" s="35">
        <v>0.08</v>
      </c>
      <c r="D11" s="36">
        <f>C11*$C$5</f>
        <v>0.72239999999999993</v>
      </c>
      <c r="E11" s="37">
        <v>80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>C12*$C$5</f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0.90999999999999992</v>
      </c>
      <c r="D19" s="41">
        <f>SUM(D9:D18)</f>
        <v>8.2172999999999998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pubescent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25</v>
      </c>
      <c r="B36" s="63">
        <v>71</v>
      </c>
      <c r="C36" s="63">
        <v>1</v>
      </c>
      <c r="D36" s="63">
        <v>8</v>
      </c>
      <c r="E36" s="54"/>
      <c r="F36" s="54"/>
      <c r="G36" s="54"/>
      <c r="H36" s="54">
        <v>1</v>
      </c>
      <c r="I36" s="52">
        <f>IFERROR(B36/A36,"")</f>
        <v>2.84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30</v>
      </c>
      <c r="B37" s="63">
        <v>98</v>
      </c>
      <c r="C37" s="63">
        <v>2</v>
      </c>
      <c r="D37" s="63">
        <v>21</v>
      </c>
      <c r="E37" s="54"/>
      <c r="F37" s="54">
        <v>0.3</v>
      </c>
      <c r="G37" s="54">
        <v>0.7</v>
      </c>
      <c r="H37" s="54"/>
      <c r="I37" s="56">
        <f t="shared" ref="I37:I55" si="1">IF(A37&lt;&gt;0,(B37-(B36-D36))/(A37-A36),"")</f>
        <v>7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35</v>
      </c>
      <c r="B38" s="63">
        <v>116</v>
      </c>
      <c r="C38" s="63">
        <v>3</v>
      </c>
      <c r="D38" s="63">
        <v>21</v>
      </c>
      <c r="E38" s="54"/>
      <c r="F38" s="54"/>
      <c r="G38" s="54"/>
      <c r="H38" s="54"/>
      <c r="I38" s="56">
        <f t="shared" si="1"/>
        <v>7.8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40</v>
      </c>
      <c r="B39" s="63">
        <v>137</v>
      </c>
      <c r="C39" s="63">
        <v>4</v>
      </c>
      <c r="D39" s="63">
        <v>21</v>
      </c>
      <c r="E39" s="54"/>
      <c r="F39" s="54"/>
      <c r="G39" s="54"/>
      <c r="H39" s="54"/>
      <c r="I39" s="52">
        <f t="shared" si="1"/>
        <v>8.4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45</v>
      </c>
      <c r="B40" s="63">
        <v>158</v>
      </c>
      <c r="C40" s="63">
        <v>5</v>
      </c>
      <c r="D40" s="63">
        <v>21</v>
      </c>
      <c r="E40" s="54"/>
      <c r="F40" s="54"/>
      <c r="G40" s="54"/>
      <c r="H40" s="54"/>
      <c r="I40" s="52">
        <f t="shared" si="1"/>
        <v>8.4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50</v>
      </c>
      <c r="B41" s="63">
        <v>179</v>
      </c>
      <c r="C41" s="63">
        <v>6</v>
      </c>
      <c r="D41" s="63">
        <v>21</v>
      </c>
      <c r="E41" s="54"/>
      <c r="F41" s="54"/>
      <c r="G41" s="54"/>
      <c r="H41" s="54"/>
      <c r="I41" s="56">
        <f t="shared" si="1"/>
        <v>8.4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55</v>
      </c>
      <c r="B42" s="63">
        <v>198</v>
      </c>
      <c r="C42" s="63">
        <v>7</v>
      </c>
      <c r="D42" s="63">
        <v>21</v>
      </c>
      <c r="E42" s="54"/>
      <c r="F42" s="54"/>
      <c r="G42" s="54"/>
      <c r="H42" s="54"/>
      <c r="I42" s="56">
        <f t="shared" si="1"/>
        <v>8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60</v>
      </c>
      <c r="B43" s="63">
        <v>214</v>
      </c>
      <c r="C43" s="63">
        <v>8</v>
      </c>
      <c r="D43" s="63">
        <v>21</v>
      </c>
      <c r="E43" s="54"/>
      <c r="F43" s="54"/>
      <c r="G43" s="54"/>
      <c r="H43" s="54"/>
      <c r="I43" s="52">
        <f t="shared" si="1"/>
        <v>7.4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65</v>
      </c>
      <c r="B44" s="63">
        <v>229</v>
      </c>
      <c r="C44" s="63">
        <v>9</v>
      </c>
      <c r="D44" s="63">
        <v>21</v>
      </c>
      <c r="E44" s="54"/>
      <c r="F44" s="54"/>
      <c r="G44" s="54"/>
      <c r="H44" s="54"/>
      <c r="I44" s="52">
        <f t="shared" si="1"/>
        <v>7.2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70</v>
      </c>
      <c r="B45" s="63">
        <v>242</v>
      </c>
      <c r="C45" s="63">
        <v>10</v>
      </c>
      <c r="D45" s="63">
        <v>21</v>
      </c>
      <c r="E45" s="54"/>
      <c r="F45" s="54"/>
      <c r="G45" s="54"/>
      <c r="H45" s="54"/>
      <c r="I45" s="52">
        <f t="shared" si="1"/>
        <v>6.8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75</v>
      </c>
      <c r="B46" s="63">
        <v>253</v>
      </c>
      <c r="C46" s="63">
        <v>11</v>
      </c>
      <c r="D46" s="63">
        <v>21</v>
      </c>
      <c r="E46" s="54"/>
      <c r="F46" s="54"/>
      <c r="G46" s="54"/>
      <c r="H46" s="54"/>
      <c r="I46" s="52">
        <f t="shared" si="1"/>
        <v>6.4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>
        <v>80</v>
      </c>
      <c r="B47" s="63">
        <v>262</v>
      </c>
      <c r="C47" s="63">
        <v>12</v>
      </c>
      <c r="D47" s="63">
        <v>21</v>
      </c>
      <c r="E47" s="54"/>
      <c r="F47" s="54"/>
      <c r="G47" s="54"/>
      <c r="H47" s="54"/>
      <c r="I47" s="52">
        <f t="shared" si="1"/>
        <v>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>
        <v>85</v>
      </c>
      <c r="B48" s="63">
        <v>269</v>
      </c>
      <c r="C48" s="63">
        <v>13</v>
      </c>
      <c r="D48" s="63">
        <v>21</v>
      </c>
      <c r="E48" s="54"/>
      <c r="F48" s="54"/>
      <c r="G48" s="54"/>
      <c r="H48" s="54"/>
      <c r="I48" s="52">
        <f t="shared" si="1"/>
        <v>5.6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>
        <v>90</v>
      </c>
      <c r="B49" s="63">
        <v>275</v>
      </c>
      <c r="C49" s="63">
        <v>14</v>
      </c>
      <c r="D49" s="63">
        <v>21</v>
      </c>
      <c r="E49" s="54"/>
      <c r="F49" s="54"/>
      <c r="G49" s="54"/>
      <c r="H49" s="54"/>
      <c r="I49" s="52">
        <f t="shared" si="1"/>
        <v>5.4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>
        <v>95</v>
      </c>
      <c r="B50" s="53">
        <v>279</v>
      </c>
      <c r="C50" s="53">
        <v>15</v>
      </c>
      <c r="D50" s="53">
        <v>21</v>
      </c>
      <c r="E50" s="54"/>
      <c r="F50" s="54"/>
      <c r="G50" s="54"/>
      <c r="H50" s="54"/>
      <c r="I50" s="52">
        <f t="shared" si="1"/>
        <v>5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>
        <v>100</v>
      </c>
      <c r="B51" s="53">
        <v>282</v>
      </c>
      <c r="C51" s="53">
        <v>16</v>
      </c>
      <c r="D51" s="53">
        <v>21</v>
      </c>
      <c r="E51" s="54"/>
      <c r="F51" s="54"/>
      <c r="G51" s="54"/>
      <c r="H51" s="54"/>
      <c r="I51" s="52">
        <f t="shared" si="1"/>
        <v>4.8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>
        <v>105</v>
      </c>
      <c r="B52" s="53">
        <v>283</v>
      </c>
      <c r="C52" s="53">
        <v>17</v>
      </c>
      <c r="D52" s="53">
        <v>20</v>
      </c>
      <c r="E52" s="54"/>
      <c r="F52" s="54"/>
      <c r="G52" s="54"/>
      <c r="H52" s="54"/>
      <c r="I52" s="52">
        <f t="shared" si="1"/>
        <v>4.4000000000000004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>
        <v>110</v>
      </c>
      <c r="B53" s="53">
        <v>284</v>
      </c>
      <c r="C53" s="53">
        <v>18</v>
      </c>
      <c r="D53" s="53">
        <v>19</v>
      </c>
      <c r="E53" s="54"/>
      <c r="F53" s="54"/>
      <c r="G53" s="54"/>
      <c r="H53" s="54"/>
      <c r="I53" s="52">
        <f t="shared" si="1"/>
        <v>4.2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>
        <v>115</v>
      </c>
      <c r="B54" s="53">
        <v>284</v>
      </c>
      <c r="C54" s="53">
        <v>19</v>
      </c>
      <c r="D54" s="53">
        <v>18</v>
      </c>
      <c r="E54" s="54"/>
      <c r="F54" s="54"/>
      <c r="G54" s="54"/>
      <c r="H54" s="54"/>
      <c r="I54" s="52">
        <f t="shared" si="1"/>
        <v>3.8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>
        <v>120</v>
      </c>
      <c r="B55" s="53">
        <v>284</v>
      </c>
      <c r="C55" s="53">
        <v>20</v>
      </c>
      <c r="D55" s="53">
        <v>284</v>
      </c>
      <c r="E55" s="54"/>
      <c r="F55" s="54"/>
      <c r="G55" s="54"/>
      <c r="H55" s="54"/>
      <c r="I55" s="52">
        <f t="shared" si="1"/>
        <v>3.6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Tilleul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25</v>
      </c>
      <c r="B62" s="63">
        <v>71</v>
      </c>
      <c r="C62" s="63">
        <v>1</v>
      </c>
      <c r="D62" s="63">
        <v>8</v>
      </c>
      <c r="E62" s="54"/>
      <c r="F62" s="54"/>
      <c r="G62" s="54">
        <v>1</v>
      </c>
      <c r="H62" s="54"/>
      <c r="I62" s="56">
        <f>IFERROR(B62/A62,"")</f>
        <v>2.84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30</v>
      </c>
      <c r="B63" s="63">
        <v>98</v>
      </c>
      <c r="C63" s="63">
        <v>2</v>
      </c>
      <c r="D63" s="63">
        <v>21</v>
      </c>
      <c r="E63" s="54"/>
      <c r="F63" s="54">
        <v>0.3</v>
      </c>
      <c r="G63" s="54">
        <v>0.7</v>
      </c>
      <c r="H63" s="54"/>
      <c r="I63" s="52">
        <f>IF(A63&lt;&gt;0,(B63-(B62-D62))/(A63-A62),"")</f>
        <v>7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35</v>
      </c>
      <c r="B64" s="63">
        <v>116</v>
      </c>
      <c r="C64" s="63">
        <v>3</v>
      </c>
      <c r="D64" s="63">
        <v>21</v>
      </c>
      <c r="E64" s="54"/>
      <c r="F64" s="54"/>
      <c r="G64" s="54"/>
      <c r="H64" s="54"/>
      <c r="I64" s="52">
        <f>IF(A64&lt;&gt;0,(B64-(B63-D63))/(A64-A63),"")</f>
        <v>7.8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40</v>
      </c>
      <c r="B65" s="63">
        <v>137</v>
      </c>
      <c r="C65" s="63">
        <v>4</v>
      </c>
      <c r="D65" s="63">
        <v>21</v>
      </c>
      <c r="E65" s="54"/>
      <c r="F65" s="54"/>
      <c r="G65" s="54"/>
      <c r="H65" s="54"/>
      <c r="I65" s="52">
        <f>IF(A65&lt;&gt;0,(B65-(B64-D64))/(A65-A64),"")</f>
        <v>8.4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45</v>
      </c>
      <c r="B66" s="63">
        <v>158</v>
      </c>
      <c r="C66" s="63">
        <v>5</v>
      </c>
      <c r="D66" s="63">
        <v>21</v>
      </c>
      <c r="E66" s="54"/>
      <c r="F66" s="54"/>
      <c r="G66" s="54"/>
      <c r="H66" s="54"/>
      <c r="I66" s="52">
        <f t="shared" ref="I66:I81" si="2">IF(A66&lt;&gt;0,(B66-(B65-D65))/(A66-A65),"")</f>
        <v>8.4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50</v>
      </c>
      <c r="B67" s="63">
        <v>179</v>
      </c>
      <c r="C67" s="63">
        <v>6</v>
      </c>
      <c r="D67" s="63">
        <v>21</v>
      </c>
      <c r="E67" s="54"/>
      <c r="F67" s="54"/>
      <c r="G67" s="54"/>
      <c r="H67" s="54"/>
      <c r="I67" s="52">
        <f t="shared" si="2"/>
        <v>8.4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55</v>
      </c>
      <c r="B68" s="63">
        <v>198</v>
      </c>
      <c r="C68" s="63">
        <v>7</v>
      </c>
      <c r="D68" s="63">
        <v>21</v>
      </c>
      <c r="E68" s="54"/>
      <c r="F68" s="54"/>
      <c r="G68" s="54"/>
      <c r="H68" s="54"/>
      <c r="I68" s="52">
        <f t="shared" si="2"/>
        <v>8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283">
        <v>60</v>
      </c>
      <c r="B69" s="63">
        <v>214</v>
      </c>
      <c r="C69" s="63">
        <v>8</v>
      </c>
      <c r="D69" s="63">
        <v>21</v>
      </c>
      <c r="E69" s="54"/>
      <c r="F69" s="54"/>
      <c r="G69" s="54"/>
      <c r="H69" s="54"/>
      <c r="I69" s="52">
        <f t="shared" si="2"/>
        <v>7.4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283">
        <v>65</v>
      </c>
      <c r="B70" s="63">
        <v>229</v>
      </c>
      <c r="C70" s="63">
        <v>9</v>
      </c>
      <c r="D70" s="63">
        <v>21</v>
      </c>
      <c r="E70" s="54"/>
      <c r="F70" s="54"/>
      <c r="G70" s="54"/>
      <c r="H70" s="54"/>
      <c r="I70" s="52">
        <f t="shared" si="2"/>
        <v>7.2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283">
        <v>70</v>
      </c>
      <c r="B71" s="63">
        <v>242</v>
      </c>
      <c r="C71" s="63">
        <v>10</v>
      </c>
      <c r="D71" s="63">
        <v>21</v>
      </c>
      <c r="E71" s="54"/>
      <c r="F71" s="54"/>
      <c r="G71" s="54"/>
      <c r="H71" s="54"/>
      <c r="I71" s="52">
        <f t="shared" si="2"/>
        <v>6.8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283">
        <v>75</v>
      </c>
      <c r="B72" s="63">
        <v>253</v>
      </c>
      <c r="C72" s="63">
        <v>11</v>
      </c>
      <c r="D72" s="63">
        <v>21</v>
      </c>
      <c r="E72" s="54"/>
      <c r="F72" s="54"/>
      <c r="G72" s="54"/>
      <c r="H72" s="54"/>
      <c r="I72" s="52">
        <f t="shared" si="2"/>
        <v>6.4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283">
        <v>80</v>
      </c>
      <c r="B73" s="63">
        <v>262</v>
      </c>
      <c r="C73" s="63">
        <v>12</v>
      </c>
      <c r="D73" s="63">
        <v>21</v>
      </c>
      <c r="E73" s="54"/>
      <c r="F73" s="54"/>
      <c r="G73" s="54"/>
      <c r="H73" s="54"/>
      <c r="I73" s="52">
        <f t="shared" si="2"/>
        <v>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283">
        <v>85</v>
      </c>
      <c r="B74" s="63">
        <v>269</v>
      </c>
      <c r="C74" s="63">
        <v>13</v>
      </c>
      <c r="D74" s="63">
        <v>21</v>
      </c>
      <c r="E74" s="54"/>
      <c r="F74" s="54"/>
      <c r="G74" s="54"/>
      <c r="H74" s="54"/>
      <c r="I74" s="52">
        <f t="shared" si="2"/>
        <v>5.6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283">
        <v>90</v>
      </c>
      <c r="B75" s="63">
        <v>275</v>
      </c>
      <c r="C75" s="63">
        <v>14</v>
      </c>
      <c r="D75" s="63">
        <v>21</v>
      </c>
      <c r="E75" s="54"/>
      <c r="F75" s="54"/>
      <c r="G75" s="54"/>
      <c r="H75" s="54"/>
      <c r="I75" s="52">
        <f t="shared" si="2"/>
        <v>5.4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283">
        <v>95</v>
      </c>
      <c r="B76" s="53">
        <v>279</v>
      </c>
      <c r="C76" s="53">
        <v>15</v>
      </c>
      <c r="D76" s="53">
        <v>21</v>
      </c>
      <c r="E76" s="54"/>
      <c r="F76" s="54"/>
      <c r="G76" s="54"/>
      <c r="H76" s="54"/>
      <c r="I76" s="52">
        <f t="shared" si="2"/>
        <v>5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283">
        <v>100</v>
      </c>
      <c r="B77" s="53">
        <v>282</v>
      </c>
      <c r="C77" s="53">
        <v>16</v>
      </c>
      <c r="D77" s="53">
        <v>21</v>
      </c>
      <c r="E77" s="54"/>
      <c r="F77" s="54"/>
      <c r="G77" s="54"/>
      <c r="H77" s="54"/>
      <c r="I77" s="52">
        <f t="shared" si="2"/>
        <v>4.8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283">
        <v>105</v>
      </c>
      <c r="B78" s="53">
        <v>283</v>
      </c>
      <c r="C78" s="53">
        <v>17</v>
      </c>
      <c r="D78" s="53">
        <v>20</v>
      </c>
      <c r="E78" s="54"/>
      <c r="F78" s="54"/>
      <c r="G78" s="54"/>
      <c r="H78" s="54"/>
      <c r="I78" s="52">
        <f t="shared" si="2"/>
        <v>4.4000000000000004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283">
        <v>110</v>
      </c>
      <c r="B79" s="53">
        <v>284</v>
      </c>
      <c r="C79" s="53">
        <v>18</v>
      </c>
      <c r="D79" s="53">
        <v>19</v>
      </c>
      <c r="E79" s="54"/>
      <c r="F79" s="54"/>
      <c r="G79" s="54"/>
      <c r="H79" s="54"/>
      <c r="I79" s="52">
        <f t="shared" si="2"/>
        <v>4.2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283">
        <v>115</v>
      </c>
      <c r="B80" s="53">
        <v>284</v>
      </c>
      <c r="C80" s="53">
        <v>19</v>
      </c>
      <c r="D80" s="53">
        <v>18</v>
      </c>
      <c r="E80" s="54"/>
      <c r="F80" s="54"/>
      <c r="G80" s="54"/>
      <c r="H80" s="54"/>
      <c r="I80" s="52">
        <f t="shared" si="2"/>
        <v>3.8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283">
        <v>120</v>
      </c>
      <c r="B81" s="53">
        <v>284</v>
      </c>
      <c r="C81" s="53">
        <v>20</v>
      </c>
      <c r="D81" s="53">
        <v>284</v>
      </c>
      <c r="E81" s="54"/>
      <c r="F81" s="54"/>
      <c r="G81" s="54"/>
      <c r="H81" s="54"/>
      <c r="I81" s="52">
        <f t="shared" si="2"/>
        <v>3.6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Erable champêtre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15</v>
      </c>
      <c r="B88" s="63">
        <v>9</v>
      </c>
      <c r="C88" s="53">
        <v>1</v>
      </c>
      <c r="D88" s="63">
        <v>0</v>
      </c>
      <c r="E88" s="54"/>
      <c r="F88" s="54"/>
      <c r="G88" s="54">
        <v>1</v>
      </c>
      <c r="H88" s="54"/>
      <c r="I88" s="56">
        <f>IFERROR(B88/A88,"")</f>
        <v>0.6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20</v>
      </c>
      <c r="B89" s="63">
        <v>57</v>
      </c>
      <c r="C89" s="53">
        <v>2</v>
      </c>
      <c r="D89" s="63">
        <v>21</v>
      </c>
      <c r="E89" s="54"/>
      <c r="F89" s="54"/>
      <c r="G89" s="54">
        <v>1</v>
      </c>
      <c r="H89" s="54"/>
      <c r="I89" s="56">
        <f t="shared" ref="I89:I107" si="3">IF(A89&lt;&gt;0,(B89-(B88-D88))/(A89-A88),"")</f>
        <v>9.6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25</v>
      </c>
      <c r="B90" s="63">
        <v>87</v>
      </c>
      <c r="C90" s="53">
        <v>3</v>
      </c>
      <c r="D90" s="63">
        <v>21</v>
      </c>
      <c r="E90" s="54"/>
      <c r="F90" s="54">
        <v>0.3</v>
      </c>
      <c r="G90" s="54">
        <v>0.7</v>
      </c>
      <c r="H90" s="54"/>
      <c r="I90" s="56">
        <f t="shared" si="3"/>
        <v>10.199999999999999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30</v>
      </c>
      <c r="B91" s="63">
        <v>114</v>
      </c>
      <c r="C91" s="53">
        <v>4</v>
      </c>
      <c r="D91" s="63">
        <v>21</v>
      </c>
      <c r="E91" s="54"/>
      <c r="F91" s="54">
        <v>0.4</v>
      </c>
      <c r="G91" s="54">
        <v>0.6</v>
      </c>
      <c r="H91" s="54"/>
      <c r="I91" s="56">
        <f t="shared" si="3"/>
        <v>9.6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35</v>
      </c>
      <c r="B92" s="63">
        <v>136</v>
      </c>
      <c r="C92" s="53">
        <v>5</v>
      </c>
      <c r="D92" s="63">
        <v>21</v>
      </c>
      <c r="E92" s="54"/>
      <c r="F92" s="54"/>
      <c r="G92" s="54"/>
      <c r="H92" s="54"/>
      <c r="I92" s="56">
        <f t="shared" si="3"/>
        <v>8.6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40</v>
      </c>
      <c r="B93" s="63">
        <v>153</v>
      </c>
      <c r="C93" s="53">
        <v>6</v>
      </c>
      <c r="D93" s="63">
        <v>21</v>
      </c>
      <c r="E93" s="54"/>
      <c r="F93" s="54"/>
      <c r="G93" s="54"/>
      <c r="H93" s="54"/>
      <c r="I93" s="56">
        <f t="shared" si="3"/>
        <v>7.6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63">
        <v>45</v>
      </c>
      <c r="B94" s="63">
        <v>165</v>
      </c>
      <c r="C94" s="63">
        <v>7</v>
      </c>
      <c r="D94" s="63">
        <v>18</v>
      </c>
      <c r="E94" s="93"/>
      <c r="F94" s="93"/>
      <c r="G94" s="93"/>
      <c r="H94" s="93"/>
      <c r="I94" s="56">
        <f t="shared" si="3"/>
        <v>6.6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50</v>
      </c>
      <c r="B95" s="63">
        <v>175</v>
      </c>
      <c r="C95" s="63">
        <v>8</v>
      </c>
      <c r="D95" s="63">
        <v>13</v>
      </c>
      <c r="E95" s="93"/>
      <c r="F95" s="93"/>
      <c r="G95" s="93"/>
      <c r="H95" s="93"/>
      <c r="I95" s="56">
        <f t="shared" si="3"/>
        <v>5.6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55</v>
      </c>
      <c r="B96" s="63">
        <v>186</v>
      </c>
      <c r="C96" s="63">
        <v>9</v>
      </c>
      <c r="D96" s="63">
        <v>11</v>
      </c>
      <c r="E96" s="93"/>
      <c r="F96" s="93"/>
      <c r="G96" s="93"/>
      <c r="H96" s="93"/>
      <c r="I96" s="56">
        <f t="shared" si="3"/>
        <v>4.8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>
        <v>60</v>
      </c>
      <c r="B97" s="63">
        <v>195</v>
      </c>
      <c r="C97" s="63">
        <v>10</v>
      </c>
      <c r="D97" s="63">
        <v>9</v>
      </c>
      <c r="E97" s="93"/>
      <c r="F97" s="93"/>
      <c r="G97" s="93"/>
      <c r="H97" s="93"/>
      <c r="I97" s="56">
        <f t="shared" si="3"/>
        <v>4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>
        <v>65</v>
      </c>
      <c r="B98" s="63">
        <v>203</v>
      </c>
      <c r="C98" s="63">
        <v>11</v>
      </c>
      <c r="D98" s="63">
        <v>8</v>
      </c>
      <c r="E98" s="93"/>
      <c r="F98" s="93"/>
      <c r="G98" s="93"/>
      <c r="H98" s="93"/>
      <c r="I98" s="56">
        <f t="shared" si="3"/>
        <v>3.4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>
        <v>70</v>
      </c>
      <c r="B99" s="63">
        <v>210</v>
      </c>
      <c r="C99" s="63">
        <v>12</v>
      </c>
      <c r="D99" s="63">
        <v>6</v>
      </c>
      <c r="E99" s="93"/>
      <c r="F99" s="93"/>
      <c r="G99" s="93"/>
      <c r="H99" s="93"/>
      <c r="I99" s="56">
        <f t="shared" si="3"/>
        <v>3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>
        <v>75</v>
      </c>
      <c r="B100" s="63">
        <v>217</v>
      </c>
      <c r="C100" s="63">
        <v>13</v>
      </c>
      <c r="D100" s="63">
        <v>7</v>
      </c>
      <c r="E100" s="68"/>
      <c r="F100" s="68"/>
      <c r="G100" s="68"/>
      <c r="H100" s="68"/>
      <c r="I100" s="56">
        <f t="shared" si="3"/>
        <v>2.6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>
        <v>80</v>
      </c>
      <c r="B101" s="63">
        <v>221</v>
      </c>
      <c r="C101" s="63">
        <v>14</v>
      </c>
      <c r="D101" s="63">
        <v>221</v>
      </c>
      <c r="E101" s="68"/>
      <c r="F101" s="68"/>
      <c r="G101" s="68"/>
      <c r="H101" s="68"/>
      <c r="I101" s="56">
        <f t="shared" si="3"/>
        <v>2.2000000000000002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53"/>
      <c r="B102" s="53"/>
      <c r="C102" s="5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53"/>
      <c r="B103" s="53"/>
      <c r="C103" s="5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53"/>
      <c r="B104" s="53"/>
      <c r="C104" s="5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2" sqref="G22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Chêne pubescent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>Tilleul</v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>Erable champêtre</v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/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/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446.90706503298787</v>
      </c>
      <c r="T3" s="62">
        <f>IF('Données projet'!E9&gt;30,$R$33-$H$33,LOOKUP('Données projet'!$E$9,$A$3:$A$203,R3:R203)-LOOKUP('Données projet'!$E$9,$A$3:$A$203,$H$3:$H$203))</f>
        <v>275.54513370838777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165</v>
      </c>
      <c r="AN3" s="62">
        <f ca="1">AVERAGE(OFFSET($AM$3,0,0,'Données projet'!$E$10+1,1))-AVERAGE(OFFSET($H$3,0,0,'Données projet'!$E$10+1,1))</f>
        <v>312.88185844251097</v>
      </c>
      <c r="AO3" s="62">
        <f>IF('Données projet'!E10&gt;30,$AM$33-$H$33,LOOKUP('Données projet'!$E$10,$A$3:$A$203,AM3:AM203)-LOOKUP('Données projet'!$E$10,$A$3:$A$203,$H$3:$H$203))</f>
        <v>202.68317767036231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165</v>
      </c>
      <c r="BI3" s="62">
        <f ca="1">AVERAGE(OFFSET($BH$3,0,0,'Données projet'!$E$11+1,1))-AVERAGE(OFFSET($H$3,0,0,'Données projet'!$E$11+1,1))</f>
        <v>287.22548699835653</v>
      </c>
      <c r="BJ3" s="62">
        <f>IF('Données projet'!E11&gt;30,$BH$33-$H$33,LOOKUP('Données projet'!$E$11,$A$3:$A$203,BH3:BH203)-LOOKUP('Données projet'!$E$11,$A$3:$A$203,$H$3:$H$203))</f>
        <v>276.01618888357268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2.84</v>
      </c>
      <c r="N4" s="14">
        <f>IF('Données projet'!$A$36&gt;35,N3+M4-V3,IF(A4&lt;'Données projet'!$A$36,$K$205^A4,IF(A4='Données projet'!$A$36,'Données projet'!$B$36,N3+M4-V3)))</f>
        <v>1.185906184594963</v>
      </c>
      <c r="O4" s="14">
        <f>N4*VLOOKUP('Données projet'!$B$9,Paramètres!$A$1:$I$89,3,0)*VLOOKUP('Données projet'!$B$9,Paramètres!$A$1:$I$89,5,0)</f>
        <v>1.2025088711792926</v>
      </c>
      <c r="P4" s="14">
        <f>EXP(-1.0587+0.8836*LN(O4)+0.284)</f>
        <v>0.54239799688655566</v>
      </c>
      <c r="Q4" s="22">
        <f t="shared" ref="Q4:Q34" si="2">(O4+P4)*0.475*44/12</f>
        <v>3.0390461285480193</v>
      </c>
      <c r="R4" s="62">
        <f t="shared" si="0"/>
        <v>170.85148008147186</v>
      </c>
      <c r="S4" s="62">
        <f ca="1">AVERAGE(OFFSET($R$3,0,0,'Données projet'!$E$9+1,1))-AVERAGE(OFFSET($H$3,0,0,'Données projet'!$E$9+1,1))</f>
        <v>446.90706503298787</v>
      </c>
      <c r="T4" s="62">
        <f>$T$3</f>
        <v>275.54513370838777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2.84</v>
      </c>
      <c r="AI4" s="14">
        <f>IF('Données projet'!$A$62&gt;35,AI3+AH4-AQ3,IF(A4&lt;'Données projet'!$A$62,$AF$205^A4,IF(A4='Données projet'!$A$62,'Données projet'!$B$62,AI3+AH4-AQ3)))</f>
        <v>1.185906184594963</v>
      </c>
      <c r="AJ4" s="14">
        <f>AI4*VLOOKUP('Données projet'!$B$10,Paramètres!$A$1:$I$89,3,0)*VLOOKUP('Données projet'!$B$10,Paramètres!$A$1:$I$89,5,0)</f>
        <v>0.79550586862630124</v>
      </c>
      <c r="AK4" s="14">
        <f>EXP(-1.0587+0.8836*LN(AJ4)+0.284)</f>
        <v>0.3764961698363028</v>
      </c>
      <c r="AL4" s="22">
        <f t="shared" ref="AL4:AL67" si="4">(AJ4+AK4)*0.475*44/12</f>
        <v>2.041236883655702</v>
      </c>
      <c r="AM4" s="62">
        <f t="shared" ref="AM4:AM67" si="5">AL4+(AD4+AE4)*44/12</f>
        <v>169.85367083657954</v>
      </c>
      <c r="AN4" s="62">
        <f ca="1">AVERAGE(OFFSET($AM$3,0,0,'Données projet'!$E$10+1,1))-AVERAGE(OFFSET($H$3,0,0,'Données projet'!$E$10+1,1))</f>
        <v>312.88185844251097</v>
      </c>
      <c r="AO4" s="62">
        <f>$AO$3</f>
        <v>202.68317767036231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0.6</v>
      </c>
      <c r="BD4" s="13">
        <f>IF('Données projet'!$A$88&gt;35,BD3+BC4-BL3,IF(A4&lt;'Données projet'!$A$88,$BA$205^A4,IF(A4='Données projet'!$A$88,'Données projet'!$B$88,BD3+BC4-BL3)))</f>
        <v>1.1577536725165907</v>
      </c>
      <c r="BE4" s="14">
        <f>BD4*VLOOKUP('Données projet'!$B$11,Paramètres!$A$1:$I$89,3,0)*VLOOKUP('Données projet'!$B$11,Paramètres!$A$1:$I$89,5,0)</f>
        <v>1.0114136083104937</v>
      </c>
      <c r="BF4" s="14">
        <f>EXP(-1.0587+0.8836*LN(BE4)+0.284)</f>
        <v>0.46548655994988658</v>
      </c>
      <c r="BG4" s="22">
        <f t="shared" ref="BG4:BG67" si="7">(BE4+BF4)*0.475*44/12</f>
        <v>2.5722677930534954</v>
      </c>
      <c r="BH4" s="62">
        <f t="shared" ref="BH4:BH67" si="8">BG4+(AY4+AZ4)*44/12</f>
        <v>170.38470174597734</v>
      </c>
      <c r="BI4" s="62">
        <f ca="1">AVERAGE(OFFSET($BH$3,0,0,'Données projet'!$E$11+1,1))-AVERAGE(OFFSET($H$3,0,0,'Données projet'!$E$11+1,1))</f>
        <v>287.22548699835653</v>
      </c>
      <c r="BJ4" s="62">
        <f>$BJ$3</f>
        <v>276.01618888357268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2.84</v>
      </c>
      <c r="N5" s="14">
        <f>IF('Données projet'!$A$36&gt;35,N4+M5-V4,IF(A5&lt;'Données projet'!$A$36,$K$205^A5,IF(A5='Données projet'!$A$36,'Données projet'!$B$36,N4+M5-V4)))</f>
        <v>1.4063734786605824</v>
      </c>
      <c r="O5" s="14">
        <f>N5*VLOOKUP('Données projet'!$B$9,Paramètres!$A$1:$I$89,3,0)*VLOOKUP('Données projet'!$B$9,Paramètres!$A$1:$I$89,5,0)</f>
        <v>1.4260627073618306</v>
      </c>
      <c r="P5" s="14">
        <f t="shared" ref="P5:P68" si="33">EXP(-1.0587+0.8836*LN(O5)+0.284)</f>
        <v>0.63059271915132864</v>
      </c>
      <c r="Q5" s="22">
        <f t="shared" si="2"/>
        <v>3.5820082011770853</v>
      </c>
      <c r="R5" s="62">
        <f t="shared" si="0"/>
        <v>174.17928948867791</v>
      </c>
      <c r="S5" s="62">
        <f ca="1">AVERAGE(OFFSET($R$3,0,0,'Données projet'!$E$9+1,1))-AVERAGE(OFFSET($H$3,0,0,'Données projet'!$E$9+1,1))</f>
        <v>446.90706503298787</v>
      </c>
      <c r="T5" s="62">
        <f t="shared" ref="T5:T68" si="34">$T$3</f>
        <v>275.54513370838777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2.84</v>
      </c>
      <c r="AI5" s="14">
        <f>IF('Données projet'!$A$62&gt;35,AI4+AH5-AQ4,IF(A5&lt;'Données projet'!$A$62,$AF$205^A5,IF(A5='Données projet'!$A$62,'Données projet'!$B$62,AI4+AH5-AQ4)))</f>
        <v>1.4063734786605824</v>
      </c>
      <c r="AJ5" s="14">
        <f>AI5*VLOOKUP('Données projet'!$B$10,Paramètres!$A$1:$I$89,3,0)*VLOOKUP('Données projet'!$B$10,Paramètres!$A$1:$I$89,5,0)</f>
        <v>0.94339532948551863</v>
      </c>
      <c r="AK5" s="14">
        <f t="shared" ref="AK5:AK68" si="35">EXP(-1.0587+0.8836*LN(AJ5)+0.284)</f>
        <v>0.43771500789076639</v>
      </c>
      <c r="AL5" s="22">
        <f t="shared" si="4"/>
        <v>2.4054338375970299</v>
      </c>
      <c r="AM5" s="62">
        <f t="shared" si="5"/>
        <v>173.00271512509786</v>
      </c>
      <c r="AN5" s="62">
        <f ca="1">AVERAGE(OFFSET($AM$3,0,0,'Données projet'!$E$10+1,1))-AVERAGE(OFFSET($H$3,0,0,'Données projet'!$E$10+1,1))</f>
        <v>312.88185844251097</v>
      </c>
      <c r="AO5" s="62">
        <f t="shared" ref="AO5:AO68" si="36">$AO$3</f>
        <v>202.68317767036231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0.6</v>
      </c>
      <c r="BD5" s="13">
        <f>IF('Données projet'!$A$88&gt;35,BD4+BC5-BL4,IF(A5&lt;'Données projet'!$A$88,$BA$205^A5,IF(A5='Données projet'!$A$88,'Données projet'!$B$88,BD4+BC5-BL4)))</f>
        <v>1.340393566225653</v>
      </c>
      <c r="BE5" s="14">
        <f>BD5*VLOOKUP('Données projet'!$B$11,Paramètres!$A$1:$I$89,3,0)*VLOOKUP('Données projet'!$B$11,Paramètres!$A$1:$I$89,5,0)</f>
        <v>1.1709678194547306</v>
      </c>
      <c r="BF5" s="14">
        <f t="shared" ref="BF5:BF68" si="37">EXP(-1.0587+0.8836*LN(BE5)+0.284)</f>
        <v>0.52980785325350399</v>
      </c>
      <c r="BG5" s="22">
        <f t="shared" si="7"/>
        <v>2.9621842966335081</v>
      </c>
      <c r="BH5" s="62">
        <f t="shared" si="8"/>
        <v>173.55946558413433</v>
      </c>
      <c r="BI5" s="62">
        <f ca="1">AVERAGE(OFFSET($BH$3,0,0,'Données projet'!$E$11+1,1))-AVERAGE(OFFSET($H$3,0,0,'Données projet'!$E$11+1,1))</f>
        <v>287.22548699835653</v>
      </c>
      <c r="BJ5" s="62">
        <f t="shared" ref="BJ5:BJ68" si="38">$BJ$3</f>
        <v>276.01618888357268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2.84</v>
      </c>
      <c r="N6" s="14">
        <f>IF('Données projet'!$A$36&gt;35,N5+M6-V5,IF(A6&lt;'Données projet'!$A$36,$K$205^A6,IF(A6='Données projet'!$A$36,'Données projet'!$B$36,N5+M6-V5)))</f>
        <v>1.6678270061939169</v>
      </c>
      <c r="O6" s="14">
        <f>N6*VLOOKUP('Données projet'!$B$9,Paramètres!$A$1:$I$89,3,0)*VLOOKUP('Données projet'!$B$9,Paramètres!$A$1:$I$89,5,0)</f>
        <v>1.6911765842806317</v>
      </c>
      <c r="P6" s="14">
        <f t="shared" si="33"/>
        <v>0.73312803463364506</v>
      </c>
      <c r="Q6" s="22">
        <f t="shared" si="2"/>
        <v>4.2223305446090311</v>
      </c>
      <c r="R6" s="62">
        <f t="shared" si="0"/>
        <v>177.57735111449392</v>
      </c>
      <c r="S6" s="62">
        <f ca="1">AVERAGE(OFFSET($R$3,0,0,'Données projet'!$E$9+1,1))-AVERAGE(OFFSET($H$3,0,0,'Données projet'!$E$9+1,1))</f>
        <v>446.90706503298787</v>
      </c>
      <c r="T6" s="62">
        <f t="shared" si="34"/>
        <v>275.54513370838777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2.84</v>
      </c>
      <c r="AI6" s="14">
        <f>IF('Données projet'!$A$62&gt;35,AI5+AH6-AQ5,IF(A6&lt;'Données projet'!$A$62,$AF$205^A6,IF(A6='Données projet'!$A$62,'Données projet'!$B$62,AI5+AH6-AQ5)))</f>
        <v>1.6678270061939169</v>
      </c>
      <c r="AJ6" s="14">
        <f>AI6*VLOOKUP('Données projet'!$B$10,Paramètres!$A$1:$I$89,3,0)*VLOOKUP('Données projet'!$B$10,Paramètres!$A$1:$I$89,5,0)</f>
        <v>1.1187783557548796</v>
      </c>
      <c r="AK6" s="14">
        <f t="shared" si="35"/>
        <v>0.50888812020615593</v>
      </c>
      <c r="AL6" s="22">
        <f t="shared" si="4"/>
        <v>2.8348524456321367</v>
      </c>
      <c r="AM6" s="62">
        <f t="shared" si="5"/>
        <v>176.18987301551701</v>
      </c>
      <c r="AN6" s="62">
        <f ca="1">AVERAGE(OFFSET($AM$3,0,0,'Données projet'!$E$10+1,1))-AVERAGE(OFFSET($H$3,0,0,'Données projet'!$E$10+1,1))</f>
        <v>312.88185844251097</v>
      </c>
      <c r="AO6" s="62">
        <f t="shared" si="36"/>
        <v>202.68317767036231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0.6</v>
      </c>
      <c r="BD6" s="13">
        <f>IF('Données projet'!$A$88&gt;35,BD5+BC6-BL5,IF(A6&lt;'Données projet'!$A$88,$BA$205^A6,IF(A6='Données projet'!$A$88,'Données projet'!$B$88,BD5+BC6-BL5)))</f>
        <v>1.5518455739153598</v>
      </c>
      <c r="BE6" s="14">
        <f>BD6*VLOOKUP('Données projet'!$B$11,Paramètres!$A$1:$I$89,3,0)*VLOOKUP('Données projet'!$B$11,Paramètres!$A$1:$I$89,5,0)</f>
        <v>1.3556922933724584</v>
      </c>
      <c r="BF6" s="14">
        <f t="shared" si="37"/>
        <v>0.6030171126730397</v>
      </c>
      <c r="BG6" s="22">
        <f t="shared" si="7"/>
        <v>3.4114188821959091</v>
      </c>
      <c r="BH6" s="62">
        <f t="shared" si="8"/>
        <v>176.76643945208079</v>
      </c>
      <c r="BI6" s="62">
        <f ca="1">AVERAGE(OFFSET($BH$3,0,0,'Données projet'!$E$11+1,1))-AVERAGE(OFFSET($H$3,0,0,'Données projet'!$E$11+1,1))</f>
        <v>287.22548699835653</v>
      </c>
      <c r="BJ6" s="62">
        <f t="shared" si="38"/>
        <v>276.01618888357268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2.84</v>
      </c>
      <c r="N7" s="14">
        <f>IF('Données projet'!$A$36&gt;35,N6+M7-V6,IF(A7&lt;'Données projet'!$A$36,$K$205^A7,IF(A7='Données projet'!$A$36,'Données projet'!$B$36,N6+M7-V6)))</f>
        <v>1.9778863614798676</v>
      </c>
      <c r="O7" s="14">
        <f>N7*VLOOKUP('Données projet'!$B$9,Paramètres!$A$1:$I$89,3,0)*VLOOKUP('Données projet'!$B$9,Paramètres!$A$1:$I$89,5,0)</f>
        <v>2.005576770540586</v>
      </c>
      <c r="P7" s="14">
        <f t="shared" si="33"/>
        <v>0.85233574515282073</v>
      </c>
      <c r="Q7" s="22">
        <f t="shared" si="2"/>
        <v>4.9775309648326838</v>
      </c>
      <c r="R7" s="62">
        <f t="shared" si="0"/>
        <v>181.06365302900963</v>
      </c>
      <c r="S7" s="62">
        <f ca="1">AVERAGE(OFFSET($R$3,0,0,'Données projet'!$E$9+1,1))-AVERAGE(OFFSET($H$3,0,0,'Données projet'!$E$9+1,1))</f>
        <v>446.90706503298787</v>
      </c>
      <c r="T7" s="62">
        <f t="shared" si="34"/>
        <v>275.54513370838777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2.84</v>
      </c>
      <c r="AI7" s="14">
        <f>IF('Données projet'!$A$62&gt;35,AI6+AH7-AQ6,IF(A7&lt;'Données projet'!$A$62,$AF$205^A7,IF(A7='Données projet'!$A$62,'Données projet'!$B$62,AI6+AH7-AQ6)))</f>
        <v>1.9778863614798676</v>
      </c>
      <c r="AJ7" s="14">
        <f>AI7*VLOOKUP('Données projet'!$B$10,Paramètres!$A$1:$I$89,3,0)*VLOOKUP('Données projet'!$B$10,Paramètres!$A$1:$I$89,5,0)</f>
        <v>1.3267661712806951</v>
      </c>
      <c r="AK7" s="14">
        <f t="shared" si="35"/>
        <v>0.59163408660545902</v>
      </c>
      <c r="AL7" s="22">
        <f t="shared" si="4"/>
        <v>3.3412137824850512</v>
      </c>
      <c r="AM7" s="62">
        <f t="shared" si="5"/>
        <v>179.427335846662</v>
      </c>
      <c r="AN7" s="62">
        <f ca="1">AVERAGE(OFFSET($AM$3,0,0,'Données projet'!$E$10+1,1))-AVERAGE(OFFSET($H$3,0,0,'Données projet'!$E$10+1,1))</f>
        <v>312.88185844251097</v>
      </c>
      <c r="AO7" s="62">
        <f t="shared" si="36"/>
        <v>202.68317767036231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0.6</v>
      </c>
      <c r="BD7" s="13">
        <f>IF('Données projet'!$A$88&gt;35,BD6+BC7-BL6,IF(A7&lt;'Données projet'!$A$88,$BA$205^A7,IF(A7='Données projet'!$A$88,'Données projet'!$B$88,BD6+BC7-BL6)))</f>
        <v>1.796654912379124</v>
      </c>
      <c r="BE7" s="14">
        <f>BD7*VLOOKUP('Données projet'!$B$11,Paramètres!$A$1:$I$89,3,0)*VLOOKUP('Données projet'!$B$11,Paramètres!$A$1:$I$89,5,0)</f>
        <v>1.5695577314544029</v>
      </c>
      <c r="BF7" s="14">
        <f t="shared" si="37"/>
        <v>0.68634248424879218</v>
      </c>
      <c r="BG7" s="22">
        <f t="shared" si="7"/>
        <v>3.9290262090163979</v>
      </c>
      <c r="BH7" s="62">
        <f t="shared" si="8"/>
        <v>180.01514827319335</v>
      </c>
      <c r="BI7" s="62">
        <f ca="1">AVERAGE(OFFSET($BH$3,0,0,'Données projet'!$E$11+1,1))-AVERAGE(OFFSET($H$3,0,0,'Données projet'!$E$11+1,1))</f>
        <v>287.22548699835653</v>
      </c>
      <c r="BJ7" s="62">
        <f t="shared" si="38"/>
        <v>276.01618888357268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2.84</v>
      </c>
      <c r="N8" s="14">
        <f>IF('Données projet'!$A$36&gt;35,N7+M8-V7,IF(A8&lt;'Données projet'!$A$36,$K$205^A8,IF(A8='Données projet'!$A$36,'Données projet'!$B$36,N7+M8-V7)))</f>
        <v>2.3455876685050034</v>
      </c>
      <c r="O8" s="14">
        <f>N8*VLOOKUP('Données projet'!$B$9,Paramètres!$A$1:$I$89,3,0)*VLOOKUP('Données projet'!$B$9,Paramètres!$A$1:$I$89,5,0)</f>
        <v>2.3784258958640736</v>
      </c>
      <c r="P8" s="14">
        <f t="shared" si="33"/>
        <v>0.99092680697750823</v>
      </c>
      <c r="Q8" s="22">
        <f t="shared" si="2"/>
        <v>5.868289290782422</v>
      </c>
      <c r="R8" s="62">
        <f t="shared" si="0"/>
        <v>184.65933716722978</v>
      </c>
      <c r="S8" s="62">
        <f ca="1">AVERAGE(OFFSET($R$3,0,0,'Données projet'!$E$9+1,1))-AVERAGE(OFFSET($H$3,0,0,'Données projet'!$E$9+1,1))</f>
        <v>446.90706503298787</v>
      </c>
      <c r="T8" s="62">
        <f t="shared" si="34"/>
        <v>275.54513370838777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2.84</v>
      </c>
      <c r="AI8" s="14">
        <f>IF('Données projet'!$A$62&gt;35,AI7+AH8-AQ7,IF(A8&lt;'Données projet'!$A$62,$AF$205^A8,IF(A8='Données projet'!$A$62,'Données projet'!$B$62,AI7+AH8-AQ7)))</f>
        <v>2.3455876685050034</v>
      </c>
      <c r="AJ8" s="14">
        <f>AI8*VLOOKUP('Données projet'!$B$10,Paramètres!$A$1:$I$89,3,0)*VLOOKUP('Données projet'!$B$10,Paramètres!$A$1:$I$89,5,0)</f>
        <v>1.5734202080331561</v>
      </c>
      <c r="AK8" s="14">
        <f t="shared" si="35"/>
        <v>0.68783467040196322</v>
      </c>
      <c r="AL8" s="22">
        <f t="shared" si="4"/>
        <v>3.9383522466078329</v>
      </c>
      <c r="AM8" s="62">
        <f t="shared" si="5"/>
        <v>182.72940012305517</v>
      </c>
      <c r="AN8" s="62">
        <f ca="1">AVERAGE(OFFSET($AM$3,0,0,'Données projet'!$E$10+1,1))-AVERAGE(OFFSET($H$3,0,0,'Données projet'!$E$10+1,1))</f>
        <v>312.88185844251097</v>
      </c>
      <c r="AO8" s="62">
        <f t="shared" si="36"/>
        <v>202.68317767036231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0.6</v>
      </c>
      <c r="BD8" s="13">
        <f>IF('Données projet'!$A$88&gt;35,BD7+BC8-BL7,IF(A8&lt;'Données projet'!$A$88,$BA$205^A8,IF(A8='Données projet'!$A$88,'Données projet'!$B$88,BD7+BC8-BL7)))</f>
        <v>2.0800838230519041</v>
      </c>
      <c r="BE8" s="14">
        <f>BD8*VLOOKUP('Données projet'!$B$11,Paramètres!$A$1:$I$89,3,0)*VLOOKUP('Données projet'!$B$11,Paramètres!$A$1:$I$89,5,0)</f>
        <v>1.8171612278181437</v>
      </c>
      <c r="BF8" s="14">
        <f t="shared" si="37"/>
        <v>0.78118182019192373</v>
      </c>
      <c r="BG8" s="22">
        <f t="shared" si="7"/>
        <v>4.5254474752842002</v>
      </c>
      <c r="BH8" s="62">
        <f t="shared" si="8"/>
        <v>183.31649535173156</v>
      </c>
      <c r="BI8" s="62">
        <f ca="1">AVERAGE(OFFSET($BH$3,0,0,'Données projet'!$E$11+1,1))-AVERAGE(OFFSET($H$3,0,0,'Données projet'!$E$11+1,1))</f>
        <v>287.22548699835653</v>
      </c>
      <c r="BJ8" s="62">
        <f t="shared" si="38"/>
        <v>276.01618888357268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2.84</v>
      </c>
      <c r="N9" s="14">
        <f>IF('Données projet'!$A$36&gt;35,N8+M9-V8,IF(A9&lt;'Données projet'!$A$36,$K$205^A9,IF(A9='Données projet'!$A$36,'Données projet'!$B$36,N8+M9-V8)))</f>
        <v>2.7816469225897635</v>
      </c>
      <c r="O9" s="14">
        <f>N9*VLOOKUP('Données projet'!$B$9,Paramètres!$A$1:$I$89,3,0)*VLOOKUP('Données projet'!$B$9,Paramètres!$A$1:$I$89,5,0)</f>
        <v>2.8205899795060203</v>
      </c>
      <c r="P9" s="14">
        <f t="shared" si="33"/>
        <v>1.1520529819039591</v>
      </c>
      <c r="Q9" s="22">
        <f t="shared" si="2"/>
        <v>6.919019824455714</v>
      </c>
      <c r="R9" s="62">
        <f t="shared" si="0"/>
        <v>188.38927192071469</v>
      </c>
      <c r="S9" s="62">
        <f ca="1">AVERAGE(OFFSET($R$3,0,0,'Données projet'!$E$9+1,1))-AVERAGE(OFFSET($H$3,0,0,'Données projet'!$E$9+1,1))</f>
        <v>446.90706503298787</v>
      </c>
      <c r="T9" s="62">
        <f t="shared" si="34"/>
        <v>275.54513370838777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2.84</v>
      </c>
      <c r="AI9" s="14">
        <f>IF('Données projet'!$A$62&gt;35,AI8+AH9-AQ8,IF(A9&lt;'Données projet'!$A$62,$AF$205^A9,IF(A9='Données projet'!$A$62,'Données projet'!$B$62,AI8+AH9-AQ8)))</f>
        <v>2.7816469225897635</v>
      </c>
      <c r="AJ9" s="14">
        <f>AI9*VLOOKUP('Données projet'!$B$10,Paramètres!$A$1:$I$89,3,0)*VLOOKUP('Données projet'!$B$10,Paramètres!$A$1:$I$89,5,0)</f>
        <v>1.8659287556732136</v>
      </c>
      <c r="AK9" s="14">
        <f t="shared" si="35"/>
        <v>0.79967761242682267</v>
      </c>
      <c r="AL9" s="22">
        <f t="shared" si="4"/>
        <v>4.6425977577742294</v>
      </c>
      <c r="AM9" s="62">
        <f t="shared" si="5"/>
        <v>186.11284985403321</v>
      </c>
      <c r="AN9" s="62">
        <f ca="1">AVERAGE(OFFSET($AM$3,0,0,'Données projet'!$E$10+1,1))-AVERAGE(OFFSET($H$3,0,0,'Données projet'!$E$10+1,1))</f>
        <v>312.88185844251097</v>
      </c>
      <c r="AO9" s="62">
        <f t="shared" si="36"/>
        <v>202.68317767036231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0.6</v>
      </c>
      <c r="BD9" s="13">
        <f>IF('Données projet'!$A$88&gt;35,BD8+BC9-BL8,IF(A9&lt;'Données projet'!$A$88,$BA$205^A9,IF(A9='Données projet'!$A$88,'Données projet'!$B$88,BD8+BC9-BL8)))</f>
        <v>2.4082246852806919</v>
      </c>
      <c r="BE9" s="14">
        <f>BD9*VLOOKUP('Données projet'!$B$11,Paramètres!$A$1:$I$89,3,0)*VLOOKUP('Données projet'!$B$11,Paramètres!$A$1:$I$89,5,0)</f>
        <v>2.1038250850612128</v>
      </c>
      <c r="BF9" s="14">
        <f t="shared" si="37"/>
        <v>0.88912612901456256</v>
      </c>
      <c r="BG9" s="22">
        <f t="shared" si="7"/>
        <v>5.2127233645153082</v>
      </c>
      <c r="BH9" s="62">
        <f t="shared" si="8"/>
        <v>186.68297546077429</v>
      </c>
      <c r="BI9" s="62">
        <f ca="1">AVERAGE(OFFSET($BH$3,0,0,'Données projet'!$E$11+1,1))-AVERAGE(OFFSET($H$3,0,0,'Données projet'!$E$11+1,1))</f>
        <v>287.22548699835653</v>
      </c>
      <c r="BJ9" s="62">
        <f t="shared" si="38"/>
        <v>276.01618888357268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2.84</v>
      </c>
      <c r="N10" s="14">
        <f>IF('Données projet'!$A$36&gt;35,N9+M10-V9,IF(A10&lt;'Données projet'!$A$36,$K$205^A10,IF(A10='Données projet'!$A$36,'Données projet'!$B$36,N9+M10-V9)))</f>
        <v>3.2987722888587467</v>
      </c>
      <c r="O10" s="14">
        <f>N10*VLOOKUP('Données projet'!$B$9,Paramètres!$A$1:$I$89,3,0)*VLOOKUP('Données projet'!$B$9,Paramètres!$A$1:$I$89,5,0)</f>
        <v>3.3449551009027689</v>
      </c>
      <c r="P10" s="14">
        <f t="shared" si="33"/>
        <v>1.3393785128914457</v>
      </c>
      <c r="Q10" s="22">
        <f t="shared" si="2"/>
        <v>8.1585477106915896</v>
      </c>
      <c r="R10" s="62">
        <f t="shared" si="0"/>
        <v>192.28272864642781</v>
      </c>
      <c r="S10" s="62">
        <f ca="1">AVERAGE(OFFSET($R$3,0,0,'Données projet'!$E$9+1,1))-AVERAGE(OFFSET($H$3,0,0,'Données projet'!$E$9+1,1))</f>
        <v>446.90706503298787</v>
      </c>
      <c r="T10" s="62">
        <f t="shared" si="34"/>
        <v>275.54513370838777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2.84</v>
      </c>
      <c r="AI10" s="14">
        <f>IF('Données projet'!$A$62&gt;35,AI9+AH10-AQ9,IF(A10&lt;'Données projet'!$A$62,$AF$205^A10,IF(A10='Données projet'!$A$62,'Données projet'!$B$62,AI9+AH10-AQ9)))</f>
        <v>3.2987722888587467</v>
      </c>
      <c r="AJ10" s="14">
        <f>AI10*VLOOKUP('Données projet'!$B$10,Paramètres!$A$1:$I$89,3,0)*VLOOKUP('Données projet'!$B$10,Paramètres!$A$1:$I$89,5,0)</f>
        <v>2.2128164513664474</v>
      </c>
      <c r="AK10" s="14">
        <f t="shared" si="35"/>
        <v>0.92970638342925582</v>
      </c>
      <c r="AL10" s="22">
        <f t="shared" si="4"/>
        <v>5.4732272706025169</v>
      </c>
      <c r="AM10" s="62">
        <f t="shared" si="5"/>
        <v>189.59740820633874</v>
      </c>
      <c r="AN10" s="62">
        <f ca="1">AVERAGE(OFFSET($AM$3,0,0,'Données projet'!$E$10+1,1))-AVERAGE(OFFSET($H$3,0,0,'Données projet'!$E$10+1,1))</f>
        <v>312.88185844251097</v>
      </c>
      <c r="AO10" s="62">
        <f t="shared" si="36"/>
        <v>202.68317767036231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0.6</v>
      </c>
      <c r="BD10" s="13">
        <f>IF('Données projet'!$A$88&gt;35,BD9+BC10-BL9,IF(A10&lt;'Données projet'!$A$88,$BA$205^A10,IF(A10='Données projet'!$A$88,'Données projet'!$B$88,BD9+BC10-BL9)))</f>
        <v>2.788130973628832</v>
      </c>
      <c r="BE10" s="14">
        <f>BD10*VLOOKUP('Données projet'!$B$11,Paramètres!$A$1:$I$89,3,0)*VLOOKUP('Données projet'!$B$11,Paramètres!$A$1:$I$89,5,0)</f>
        <v>2.4357112185621479</v>
      </c>
      <c r="BF10" s="14">
        <f t="shared" si="37"/>
        <v>1.0119862660170416</v>
      </c>
      <c r="BG10" s="22">
        <f t="shared" si="7"/>
        <v>6.0047397856420881</v>
      </c>
      <c r="BH10" s="62">
        <f t="shared" si="8"/>
        <v>190.12892072137834</v>
      </c>
      <c r="BI10" s="62">
        <f ca="1">AVERAGE(OFFSET($BH$3,0,0,'Données projet'!$E$11+1,1))-AVERAGE(OFFSET($H$3,0,0,'Données projet'!$E$11+1,1))</f>
        <v>287.22548699835653</v>
      </c>
      <c r="BJ10" s="62">
        <f t="shared" si="38"/>
        <v>276.01618888357268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2.84</v>
      </c>
      <c r="N11" s="14">
        <f>IF('Données projet'!$A$36&gt;35,N10+M11-V10,IF(A11&lt;'Données projet'!$A$36,$K$205^A11,IF(A11='Données projet'!$A$36,'Données projet'!$B$36,N10+M11-V10)))</f>
        <v>3.9120344589280696</v>
      </c>
      <c r="O11" s="14">
        <f>N11*VLOOKUP('Données projet'!$B$9,Paramètres!$A$1:$I$89,3,0)*VLOOKUP('Données projet'!$B$9,Paramètres!$A$1:$I$89,5,0)</f>
        <v>3.9668029413530626</v>
      </c>
      <c r="P11" s="14">
        <f t="shared" si="33"/>
        <v>1.5571634542627768</v>
      </c>
      <c r="Q11" s="22">
        <f t="shared" si="2"/>
        <v>9.6209081390309201</v>
      </c>
      <c r="R11" s="62">
        <f t="shared" si="0"/>
        <v>196.37418100525147</v>
      </c>
      <c r="S11" s="62">
        <f ca="1">AVERAGE(OFFSET($R$3,0,0,'Données projet'!$E$9+1,1))-AVERAGE(OFFSET($H$3,0,0,'Données projet'!$E$9+1,1))</f>
        <v>446.90706503298787</v>
      </c>
      <c r="T11" s="62">
        <f t="shared" si="34"/>
        <v>275.54513370838777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2.84</v>
      </c>
      <c r="AI11" s="14">
        <f>IF('Données projet'!$A$62&gt;35,AI10+AH11-AQ10,IF(A11&lt;'Données projet'!$A$62,$AF$205^A11,IF(A11='Données projet'!$A$62,'Données projet'!$B$62,AI10+AH11-AQ10)))</f>
        <v>3.9120344589280696</v>
      </c>
      <c r="AJ11" s="14">
        <f>AI11*VLOOKUP('Données projet'!$B$10,Paramètres!$A$1:$I$89,3,0)*VLOOKUP('Données projet'!$B$10,Paramètres!$A$1:$I$89,5,0)</f>
        <v>2.6241927150489488</v>
      </c>
      <c r="AK11" s="14">
        <f t="shared" si="35"/>
        <v>1.0808780262911288</v>
      </c>
      <c r="AL11" s="22">
        <f t="shared" si="4"/>
        <v>6.4529982078339678</v>
      </c>
      <c r="AM11" s="62">
        <f t="shared" si="5"/>
        <v>193.20627107405451</v>
      </c>
      <c r="AN11" s="62">
        <f ca="1">AVERAGE(OFFSET($AM$3,0,0,'Données projet'!$E$10+1,1))-AVERAGE(OFFSET($H$3,0,0,'Données projet'!$E$10+1,1))</f>
        <v>312.88185844251097</v>
      </c>
      <c r="AO11" s="62">
        <f t="shared" si="36"/>
        <v>202.68317767036231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0.6</v>
      </c>
      <c r="BD11" s="13">
        <f>IF('Données projet'!$A$88&gt;35,BD10+BC11-BL10,IF(A11&lt;'Données projet'!$A$88,$BA$205^A11,IF(A11='Données projet'!$A$88,'Données projet'!$B$88,BD10+BC11-BL10)))</f>
        <v>3.227968874176038</v>
      </c>
      <c r="BE11" s="14">
        <f>BD11*VLOOKUP('Données projet'!$B$11,Paramètres!$A$1:$I$89,3,0)*VLOOKUP('Données projet'!$B$11,Paramètres!$A$1:$I$89,5,0)</f>
        <v>2.8199536084801871</v>
      </c>
      <c r="BF11" s="14">
        <f t="shared" si="37"/>
        <v>1.1518233118873293</v>
      </c>
      <c r="BG11" s="22">
        <f t="shared" si="7"/>
        <v>6.9175114696400923</v>
      </c>
      <c r="BH11" s="62">
        <f t="shared" si="8"/>
        <v>193.67078433586065</v>
      </c>
      <c r="BI11" s="62">
        <f ca="1">AVERAGE(OFFSET($BH$3,0,0,'Données projet'!$E$11+1,1))-AVERAGE(OFFSET($H$3,0,0,'Données projet'!$E$11+1,1))</f>
        <v>287.22548699835653</v>
      </c>
      <c r="BJ11" s="62">
        <f t="shared" si="38"/>
        <v>276.01618888357268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2.84</v>
      </c>
      <c r="N12" s="14">
        <f>IF('Données projet'!$A$36&gt;35,N11+M12-V11,IF(A12&lt;'Données projet'!$A$36,$K$205^A12,IF(A12='Données projet'!$A$36,'Données projet'!$B$36,N11+M12-V11)))</f>
        <v>4.6393058591914071</v>
      </c>
      <c r="O12" s="14">
        <f>N12*VLOOKUP('Données projet'!$B$9,Paramètres!$A$1:$I$89,3,0)*VLOOKUP('Données projet'!$B$9,Paramètres!$A$1:$I$89,5,0)</f>
        <v>4.7042561412200872</v>
      </c>
      <c r="P12" s="14">
        <f t="shared" si="33"/>
        <v>1.8103605515195429</v>
      </c>
      <c r="Q12" s="22">
        <f t="shared" si="2"/>
        <v>11.346290739854856</v>
      </c>
      <c r="R12" s="62">
        <f t="shared" si="0"/>
        <v>200.70424949241092</v>
      </c>
      <c r="S12" s="62">
        <f ca="1">AVERAGE(OFFSET($R$3,0,0,'Données projet'!$E$9+1,1))-AVERAGE(OFFSET($H$3,0,0,'Données projet'!$E$9+1,1))</f>
        <v>446.90706503298787</v>
      </c>
      <c r="T12" s="62">
        <f t="shared" si="34"/>
        <v>275.54513370838777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2.84</v>
      </c>
      <c r="AI12" s="14">
        <f>IF('Données projet'!$A$62&gt;35,AI11+AH12-AQ11,IF(A12&lt;'Données projet'!$A$62,$AF$205^A12,IF(A12='Données projet'!$A$62,'Données projet'!$B$62,AI11+AH12-AQ11)))</f>
        <v>4.6393058591914071</v>
      </c>
      <c r="AJ12" s="14">
        <f>AI12*VLOOKUP('Données projet'!$B$10,Paramètres!$A$1:$I$89,3,0)*VLOOKUP('Données projet'!$B$10,Paramètres!$A$1:$I$89,5,0)</f>
        <v>3.1120463703455958</v>
      </c>
      <c r="AK12" s="14">
        <f t="shared" si="35"/>
        <v>1.2566304034717921</v>
      </c>
      <c r="AL12" s="22">
        <f t="shared" si="4"/>
        <v>7.6087787143986167</v>
      </c>
      <c r="AM12" s="62">
        <f t="shared" si="5"/>
        <v>196.9667374669547</v>
      </c>
      <c r="AN12" s="62">
        <f ca="1">AVERAGE(OFFSET($AM$3,0,0,'Données projet'!$E$10+1,1))-AVERAGE(OFFSET($H$3,0,0,'Données projet'!$E$10+1,1))</f>
        <v>312.88185844251097</v>
      </c>
      <c r="AO12" s="62">
        <f t="shared" si="36"/>
        <v>202.68317767036231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0.6</v>
      </c>
      <c r="BD12" s="13">
        <f>IF('Données projet'!$A$88&gt;35,BD11+BC12-BL11,IF(A12&lt;'Données projet'!$A$88,$BA$205^A12,IF(A12='Données projet'!$A$88,'Données projet'!$B$88,BD11+BC12-BL11)))</f>
        <v>3.7371928188465526</v>
      </c>
      <c r="BE12" s="14">
        <f>BD12*VLOOKUP('Données projet'!$B$11,Paramètres!$A$1:$I$89,3,0)*VLOOKUP('Données projet'!$B$11,Paramètres!$A$1:$I$89,5,0)</f>
        <v>3.2648116465443486</v>
      </c>
      <c r="BF12" s="14">
        <f t="shared" si="37"/>
        <v>1.310983149038857</v>
      </c>
      <c r="BG12" s="22">
        <f t="shared" si="7"/>
        <v>7.9695092689740825</v>
      </c>
      <c r="BH12" s="62">
        <f t="shared" si="8"/>
        <v>197.32746802153017</v>
      </c>
      <c r="BI12" s="62">
        <f ca="1">AVERAGE(OFFSET($BH$3,0,0,'Données projet'!$E$11+1,1))-AVERAGE(OFFSET($H$3,0,0,'Données projet'!$E$11+1,1))</f>
        <v>287.22548699835653</v>
      </c>
      <c r="BJ12" s="62">
        <f t="shared" si="38"/>
        <v>276.01618888357268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2.84</v>
      </c>
      <c r="N13" s="14">
        <f>IF('Données projet'!$A$36&gt;35,N12+M13-V12,IF(A13&lt;'Données projet'!$A$36,$K$205^A13,IF(A13='Données projet'!$A$36,'Données projet'!$B$36,N12+M13-V12)))</f>
        <v>5.5017815106427381</v>
      </c>
      <c r="O13" s="14">
        <f>N13*VLOOKUP('Données projet'!$B$9,Paramètres!$A$1:$I$89,3,0)*VLOOKUP('Données projet'!$B$9,Paramètres!$A$1:$I$89,5,0)</f>
        <v>5.5788064517917366</v>
      </c>
      <c r="P13" s="14">
        <f t="shared" si="33"/>
        <v>2.1047278739596393</v>
      </c>
      <c r="Q13" s="22">
        <f t="shared" si="2"/>
        <v>13.382155617350314</v>
      </c>
      <c r="R13" s="62">
        <f t="shared" si="0"/>
        <v>205.32081760239521</v>
      </c>
      <c r="S13" s="62">
        <f ca="1">AVERAGE(OFFSET($R$3,0,0,'Données projet'!$E$9+1,1))-AVERAGE(OFFSET($H$3,0,0,'Données projet'!$E$9+1,1))</f>
        <v>446.90706503298787</v>
      </c>
      <c r="T13" s="62">
        <f t="shared" si="34"/>
        <v>275.54513370838777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2.84</v>
      </c>
      <c r="AI13" s="14">
        <f>IF('Données projet'!$A$62&gt;35,AI12+AH13-AQ12,IF(A13&lt;'Données projet'!$A$62,$AF$205^A13,IF(A13='Données projet'!$A$62,'Données projet'!$B$62,AI12+AH13-AQ12)))</f>
        <v>5.5017815106427381</v>
      </c>
      <c r="AJ13" s="14">
        <f>AI13*VLOOKUP('Données projet'!$B$10,Paramètres!$A$1:$I$89,3,0)*VLOOKUP('Données projet'!$B$10,Paramètres!$A$1:$I$89,5,0)</f>
        <v>3.6905950373391492</v>
      </c>
      <c r="AK13" s="14">
        <f t="shared" si="35"/>
        <v>1.4609603789876209</v>
      </c>
      <c r="AL13" s="22">
        <f t="shared" si="4"/>
        <v>8.9722923501024585</v>
      </c>
      <c r="AM13" s="62">
        <f t="shared" si="5"/>
        <v>200.91095433514735</v>
      </c>
      <c r="AN13" s="62">
        <f ca="1">AVERAGE(OFFSET($AM$3,0,0,'Données projet'!$E$10+1,1))-AVERAGE(OFFSET($H$3,0,0,'Données projet'!$E$10+1,1))</f>
        <v>312.88185844251097</v>
      </c>
      <c r="AO13" s="62">
        <f t="shared" si="36"/>
        <v>202.68317767036231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0.6</v>
      </c>
      <c r="BD13" s="13">
        <f>IF('Données projet'!$A$88&gt;35,BD12+BC13-BL12,IF(A13&lt;'Données projet'!$A$88,$BA$205^A13,IF(A13='Données projet'!$A$88,'Données projet'!$B$88,BD12+BC13-BL12)))</f>
        <v>4.3267487109222253</v>
      </c>
      <c r="BE13" s="14">
        <f>BD13*VLOOKUP('Données projet'!$B$11,Paramètres!$A$1:$I$89,3,0)*VLOOKUP('Données projet'!$B$11,Paramètres!$A$1:$I$89,5,0)</f>
        <v>3.7798476738616569</v>
      </c>
      <c r="BF13" s="14">
        <f t="shared" si="37"/>
        <v>1.4921358157334794</v>
      </c>
      <c r="BG13" s="22">
        <f t="shared" si="7"/>
        <v>9.182037911044862</v>
      </c>
      <c r="BH13" s="62">
        <f t="shared" si="8"/>
        <v>201.12069989608975</v>
      </c>
      <c r="BI13" s="62">
        <f ca="1">AVERAGE(OFFSET($BH$3,0,0,'Données projet'!$E$11+1,1))-AVERAGE(OFFSET($H$3,0,0,'Données projet'!$E$11+1,1))</f>
        <v>287.22548699835653</v>
      </c>
      <c r="BJ13" s="62">
        <f t="shared" si="38"/>
        <v>276.01618888357268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2.84</v>
      </c>
      <c r="N14" s="14">
        <f>IF('Données projet'!$A$36&gt;35,N13+M14-V13,IF(A14&lt;'Données projet'!$A$36,$K$205^A14,IF(A14='Données projet'!$A$36,'Données projet'!$B$36,N13+M14-V13)))</f>
        <v>6.5245967197614414</v>
      </c>
      <c r="O14" s="14">
        <f>N14*VLOOKUP('Données projet'!$B$9,Paramètres!$A$1:$I$89,3,0)*VLOOKUP('Données projet'!$B$9,Paramètres!$A$1:$I$89,5,0)</f>
        <v>6.6159410738381021</v>
      </c>
      <c r="P14" s="14">
        <f t="shared" si="33"/>
        <v>2.4469597615261804</v>
      </c>
      <c r="Q14" s="22">
        <f t="shared" si="2"/>
        <v>15.784552288259455</v>
      </c>
      <c r="R14" s="62">
        <f t="shared" si="0"/>
        <v>210.28035089737358</v>
      </c>
      <c r="S14" s="62">
        <f ca="1">AVERAGE(OFFSET($R$3,0,0,'Données projet'!$E$9+1,1))-AVERAGE(OFFSET($H$3,0,0,'Données projet'!$E$9+1,1))</f>
        <v>446.90706503298787</v>
      </c>
      <c r="T14" s="62">
        <f t="shared" si="34"/>
        <v>275.54513370838777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2.84</v>
      </c>
      <c r="AI14" s="14">
        <f>IF('Données projet'!$A$62&gt;35,AI13+AH14-AQ13,IF(A14&lt;'Données projet'!$A$62,$AF$205^A14,IF(A14='Données projet'!$A$62,'Données projet'!$B$62,AI13+AH14-AQ13)))</f>
        <v>6.5245967197614414</v>
      </c>
      <c r="AJ14" s="14">
        <f>AI14*VLOOKUP('Données projet'!$B$10,Paramètres!$A$1:$I$89,3,0)*VLOOKUP('Données projet'!$B$10,Paramètres!$A$1:$I$89,5,0)</f>
        <v>4.3766994796159748</v>
      </c>
      <c r="AK14" s="14">
        <f t="shared" si="35"/>
        <v>1.6985147128978915</v>
      </c>
      <c r="AL14" s="22">
        <f t="shared" si="4"/>
        <v>10.580998051961648</v>
      </c>
      <c r="AM14" s="62">
        <f t="shared" si="5"/>
        <v>205.07679666107578</v>
      </c>
      <c r="AN14" s="62">
        <f ca="1">AVERAGE(OFFSET($AM$3,0,0,'Données projet'!$E$10+1,1))-AVERAGE(OFFSET($H$3,0,0,'Données projet'!$E$10+1,1))</f>
        <v>312.88185844251097</v>
      </c>
      <c r="AO14" s="62">
        <f t="shared" si="36"/>
        <v>202.68317767036231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0.6</v>
      </c>
      <c r="BD14" s="13">
        <f>IF('Données projet'!$A$88&gt;35,BD13+BC14-BL13,IF(A14&lt;'Données projet'!$A$88,$BA$205^A14,IF(A14='Données projet'!$A$88,'Données projet'!$B$88,BD13+BC14-BL13)))</f>
        <v>5.0093092101266317</v>
      </c>
      <c r="BE14" s="14">
        <f>BD14*VLOOKUP('Données projet'!$B$11,Paramètres!$A$1:$I$89,3,0)*VLOOKUP('Données projet'!$B$11,Paramètres!$A$1:$I$89,5,0)</f>
        <v>4.3761325259666259</v>
      </c>
      <c r="BF14" s="14">
        <f t="shared" si="37"/>
        <v>1.69832029818762</v>
      </c>
      <c r="BG14" s="22">
        <f t="shared" si="7"/>
        <v>10.579672002068646</v>
      </c>
      <c r="BH14" s="62">
        <f t="shared" si="8"/>
        <v>205.07547061118277</v>
      </c>
      <c r="BI14" s="62">
        <f ca="1">AVERAGE(OFFSET($BH$3,0,0,'Données projet'!$E$11+1,1))-AVERAGE(OFFSET($H$3,0,0,'Données projet'!$E$11+1,1))</f>
        <v>287.22548699835653</v>
      </c>
      <c r="BJ14" s="62">
        <f t="shared" si="38"/>
        <v>276.01618888357268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2.84</v>
      </c>
      <c r="N15" s="14">
        <f>IF('Données projet'!$A$36&gt;35,N14+M15-V14,IF(A15&lt;'Données projet'!$A$36,$K$205^A15,IF(A15='Données projet'!$A$36,'Données projet'!$B$36,N14+M15-V14)))</f>
        <v>7.7375596019531026</v>
      </c>
      <c r="O15" s="14">
        <f>N15*VLOOKUP('Données projet'!$B$9,Paramètres!$A$1:$I$89,3,0)*VLOOKUP('Données projet'!$B$9,Paramètres!$A$1:$I$89,5,0)</f>
        <v>7.8458854363804464</v>
      </c>
      <c r="P15" s="14">
        <f t="shared" si="33"/>
        <v>2.844839063809101</v>
      </c>
      <c r="Q15" s="22">
        <f t="shared" si="2"/>
        <v>18.619678504496793</v>
      </c>
      <c r="R15" s="62">
        <f t="shared" si="0"/>
        <v>215.64945595722966</v>
      </c>
      <c r="S15" s="62">
        <f ca="1">AVERAGE(OFFSET($R$3,0,0,'Données projet'!$E$9+1,1))-AVERAGE(OFFSET($H$3,0,0,'Données projet'!$E$9+1,1))</f>
        <v>446.90706503298787</v>
      </c>
      <c r="T15" s="62">
        <f t="shared" si="34"/>
        <v>275.54513370838777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2.84</v>
      </c>
      <c r="AI15" s="14">
        <f>IF('Données projet'!$A$62&gt;35,AI14+AH15-AQ14,IF(A15&lt;'Données projet'!$A$62,$AF$205^A15,IF(A15='Données projet'!$A$62,'Données projet'!$B$62,AI14+AH15-AQ14)))</f>
        <v>7.7375596019531026</v>
      </c>
      <c r="AJ15" s="14">
        <f>AI15*VLOOKUP('Données projet'!$B$10,Paramètres!$A$1:$I$89,3,0)*VLOOKUP('Données projet'!$B$10,Paramètres!$A$1:$I$89,5,0)</f>
        <v>5.1903549809901417</v>
      </c>
      <c r="AK15" s="14">
        <f t="shared" si="35"/>
        <v>1.9746957353694614</v>
      </c>
      <c r="AL15" s="22">
        <f t="shared" si="4"/>
        <v>12.479129997659642</v>
      </c>
      <c r="AM15" s="62">
        <f t="shared" si="5"/>
        <v>209.50890745039251</v>
      </c>
      <c r="AN15" s="62">
        <f ca="1">AVERAGE(OFFSET($AM$3,0,0,'Données projet'!$E$10+1,1))-AVERAGE(OFFSET($H$3,0,0,'Données projet'!$E$10+1,1))</f>
        <v>312.88185844251097</v>
      </c>
      <c r="AO15" s="62">
        <f t="shared" si="36"/>
        <v>202.68317767036231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0.6</v>
      </c>
      <c r="BD15" s="13">
        <f>IF('Données projet'!$A$88&gt;35,BD14+BC15-BL14,IF(A15&lt;'Données projet'!$A$88,$BA$205^A15,IF(A15='Données projet'!$A$88,'Données projet'!$B$88,BD14+BC15-BL14)))</f>
        <v>5.799546134795289</v>
      </c>
      <c r="BE15" s="14">
        <f>BD15*VLOOKUP('Données projet'!$B$11,Paramètres!$A$1:$I$89,3,0)*VLOOKUP('Données projet'!$B$11,Paramètres!$A$1:$I$89,5,0)</f>
        <v>5.0664835033571656</v>
      </c>
      <c r="BF15" s="14">
        <f t="shared" si="37"/>
        <v>1.9329955120863267</v>
      </c>
      <c r="BG15" s="22">
        <f t="shared" si="7"/>
        <v>12.190759285230749</v>
      </c>
      <c r="BH15" s="62">
        <f t="shared" si="8"/>
        <v>209.22053673796361</v>
      </c>
      <c r="BI15" s="62">
        <f ca="1">AVERAGE(OFFSET($BH$3,0,0,'Données projet'!$E$11+1,1))-AVERAGE(OFFSET($H$3,0,0,'Données projet'!$E$11+1,1))</f>
        <v>287.22548699835653</v>
      </c>
      <c r="BJ15" s="62">
        <f t="shared" si="38"/>
        <v>276.01618888357268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2.84</v>
      </c>
      <c r="N16" s="14">
        <f>IF('Données projet'!$A$36&gt;35,N15+M16-V15,IF(A16&lt;'Données projet'!$A$36,$K$205^A16,IF(A16='Données projet'!$A$36,'Données projet'!$B$36,N15+M16-V15)))</f>
        <v>9.1760197856283234</v>
      </c>
      <c r="O16" s="14">
        <f>N16*VLOOKUP('Données projet'!$B$9,Paramètres!$A$1:$I$89,3,0)*VLOOKUP('Données projet'!$B$9,Paramètres!$A$1:$I$89,5,0)</f>
        <v>9.3044840626271217</v>
      </c>
      <c r="P16" s="14">
        <f t="shared" si="33"/>
        <v>3.3074141333352105</v>
      </c>
      <c r="Q16" s="22">
        <f t="shared" si="2"/>
        <v>21.965722691301057</v>
      </c>
      <c r="R16" s="62">
        <f t="shared" si="0"/>
        <v>221.50672294291988</v>
      </c>
      <c r="S16" s="62">
        <f ca="1">AVERAGE(OFFSET($R$3,0,0,'Données projet'!$E$9+1,1))-AVERAGE(OFFSET($H$3,0,0,'Données projet'!$E$9+1,1))</f>
        <v>446.90706503298787</v>
      </c>
      <c r="T16" s="62">
        <f t="shared" si="34"/>
        <v>275.54513370838777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2.84</v>
      </c>
      <c r="AI16" s="14">
        <f>IF('Données projet'!$A$62&gt;35,AI15+AH16-AQ15,IF(A16&lt;'Données projet'!$A$62,$AF$205^A16,IF(A16='Données projet'!$A$62,'Données projet'!$B$62,AI15+AH16-AQ15)))</f>
        <v>9.1760197856283234</v>
      </c>
      <c r="AJ16" s="14">
        <f>AI16*VLOOKUP('Données projet'!$B$10,Paramètres!$A$1:$I$89,3,0)*VLOOKUP('Données projet'!$B$10,Paramètres!$A$1:$I$89,5,0)</f>
        <v>6.1552740721994796</v>
      </c>
      <c r="AK16" s="14">
        <f t="shared" si="35"/>
        <v>2.2957842035017784</v>
      </c>
      <c r="AL16" s="22">
        <f t="shared" si="4"/>
        <v>14.718926496846356</v>
      </c>
      <c r="AM16" s="62">
        <f t="shared" si="5"/>
        <v>214.25992674846518</v>
      </c>
      <c r="AN16" s="62">
        <f ca="1">AVERAGE(OFFSET($AM$3,0,0,'Données projet'!$E$10+1,1))-AVERAGE(OFFSET($H$3,0,0,'Données projet'!$E$10+1,1))</f>
        <v>312.88185844251097</v>
      </c>
      <c r="AO16" s="62">
        <f t="shared" si="36"/>
        <v>202.68317767036231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0.6</v>
      </c>
      <c r="BD16" s="13">
        <f>IF('Données projet'!$A$88&gt;35,BD15+BC16-BL15,IF(A16&lt;'Données projet'!$A$88,$BA$205^A16,IF(A16='Données projet'!$A$88,'Données projet'!$B$88,BD15+BC16-BL15)))</f>
        <v>6.7144458364886441</v>
      </c>
      <c r="BE16" s="14">
        <f>BD16*VLOOKUP('Données projet'!$B$11,Paramètres!$A$1:$I$89,3,0)*VLOOKUP('Données projet'!$B$11,Paramètres!$A$1:$I$89,5,0)</f>
        <v>5.86573988275648</v>
      </c>
      <c r="BF16" s="14">
        <f t="shared" si="37"/>
        <v>2.2000983287624218</v>
      </c>
      <c r="BG16" s="22">
        <f t="shared" si="7"/>
        <v>14.048001551728753</v>
      </c>
      <c r="BH16" s="62">
        <f t="shared" si="8"/>
        <v>213.58900180334757</v>
      </c>
      <c r="BI16" s="62">
        <f ca="1">AVERAGE(OFFSET($BH$3,0,0,'Données projet'!$E$11+1,1))-AVERAGE(OFFSET($H$3,0,0,'Données projet'!$E$11+1,1))</f>
        <v>287.22548699835653</v>
      </c>
      <c r="BJ16" s="62">
        <f t="shared" si="38"/>
        <v>276.01618888357268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2.84</v>
      </c>
      <c r="N17" s="14">
        <f>IF('Données projet'!$A$36&gt;35,N16+M17-V16,IF(A17&lt;'Données projet'!$A$36,$K$205^A17,IF(A17='Données projet'!$A$36,'Données projet'!$B$36,N16+M17-V16)))</f>
        <v>10.881898613742376</v>
      </c>
      <c r="O17" s="14">
        <f>N17*VLOOKUP('Données projet'!$B$9,Paramètres!$A$1:$I$89,3,0)*VLOOKUP('Données projet'!$B$9,Paramètres!$A$1:$I$89,5,0)</f>
        <v>11.034245194334769</v>
      </c>
      <c r="P17" s="14">
        <f t="shared" si="33"/>
        <v>3.8452045982308483</v>
      </c>
      <c r="Q17" s="22">
        <f t="shared" si="2"/>
        <v>25.915041722051782</v>
      </c>
      <c r="R17" s="62">
        <f t="shared" si="0"/>
        <v>227.94490349432499</v>
      </c>
      <c r="S17" s="62">
        <f ca="1">AVERAGE(OFFSET($R$3,0,0,'Données projet'!$E$9+1,1))-AVERAGE(OFFSET($H$3,0,0,'Données projet'!$E$9+1,1))</f>
        <v>446.90706503298787</v>
      </c>
      <c r="T17" s="62">
        <f t="shared" si="34"/>
        <v>275.54513370838777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2.84</v>
      </c>
      <c r="AI17" s="14">
        <f>IF('Données projet'!$A$62&gt;35,AI16+AH17-AQ16,IF(A17&lt;'Données projet'!$A$62,$AF$205^A17,IF(A17='Données projet'!$A$62,'Données projet'!$B$62,AI16+AH17-AQ16)))</f>
        <v>10.881898613742376</v>
      </c>
      <c r="AJ17" s="14">
        <f>AI17*VLOOKUP('Données projet'!$B$10,Paramètres!$A$1:$I$89,3,0)*VLOOKUP('Données projet'!$B$10,Paramètres!$A$1:$I$89,5,0)</f>
        <v>7.2995775900983864</v>
      </c>
      <c r="AK17" s="14">
        <f t="shared" si="35"/>
        <v>2.6690821348546501</v>
      </c>
      <c r="AL17" s="22">
        <f t="shared" si="4"/>
        <v>17.362082354293207</v>
      </c>
      <c r="AM17" s="62">
        <f t="shared" si="5"/>
        <v>219.39194412656639</v>
      </c>
      <c r="AN17" s="62">
        <f ca="1">AVERAGE(OFFSET($AM$3,0,0,'Données projet'!$E$10+1,1))-AVERAGE(OFFSET($H$3,0,0,'Données projet'!$E$10+1,1))</f>
        <v>312.88185844251097</v>
      </c>
      <c r="AO17" s="62">
        <f t="shared" si="36"/>
        <v>202.68317767036231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0.6</v>
      </c>
      <c r="BD17" s="13">
        <f>IF('Données projet'!$A$88&gt;35,BD16+BC17-BL16,IF(A17&lt;'Données projet'!$A$88,$BA$205^A17,IF(A17='Données projet'!$A$88,'Données projet'!$B$88,BD16+BC17-BL16)))</f>
        <v>7.7736743261084582</v>
      </c>
      <c r="BE17" s="14">
        <f>BD17*VLOOKUP('Données projet'!$B$11,Paramètres!$A$1:$I$89,3,0)*VLOOKUP('Données projet'!$B$11,Paramètres!$A$1:$I$89,5,0)</f>
        <v>6.7910818912883508</v>
      </c>
      <c r="BF17" s="14">
        <f t="shared" si="37"/>
        <v>2.5041096194780144</v>
      </c>
      <c r="BG17" s="22">
        <f t="shared" si="7"/>
        <v>16.189125214584752</v>
      </c>
      <c r="BH17" s="62">
        <f t="shared" si="8"/>
        <v>218.21898698685794</v>
      </c>
      <c r="BI17" s="62">
        <f ca="1">AVERAGE(OFFSET($BH$3,0,0,'Données projet'!$E$11+1,1))-AVERAGE(OFFSET($H$3,0,0,'Données projet'!$E$11+1,1))</f>
        <v>287.22548699835653</v>
      </c>
      <c r="BJ17" s="62">
        <f t="shared" si="38"/>
        <v>276.01618888357268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2.84</v>
      </c>
      <c r="N18" s="14">
        <f>IF('Données projet'!$A$36&gt;35,N17+M18-V17,IF(A18&lt;'Données projet'!$A$36,$K$205^A18,IF(A18='Données projet'!$A$36,'Données projet'!$B$36,N17+M18-V17)))</f>
        <v>12.904910866172436</v>
      </c>
      <c r="O18" s="14">
        <f>N18*VLOOKUP('Données projet'!$B$9,Paramètres!$A$1:$I$89,3,0)*VLOOKUP('Données projet'!$B$9,Paramètres!$A$1:$I$89,5,0)</f>
        <v>13.085579618298853</v>
      </c>
      <c r="P18" s="14">
        <f t="shared" si="33"/>
        <v>4.4704405938260292</v>
      </c>
      <c r="Q18" s="22">
        <f t="shared" si="2"/>
        <v>30.576735202784167</v>
      </c>
      <c r="R18" s="62">
        <f t="shared" si="0"/>
        <v>235.07348513566521</v>
      </c>
      <c r="S18" s="62">
        <f ca="1">AVERAGE(OFFSET($R$3,0,0,'Données projet'!$E$9+1,1))-AVERAGE(OFFSET($H$3,0,0,'Données projet'!$E$9+1,1))</f>
        <v>446.90706503298787</v>
      </c>
      <c r="T18" s="62">
        <f t="shared" si="34"/>
        <v>275.54513370838777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2.84</v>
      </c>
      <c r="AI18" s="14">
        <f>IF('Données projet'!$A$62&gt;35,AI17+AH18-AQ17,IF(A18&lt;'Données projet'!$A$62,$AF$205^A18,IF(A18='Données projet'!$A$62,'Données projet'!$B$62,AI17+AH18-AQ17)))</f>
        <v>12.904910866172436</v>
      </c>
      <c r="AJ18" s="14">
        <f>AI18*VLOOKUP('Données projet'!$B$10,Paramètres!$A$1:$I$89,3,0)*VLOOKUP('Données projet'!$B$10,Paramètres!$A$1:$I$89,5,0)</f>
        <v>8.6566142090284703</v>
      </c>
      <c r="AK18" s="14">
        <f t="shared" si="35"/>
        <v>3.1030788659203949</v>
      </c>
      <c r="AL18" s="22">
        <f t="shared" si="4"/>
        <v>20.481465438869272</v>
      </c>
      <c r="AM18" s="62">
        <f t="shared" si="5"/>
        <v>224.97821537175031</v>
      </c>
      <c r="AN18" s="62">
        <f ca="1">AVERAGE(OFFSET($AM$3,0,0,'Données projet'!$E$10+1,1))-AVERAGE(OFFSET($H$3,0,0,'Données projet'!$E$10+1,1))</f>
        <v>312.88185844251097</v>
      </c>
      <c r="AO18" s="62">
        <f t="shared" si="36"/>
        <v>202.68317767036231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9</v>
      </c>
      <c r="BB18" s="13">
        <f>VLOOKUP(A18,'Données projet'!$A$87:$I$107,9,0)</f>
        <v>0.6</v>
      </c>
      <c r="BC18" s="13">
        <f t="array" ref="BC18">INDEX(BB:BB,MIN(IF(ISNUMBER(BB18:BB214),ROW(BB18:BB214),"")))</f>
        <v>0.6</v>
      </c>
      <c r="BD18" s="13">
        <f>IF('Données projet'!$A$88&gt;35,BD17+BC18-BL17,IF(A18&lt;'Données projet'!$A$88,$BA$205^A18,IF(A18='Données projet'!$A$88,'Données projet'!$B$88,BD17+BC18-BL17)))</f>
        <v>9</v>
      </c>
      <c r="BE18" s="14">
        <f>BD18*VLOOKUP('Données projet'!$B$11,Paramètres!$A$1:$I$89,3,0)*VLOOKUP('Données projet'!$B$11,Paramètres!$A$1:$I$89,5,0)</f>
        <v>7.8624000000000018</v>
      </c>
      <c r="BF18" s="14">
        <f t="shared" si="37"/>
        <v>2.8501294257559766</v>
      </c>
      <c r="BG18" s="22">
        <f t="shared" si="7"/>
        <v>18.657655416524996</v>
      </c>
      <c r="BH18" s="62">
        <f t="shared" si="8"/>
        <v>223.15440534940603</v>
      </c>
      <c r="BI18" s="62">
        <f ca="1">AVERAGE(OFFSET($BH$3,0,0,'Données projet'!$E$11+1,1))-AVERAGE(OFFSET($H$3,0,0,'Données projet'!$E$11+1,1))</f>
        <v>287.22548699835653</v>
      </c>
      <c r="BJ18" s="62">
        <f t="shared" si="38"/>
        <v>276.01618888357268</v>
      </c>
      <c r="BK18" s="16">
        <f>IF(ISNA(VLOOKUP(A18,'Données projet'!$A$87:$I$107,3,0)),0,VLOOKUP(A18,'Données projet'!$A$87:$I$107,3,0))</f>
        <v>1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1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2.84</v>
      </c>
      <c r="N19" s="14">
        <f>IF('Données projet'!$A$36&gt;35,N18+M19-V18,IF(A19&lt;'Données projet'!$A$36,$K$205^A19,IF(A19='Données projet'!$A$36,'Données projet'!$B$36,N18+M19-V18)))</f>
        <v>15.304013607840634</v>
      </c>
      <c r="O19" s="14">
        <f>N19*VLOOKUP('Données projet'!$B$9,Paramètres!$A$1:$I$89,3,0)*VLOOKUP('Données projet'!$B$9,Paramètres!$A$1:$I$89,5,0)</f>
        <v>15.518269798350405</v>
      </c>
      <c r="P19" s="14">
        <f t="shared" si="33"/>
        <v>5.1973408936737764</v>
      </c>
      <c r="Q19" s="22">
        <f t="shared" si="2"/>
        <v>36.079688621942118</v>
      </c>
      <c r="R19" s="62">
        <f t="shared" si="0"/>
        <v>243.02173454405619</v>
      </c>
      <c r="S19" s="62">
        <f ca="1">AVERAGE(OFFSET($R$3,0,0,'Données projet'!$E$9+1,1))-AVERAGE(OFFSET($H$3,0,0,'Données projet'!$E$9+1,1))</f>
        <v>446.90706503298787</v>
      </c>
      <c r="T19" s="62">
        <f t="shared" si="34"/>
        <v>275.54513370838777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2.84</v>
      </c>
      <c r="AI19" s="14">
        <f>IF('Données projet'!$A$62&gt;35,AI18+AH19-AQ18,IF(A19&lt;'Données projet'!$A$62,$AF$205^A19,IF(A19='Données projet'!$A$62,'Données projet'!$B$62,AI18+AH19-AQ18)))</f>
        <v>15.304013607840634</v>
      </c>
      <c r="AJ19" s="14">
        <f>AI19*VLOOKUP('Données projet'!$B$10,Paramètres!$A$1:$I$89,3,0)*VLOOKUP('Données projet'!$B$10,Paramètres!$A$1:$I$89,5,0)</f>
        <v>10.265932328139497</v>
      </c>
      <c r="AK19" s="14">
        <f t="shared" si="35"/>
        <v>3.6076441119509326</v>
      </c>
      <c r="AL19" s="22">
        <f t="shared" si="4"/>
        <v>24.163145633157498</v>
      </c>
      <c r="AM19" s="62">
        <f t="shared" si="5"/>
        <v>231.10519155527157</v>
      </c>
      <c r="AN19" s="62">
        <f ca="1">AVERAGE(OFFSET($AM$3,0,0,'Données projet'!$E$10+1,1))-AVERAGE(OFFSET($H$3,0,0,'Données projet'!$E$10+1,1))</f>
        <v>312.88185844251097</v>
      </c>
      <c r="AO19" s="62">
        <f t="shared" si="36"/>
        <v>202.68317767036231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9.6</v>
      </c>
      <c r="BD19" s="13">
        <f>IF('Données projet'!$A$88&gt;35,BD18+BC19-BL18,IF(A19&lt;'Données projet'!$A$88,$BA$205^A19,IF(A19='Données projet'!$A$88,'Données projet'!$B$88,BD18+BC19-BL18)))</f>
        <v>18.600000000000001</v>
      </c>
      <c r="BE19" s="14">
        <f>BD19*VLOOKUP('Données projet'!$B$11,Paramètres!$A$1:$I$89,3,0)*VLOOKUP('Données projet'!$B$11,Paramètres!$A$1:$I$89,5,0)</f>
        <v>16.248960000000004</v>
      </c>
      <c r="BF19" s="14">
        <f t="shared" si="37"/>
        <v>5.4129939058841199</v>
      </c>
      <c r="BG19" s="22">
        <f t="shared" si="7"/>
        <v>37.727903052748182</v>
      </c>
      <c r="BH19" s="62">
        <f t="shared" si="8"/>
        <v>244.66994897486225</v>
      </c>
      <c r="BI19" s="62">
        <f ca="1">AVERAGE(OFFSET($BH$3,0,0,'Données projet'!$E$11+1,1))-AVERAGE(OFFSET($H$3,0,0,'Données projet'!$E$11+1,1))</f>
        <v>287.22548699835653</v>
      </c>
      <c r="BJ19" s="62">
        <f t="shared" si="38"/>
        <v>276.01618888357268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2.84</v>
      </c>
      <c r="N20" s="14">
        <f>IF('Données projet'!$A$36&gt;35,N19+M20-V19,IF(A20&lt;'Données projet'!$A$36,$K$205^A20,IF(A20='Données projet'!$A$36,'Données projet'!$B$36,N19+M20-V19)))</f>
        <v>18.149124386663679</v>
      </c>
      <c r="O20" s="14">
        <f>N20*VLOOKUP('Données projet'!$B$9,Paramètres!$A$1:$I$89,3,0)*VLOOKUP('Données projet'!$B$9,Paramètres!$A$1:$I$89,5,0)</f>
        <v>18.403212128076973</v>
      </c>
      <c r="P20" s="14">
        <f t="shared" si="33"/>
        <v>6.0424362650875043</v>
      </c>
      <c r="Q20" s="22">
        <f t="shared" si="2"/>
        <v>42.576170951428125</v>
      </c>
      <c r="R20" s="62">
        <f t="shared" si="0"/>
        <v>251.94229526730084</v>
      </c>
      <c r="S20" s="62">
        <f ca="1">AVERAGE(OFFSET($R$3,0,0,'Données projet'!$E$9+1,1))-AVERAGE(OFFSET($H$3,0,0,'Données projet'!$E$9+1,1))</f>
        <v>446.90706503298787</v>
      </c>
      <c r="T20" s="62">
        <f t="shared" si="34"/>
        <v>275.54513370838777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2.84</v>
      </c>
      <c r="AI20" s="14">
        <f>IF('Données projet'!$A$62&gt;35,AI19+AH20-AQ19,IF(A20&lt;'Données projet'!$A$62,$AF$205^A20,IF(A20='Données projet'!$A$62,'Données projet'!$B$62,AI19+AH20-AQ19)))</f>
        <v>18.149124386663679</v>
      </c>
      <c r="AJ20" s="14">
        <f>AI20*VLOOKUP('Données projet'!$B$10,Paramètres!$A$1:$I$89,3,0)*VLOOKUP('Données projet'!$B$10,Paramètres!$A$1:$I$89,5,0)</f>
        <v>12.174432638573997</v>
      </c>
      <c r="AK20" s="14">
        <f t="shared" si="35"/>
        <v>4.1942524186003478</v>
      </c>
      <c r="AL20" s="22">
        <f t="shared" si="4"/>
        <v>28.508793141245317</v>
      </c>
      <c r="AM20" s="62">
        <f t="shared" si="5"/>
        <v>237.87491745711804</v>
      </c>
      <c r="AN20" s="62">
        <f ca="1">AVERAGE(OFFSET($AM$3,0,0,'Données projet'!$E$10+1,1))-AVERAGE(OFFSET($H$3,0,0,'Données projet'!$E$10+1,1))</f>
        <v>312.88185844251097</v>
      </c>
      <c r="AO20" s="62">
        <f t="shared" si="36"/>
        <v>202.68317767036231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9.6</v>
      </c>
      <c r="BD20" s="13">
        <f>IF('Données projet'!$A$88&gt;35,BD19+BC20-BL19,IF(A20&lt;'Données projet'!$A$88,$BA$205^A20,IF(A20='Données projet'!$A$88,'Données projet'!$B$88,BD19+BC20-BL19)))</f>
        <v>28.200000000000003</v>
      </c>
      <c r="BE20" s="14">
        <f>BD20*VLOOKUP('Données projet'!$B$11,Paramètres!$A$1:$I$89,3,0)*VLOOKUP('Données projet'!$B$11,Paramètres!$A$1:$I$89,5,0)</f>
        <v>24.635520000000007</v>
      </c>
      <c r="BF20" s="14">
        <f t="shared" si="37"/>
        <v>7.8187263384607988</v>
      </c>
      <c r="BG20" s="22">
        <f t="shared" si="7"/>
        <v>56.524479039485897</v>
      </c>
      <c r="BH20" s="62">
        <f t="shared" si="8"/>
        <v>265.89060335535862</v>
      </c>
      <c r="BI20" s="62">
        <f ca="1">AVERAGE(OFFSET($BH$3,0,0,'Données projet'!$E$11+1,1))-AVERAGE(OFFSET($H$3,0,0,'Données projet'!$E$11+1,1))</f>
        <v>287.22548699835653</v>
      </c>
      <c r="BJ20" s="62">
        <f t="shared" si="38"/>
        <v>276.01618888357268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2.84</v>
      </c>
      <c r="N21" s="14">
        <f>IF('Données projet'!$A$36&gt;35,N20+M21-V20,IF(A21&lt;'Données projet'!$A$36,$K$205^A21,IF(A21='Données projet'!$A$36,'Données projet'!$B$36,N20+M21-V20)))</f>
        <v>21.523158855127722</v>
      </c>
      <c r="O21" s="14">
        <f>N21*VLOOKUP('Données projet'!$B$9,Paramètres!$A$1:$I$89,3,0)*VLOOKUP('Données projet'!$B$9,Paramètres!$A$1:$I$89,5,0)</f>
        <v>21.824483079099512</v>
      </c>
      <c r="P21" s="14">
        <f t="shared" si="33"/>
        <v>7.0249454027704825</v>
      </c>
      <c r="Q21" s="22">
        <f t="shared" si="2"/>
        <v>50.246087939256903</v>
      </c>
      <c r="R21" s="62">
        <f t="shared" si="0"/>
        <v>262.01544113125999</v>
      </c>
      <c r="S21" s="62">
        <f ca="1">AVERAGE(OFFSET($R$3,0,0,'Données projet'!$E$9+1,1))-AVERAGE(OFFSET($H$3,0,0,'Données projet'!$E$9+1,1))</f>
        <v>446.90706503298787</v>
      </c>
      <c r="T21" s="62">
        <f t="shared" si="34"/>
        <v>275.54513370838777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2.84</v>
      </c>
      <c r="AI21" s="14">
        <f>IF('Données projet'!$A$62&gt;35,AI20+AH21-AQ20,IF(A21&lt;'Données projet'!$A$62,$AF$205^A21,IF(A21='Données projet'!$A$62,'Données projet'!$B$62,AI20+AH21-AQ20)))</f>
        <v>21.523158855127722</v>
      </c>
      <c r="AJ21" s="14">
        <f>AI21*VLOOKUP('Données projet'!$B$10,Paramètres!$A$1:$I$89,3,0)*VLOOKUP('Données projet'!$B$10,Paramètres!$A$1:$I$89,5,0)</f>
        <v>14.437734960019675</v>
      </c>
      <c r="AK21" s="14">
        <f t="shared" si="35"/>
        <v>4.8762441097388711</v>
      </c>
      <c r="AL21" s="22">
        <f t="shared" si="4"/>
        <v>33.638513546496135</v>
      </c>
      <c r="AM21" s="62">
        <f t="shared" si="5"/>
        <v>245.40786673849925</v>
      </c>
      <c r="AN21" s="62">
        <f ca="1">AVERAGE(OFFSET($AM$3,0,0,'Données projet'!$E$10+1,1))-AVERAGE(OFFSET($H$3,0,0,'Données projet'!$E$10+1,1))</f>
        <v>312.88185844251097</v>
      </c>
      <c r="AO21" s="62">
        <f t="shared" si="36"/>
        <v>202.68317767036231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9.6</v>
      </c>
      <c r="BD21" s="13">
        <f>IF('Données projet'!$A$88&gt;35,BD20+BC21-BL20,IF(A21&lt;'Données projet'!$A$88,$BA$205^A21,IF(A21='Données projet'!$A$88,'Données projet'!$B$88,BD20+BC21-BL20)))</f>
        <v>37.800000000000004</v>
      </c>
      <c r="BE21" s="14">
        <f>BD21*VLOOKUP('Données projet'!$B$11,Paramètres!$A$1:$I$89,3,0)*VLOOKUP('Données projet'!$B$11,Paramètres!$A$1:$I$89,5,0)</f>
        <v>33.022080000000003</v>
      </c>
      <c r="BF21" s="14">
        <f t="shared" si="37"/>
        <v>10.129025278332465</v>
      </c>
      <c r="BG21" s="22">
        <f t="shared" si="7"/>
        <v>75.154841693095705</v>
      </c>
      <c r="BH21" s="62">
        <f t="shared" si="8"/>
        <v>286.92419488509881</v>
      </c>
      <c r="BI21" s="62">
        <f ca="1">AVERAGE(OFFSET($BH$3,0,0,'Données projet'!$E$11+1,1))-AVERAGE(OFFSET($H$3,0,0,'Données projet'!$E$11+1,1))</f>
        <v>287.22548699835653</v>
      </c>
      <c r="BJ21" s="62">
        <f t="shared" si="38"/>
        <v>276.01618888357268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2.84</v>
      </c>
      <c r="N22" s="14">
        <f>IF('Données projet'!$A$36&gt;35,N21+M22-V21,IF(A22&lt;'Données projet'!$A$36,$K$205^A22,IF(A22='Données projet'!$A$36,'Données projet'!$B$36,N21+M22-V21)))</f>
        <v>25.524447198315809</v>
      </c>
      <c r="O22" s="14">
        <f>N22*VLOOKUP('Données projet'!$B$9,Paramètres!$A$1:$I$89,3,0)*VLOOKUP('Données projet'!$B$9,Paramètres!$A$1:$I$89,5,0)</f>
        <v>25.881789459092229</v>
      </c>
      <c r="P22" s="14">
        <f t="shared" si="33"/>
        <v>8.1672119898134259</v>
      </c>
      <c r="Q22" s="22">
        <f t="shared" si="2"/>
        <v>59.302010856844014</v>
      </c>
      <c r="R22" s="62">
        <f t="shared" si="0"/>
        <v>273.45410509986755</v>
      </c>
      <c r="S22" s="62">
        <f ca="1">AVERAGE(OFFSET($R$3,0,0,'Données projet'!$E$9+1,1))-AVERAGE(OFFSET($H$3,0,0,'Données projet'!$E$9+1,1))</f>
        <v>446.90706503298787</v>
      </c>
      <c r="T22" s="62">
        <f t="shared" si="34"/>
        <v>275.54513370838777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2.84</v>
      </c>
      <c r="AI22" s="14">
        <f>IF('Données projet'!$A$62&gt;35,AI21+AH22-AQ21,IF(A22&lt;'Données projet'!$A$62,$AF$205^A22,IF(A22='Données projet'!$A$62,'Données projet'!$B$62,AI21+AH22-AQ21)))</f>
        <v>25.524447198315809</v>
      </c>
      <c r="AJ22" s="14">
        <f>AI22*VLOOKUP('Données projet'!$B$10,Paramètres!$A$1:$I$89,3,0)*VLOOKUP('Données projet'!$B$10,Paramètres!$A$1:$I$89,5,0)</f>
        <v>17.121799180630244</v>
      </c>
      <c r="AK22" s="14">
        <f t="shared" si="35"/>
        <v>5.6691286657701561</v>
      </c>
      <c r="AL22" s="22">
        <f t="shared" si="4"/>
        <v>39.6941993324807</v>
      </c>
      <c r="AM22" s="62">
        <f t="shared" si="5"/>
        <v>253.84629357550423</v>
      </c>
      <c r="AN22" s="62">
        <f ca="1">AVERAGE(OFFSET($AM$3,0,0,'Données projet'!$E$10+1,1))-AVERAGE(OFFSET($H$3,0,0,'Données projet'!$E$10+1,1))</f>
        <v>312.88185844251097</v>
      </c>
      <c r="AO22" s="62">
        <f t="shared" si="36"/>
        <v>202.68317767036231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9.6</v>
      </c>
      <c r="BD22" s="13">
        <f>IF('Données projet'!$A$88&gt;35,BD21+BC22-BL21,IF(A22&lt;'Données projet'!$A$88,$BA$205^A22,IF(A22='Données projet'!$A$88,'Données projet'!$B$88,BD21+BC22-BL21)))</f>
        <v>47.400000000000006</v>
      </c>
      <c r="BE22" s="14">
        <f>BD22*VLOOKUP('Données projet'!$B$11,Paramètres!$A$1:$I$89,3,0)*VLOOKUP('Données projet'!$B$11,Paramètres!$A$1:$I$89,5,0)</f>
        <v>41.408640000000005</v>
      </c>
      <c r="BF22" s="14">
        <f t="shared" si="37"/>
        <v>12.371251711099637</v>
      </c>
      <c r="BG22" s="22">
        <f t="shared" si="7"/>
        <v>93.666644730165203</v>
      </c>
      <c r="BH22" s="62">
        <f t="shared" si="8"/>
        <v>307.81873897318872</v>
      </c>
      <c r="BI22" s="62">
        <f ca="1">AVERAGE(OFFSET($BH$3,0,0,'Données projet'!$E$11+1,1))-AVERAGE(OFFSET($H$3,0,0,'Données projet'!$E$11+1,1))</f>
        <v>287.22548699835653</v>
      </c>
      <c r="BJ22" s="62">
        <f t="shared" si="38"/>
        <v>276.01618888357268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2.84</v>
      </c>
      <c r="N23" s="14">
        <f>IF('Données projet'!$A$36&gt;35,N22+M23-V22,IF(A23&lt;'Données projet'!$A$36,$K$205^A23,IF(A23='Données projet'!$A$36,'Données projet'!$B$36,N22+M23-V22)))</f>
        <v>30.269599790850293</v>
      </c>
      <c r="O23" s="14">
        <f>N23*VLOOKUP('Données projet'!$B$9,Paramètres!$A$1:$I$89,3,0)*VLOOKUP('Données projet'!$B$9,Paramètres!$A$1:$I$89,5,0)</f>
        <v>30.693374187922199</v>
      </c>
      <c r="P23" s="14">
        <f t="shared" si="33"/>
        <v>9.4952128254613779</v>
      </c>
      <c r="Q23" s="22">
        <f t="shared" si="2"/>
        <v>69.995122381643057</v>
      </c>
      <c r="R23" s="62">
        <f t="shared" si="0"/>
        <v>286.50982526853875</v>
      </c>
      <c r="S23" s="62">
        <f ca="1">AVERAGE(OFFSET($R$3,0,0,'Données projet'!$E$9+1,1))-AVERAGE(OFFSET($H$3,0,0,'Données projet'!$E$9+1,1))</f>
        <v>446.90706503298787</v>
      </c>
      <c r="T23" s="62">
        <f t="shared" si="34"/>
        <v>275.54513370838777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2.84</v>
      </c>
      <c r="AI23" s="14">
        <f>IF('Données projet'!$A$62&gt;35,AI22+AH23-AQ22,IF(A23&lt;'Données projet'!$A$62,$AF$205^A23,IF(A23='Données projet'!$A$62,'Données projet'!$B$62,AI22+AH23-AQ22)))</f>
        <v>30.269599790850293</v>
      </c>
      <c r="AJ23" s="14">
        <f>AI23*VLOOKUP('Données projet'!$B$10,Paramètres!$A$1:$I$89,3,0)*VLOOKUP('Données projet'!$B$10,Paramètres!$A$1:$I$89,5,0)</f>
        <v>20.304847539702376</v>
      </c>
      <c r="AK23" s="14">
        <f t="shared" si="35"/>
        <v>6.5909374317148384</v>
      </c>
      <c r="AL23" s="22">
        <f t="shared" si="4"/>
        <v>46.843492158551648</v>
      </c>
      <c r="AM23" s="62">
        <f t="shared" si="5"/>
        <v>263.35819504544736</v>
      </c>
      <c r="AN23" s="62">
        <f ca="1">AVERAGE(OFFSET($AM$3,0,0,'Données projet'!$E$10+1,1))-AVERAGE(OFFSET($H$3,0,0,'Données projet'!$E$10+1,1))</f>
        <v>312.88185844251097</v>
      </c>
      <c r="AO23" s="62">
        <f t="shared" si="36"/>
        <v>202.68317767036231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57</v>
      </c>
      <c r="BB23" s="13">
        <f>VLOOKUP(A23,'Données projet'!$A$87:$I$107,9,0)</f>
        <v>9.6</v>
      </c>
      <c r="BC23" s="13">
        <f t="array" ref="BC23">INDEX(BB:BB,MIN(IF(ISNUMBER(BB23:BB219),ROW(BB23:BB219),"")))</f>
        <v>9.6</v>
      </c>
      <c r="BD23" s="13">
        <f>IF('Données projet'!$A$88&gt;35,BD22+BC23-BL22,IF(A23&lt;'Données projet'!$A$88,$BA$205^A23,IF(A23='Données projet'!$A$88,'Données projet'!$B$88,BD22+BC23-BL22)))</f>
        <v>57.000000000000007</v>
      </c>
      <c r="BE23" s="14">
        <f>BD23*VLOOKUP('Données projet'!$B$11,Paramètres!$A$1:$I$89,3,0)*VLOOKUP('Données projet'!$B$11,Paramètres!$A$1:$I$89,5,0)</f>
        <v>49.795200000000008</v>
      </c>
      <c r="BF23" s="14">
        <f t="shared" si="37"/>
        <v>14.560856542690781</v>
      </c>
      <c r="BG23" s="22">
        <f t="shared" si="7"/>
        <v>112.08679847851981</v>
      </c>
      <c r="BH23" s="62">
        <f t="shared" si="8"/>
        <v>328.60150136541552</v>
      </c>
      <c r="BI23" s="62">
        <f ca="1">AVERAGE(OFFSET($BH$3,0,0,'Données projet'!$E$11+1,1))-AVERAGE(OFFSET($H$3,0,0,'Données projet'!$E$11+1,1))</f>
        <v>287.22548699835653</v>
      </c>
      <c r="BJ23" s="62">
        <f t="shared" si="38"/>
        <v>276.01618888357268</v>
      </c>
      <c r="BK23" s="16">
        <f>IF(ISNA(VLOOKUP(A23,'Données projet'!$A$87:$I$107,3,0)),0,VLOOKUP(A23,'Données projet'!$A$87:$I$107,3,0))</f>
        <v>2</v>
      </c>
      <c r="BL23" s="16">
        <f>IF(ISNA(VLOOKUP(A23,'Données projet'!$A$87:$I$107,4,0)),0,VLOOKUP(A23,'Données projet'!$A$87:$I$107,4,0))</f>
        <v>21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1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17.309567364584613</v>
      </c>
      <c r="BS23" s="24">
        <f t="shared" si="9"/>
        <v>17.309567364584613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2.84</v>
      </c>
      <c r="N24" s="14">
        <f>IF('Données projet'!$A$36&gt;35,N23+M24-V23,IF(A24&lt;'Données projet'!$A$36,$K$205^A24,IF(A24='Données projet'!$A$36,'Données projet'!$B$36,N23+M24-V23)))</f>
        <v>35.896905597183761</v>
      </c>
      <c r="O24" s="14">
        <f>N24*VLOOKUP('Données projet'!$B$9,Paramètres!$A$1:$I$89,3,0)*VLOOKUP('Données projet'!$B$9,Paramètres!$A$1:$I$89,5,0)</f>
        <v>36.399462275544337</v>
      </c>
      <c r="P24" s="14">
        <f t="shared" si="33"/>
        <v>11.039148575212362</v>
      </c>
      <c r="Q24" s="22">
        <f t="shared" si="2"/>
        <v>82.62224723173459</v>
      </c>
      <c r="R24" s="62">
        <f t="shared" si="0"/>
        <v>301.47977560760899</v>
      </c>
      <c r="S24" s="62">
        <f ca="1">AVERAGE(OFFSET($R$3,0,0,'Données projet'!$E$9+1,1))-AVERAGE(OFFSET($H$3,0,0,'Données projet'!$E$9+1,1))</f>
        <v>446.90706503298787</v>
      </c>
      <c r="T24" s="62">
        <f t="shared" si="34"/>
        <v>275.54513370838777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2.84</v>
      </c>
      <c r="AI24" s="14">
        <f>IF('Données projet'!$A$62&gt;35,AI23+AH24-AQ23,IF(A24&lt;'Données projet'!$A$62,$AF$205^A24,IF(A24='Données projet'!$A$62,'Données projet'!$B$62,AI23+AH24-AQ23)))</f>
        <v>35.896905597183761</v>
      </c>
      <c r="AJ24" s="14">
        <f>AI24*VLOOKUP('Données projet'!$B$10,Paramètres!$A$1:$I$89,3,0)*VLOOKUP('Données projet'!$B$10,Paramètres!$A$1:$I$89,5,0)</f>
        <v>24.079644274590869</v>
      </c>
      <c r="AK24" s="14">
        <f t="shared" si="35"/>
        <v>7.662633676153888</v>
      </c>
      <c r="AL24" s="22">
        <f t="shared" si="4"/>
        <v>55.284467430880447</v>
      </c>
      <c r="AM24" s="62">
        <f t="shared" si="5"/>
        <v>274.14199580675484</v>
      </c>
      <c r="AN24" s="62">
        <f ca="1">AVERAGE(OFFSET($AM$3,0,0,'Données projet'!$E$10+1,1))-AVERAGE(OFFSET($H$3,0,0,'Données projet'!$E$10+1,1))</f>
        <v>312.88185844251097</v>
      </c>
      <c r="AO24" s="62">
        <f t="shared" si="36"/>
        <v>202.68317767036231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10.199999999999999</v>
      </c>
      <c r="BD24" s="13">
        <f>IF('Données projet'!$A$88&gt;35,BD23+BC24-BL23,IF(A24&lt;'Données projet'!$A$88,$BA$205^A24,IF(A24='Données projet'!$A$88,'Données projet'!$B$88,BD23+BC24-BL23)))</f>
        <v>46.2</v>
      </c>
      <c r="BE24" s="14">
        <f>BD24*VLOOKUP('Données projet'!$B$11,Paramètres!$A$1:$I$89,3,0)*VLOOKUP('Données projet'!$B$11,Paramètres!$A$1:$I$89,5,0)</f>
        <v>40.360320000000009</v>
      </c>
      <c r="BF24" s="14">
        <f t="shared" si="37"/>
        <v>12.09409986057485</v>
      </c>
      <c r="BG24" s="22">
        <f t="shared" si="7"/>
        <v>91.358114590501216</v>
      </c>
      <c r="BH24" s="62">
        <f t="shared" si="8"/>
        <v>310.21564296637558</v>
      </c>
      <c r="BI24" s="62">
        <f ca="1">AVERAGE(OFFSET($BH$3,0,0,'Données projet'!$E$11+1,1))-AVERAGE(OFFSET($H$3,0,0,'Données projet'!$E$11+1,1))</f>
        <v>287.22548699835653</v>
      </c>
      <c r="BJ24" s="62">
        <f t="shared" si="38"/>
        <v>276.01618888357268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12.239712462903137</v>
      </c>
      <c r="BS24" s="24">
        <f t="shared" si="9"/>
        <v>12.239712462903137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2.84</v>
      </c>
      <c r="N25" s="14">
        <f>IF('Données projet'!$A$36&gt;35,N24+M25-V24,IF(A25&lt;'Données projet'!$A$36,$K$205^A25,IF(A25='Données projet'!$A$36,'Données projet'!$B$36,N24+M25-V24)))</f>
        <v>42.570362355521766</v>
      </c>
      <c r="O25" s="14">
        <f>N25*VLOOKUP('Données projet'!$B$9,Paramètres!$A$1:$I$89,3,0)*VLOOKUP('Données projet'!$B$9,Paramètres!$A$1:$I$89,5,0)</f>
        <v>43.166347428499073</v>
      </c>
      <c r="P25" s="14">
        <f t="shared" si="33"/>
        <v>12.83413057776214</v>
      </c>
      <c r="Q25" s="22">
        <f t="shared" si="2"/>
        <v>97.534165860904935</v>
      </c>
      <c r="R25" s="62">
        <f t="shared" si="0"/>
        <v>318.71507976437334</v>
      </c>
      <c r="S25" s="62">
        <f ca="1">AVERAGE(OFFSET($R$3,0,0,'Données projet'!$E$9+1,1))-AVERAGE(OFFSET($H$3,0,0,'Données projet'!$E$9+1,1))</f>
        <v>446.90706503298787</v>
      </c>
      <c r="T25" s="62">
        <f t="shared" si="34"/>
        <v>275.54513370838777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2.84</v>
      </c>
      <c r="AI25" s="14">
        <f>IF('Données projet'!$A$62&gt;35,AI24+AH25-AQ24,IF(A25&lt;'Données projet'!$A$62,$AF$205^A25,IF(A25='Données projet'!$A$62,'Données projet'!$B$62,AI24+AH25-AQ24)))</f>
        <v>42.570362355521766</v>
      </c>
      <c r="AJ25" s="14">
        <f>AI25*VLOOKUP('Données projet'!$B$10,Paramètres!$A$1:$I$89,3,0)*VLOOKUP('Données projet'!$B$10,Paramètres!$A$1:$I$89,5,0)</f>
        <v>28.556199068084002</v>
      </c>
      <c r="AK25" s="14">
        <f t="shared" si="35"/>
        <v>8.9085893263670233</v>
      </c>
      <c r="AL25" s="22">
        <f t="shared" si="4"/>
        <v>65.251173120335537</v>
      </c>
      <c r="AM25" s="62">
        <f t="shared" si="5"/>
        <v>286.43208702380394</v>
      </c>
      <c r="AN25" s="62">
        <f ca="1">AVERAGE(OFFSET($AM$3,0,0,'Données projet'!$E$10+1,1))-AVERAGE(OFFSET($H$3,0,0,'Données projet'!$E$10+1,1))</f>
        <v>312.88185844251097</v>
      </c>
      <c r="AO25" s="62">
        <f t="shared" si="36"/>
        <v>202.68317767036231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10.199999999999999</v>
      </c>
      <c r="BD25" s="13">
        <f>IF('Données projet'!$A$88&gt;35,BD24+BC25-BL24,IF(A25&lt;'Données projet'!$A$88,$BA$205^A25,IF(A25='Données projet'!$A$88,'Données projet'!$B$88,BD24+BC25-BL24)))</f>
        <v>56.400000000000006</v>
      </c>
      <c r="BE25" s="14">
        <f>BD25*VLOOKUP('Données projet'!$B$11,Paramètres!$A$1:$I$89,3,0)*VLOOKUP('Données projet'!$B$11,Paramètres!$A$1:$I$89,5,0)</f>
        <v>49.271040000000013</v>
      </c>
      <c r="BF25" s="14">
        <f t="shared" si="37"/>
        <v>14.425341953309859</v>
      </c>
      <c r="BG25" s="22">
        <f t="shared" si="7"/>
        <v>110.93786523534801</v>
      </c>
      <c r="BH25" s="62">
        <f t="shared" si="8"/>
        <v>332.11877913881642</v>
      </c>
      <c r="BI25" s="62">
        <f ca="1">AVERAGE(OFFSET($BH$3,0,0,'Données projet'!$E$11+1,1))-AVERAGE(OFFSET($H$3,0,0,'Données projet'!$E$11+1,1))</f>
        <v>287.22548699835653</v>
      </c>
      <c r="BJ25" s="62">
        <f t="shared" si="38"/>
        <v>276.01618888357268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8.6547836822923081</v>
      </c>
      <c r="BS25" s="24">
        <f t="shared" si="9"/>
        <v>8.6547836822923081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2.84</v>
      </c>
      <c r="N26" s="14">
        <f>IF('Données projet'!$A$36&gt;35,N25+M26-V25,IF(A26&lt;'Données projet'!$A$36,$K$205^A26,IF(A26='Données projet'!$A$36,'Données projet'!$B$36,N25+M26-V25)))</f>
        <v>50.484455997861858</v>
      </c>
      <c r="O26" s="14">
        <f>N26*VLOOKUP('Données projet'!$B$9,Paramètres!$A$1:$I$89,3,0)*VLOOKUP('Données projet'!$B$9,Paramètres!$A$1:$I$89,5,0)</f>
        <v>51.19123838183193</v>
      </c>
      <c r="P26" s="14">
        <f t="shared" si="33"/>
        <v>14.920979327781229</v>
      </c>
      <c r="Q26" s="22">
        <f t="shared" si="2"/>
        <v>115.14544584424293</v>
      </c>
      <c r="R26" s="62">
        <f t="shared" si="0"/>
        <v>338.63064255378941</v>
      </c>
      <c r="S26" s="62">
        <f ca="1">AVERAGE(OFFSET($R$3,0,0,'Données projet'!$E$9+1,1))-AVERAGE(OFFSET($H$3,0,0,'Données projet'!$E$9+1,1))</f>
        <v>446.90706503298787</v>
      </c>
      <c r="T26" s="62">
        <f t="shared" si="34"/>
        <v>275.54513370838777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2.84</v>
      </c>
      <c r="AI26" s="14">
        <f>IF('Données projet'!$A$62&gt;35,AI25+AH26-AQ25,IF(A26&lt;'Données projet'!$A$62,$AF$205^A26,IF(A26='Données projet'!$A$62,'Données projet'!$B$62,AI25+AH26-AQ25)))</f>
        <v>50.484455997861858</v>
      </c>
      <c r="AJ26" s="14">
        <f>AI26*VLOOKUP('Données projet'!$B$10,Paramètres!$A$1:$I$89,3,0)*VLOOKUP('Données projet'!$B$10,Paramètres!$A$1:$I$89,5,0)</f>
        <v>33.86497308336574</v>
      </c>
      <c r="AK26" s="14">
        <f t="shared" si="35"/>
        <v>10.357139221314718</v>
      </c>
      <c r="AL26" s="22">
        <f t="shared" si="4"/>
        <v>77.020178930651795</v>
      </c>
      <c r="AM26" s="62">
        <f t="shared" si="5"/>
        <v>300.50537564019828</v>
      </c>
      <c r="AN26" s="62">
        <f ca="1">AVERAGE(OFFSET($AM$3,0,0,'Données projet'!$E$10+1,1))-AVERAGE(OFFSET($H$3,0,0,'Données projet'!$E$10+1,1))</f>
        <v>312.88185844251097</v>
      </c>
      <c r="AO26" s="62">
        <f t="shared" si="36"/>
        <v>202.68317767036231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10.199999999999999</v>
      </c>
      <c r="BD26" s="13">
        <f>IF('Données projet'!$A$88&gt;35,BD25+BC26-BL25,IF(A26&lt;'Données projet'!$A$88,$BA$205^A26,IF(A26='Données projet'!$A$88,'Données projet'!$B$88,BD25+BC26-BL25)))</f>
        <v>66.600000000000009</v>
      </c>
      <c r="BE26" s="14">
        <f>BD26*VLOOKUP('Données projet'!$B$11,Paramètres!$A$1:$I$89,3,0)*VLOOKUP('Données projet'!$B$11,Paramètres!$A$1:$I$89,5,0)</f>
        <v>58.181760000000011</v>
      </c>
      <c r="BF26" s="14">
        <f t="shared" si="37"/>
        <v>16.707740816589531</v>
      </c>
      <c r="BG26" s="22">
        <f t="shared" si="7"/>
        <v>130.43254725556011</v>
      </c>
      <c r="BH26" s="62">
        <f t="shared" si="8"/>
        <v>353.91774396510664</v>
      </c>
      <c r="BI26" s="62">
        <f ca="1">AVERAGE(OFFSET($BH$3,0,0,'Données projet'!$E$11+1,1))-AVERAGE(OFFSET($H$3,0,0,'Données projet'!$E$11+1,1))</f>
        <v>287.22548699835653</v>
      </c>
      <c r="BJ26" s="62">
        <f t="shared" si="38"/>
        <v>276.01618888357268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6.1198562314515694</v>
      </c>
      <c r="BS26" s="24">
        <f t="shared" si="9"/>
        <v>6.1198562314515694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2.84</v>
      </c>
      <c r="N27" s="14">
        <f>IF('Données projet'!$A$36&gt;35,N26+M27-V26,IF(A27&lt;'Données projet'!$A$36,$K$205^A27,IF(A27='Données projet'!$A$36,'Données projet'!$B$36,N26+M27-V26)))</f>
        <v>59.869828593776646</v>
      </c>
      <c r="O27" s="14">
        <f>N27*VLOOKUP('Données projet'!$B$9,Paramètres!$A$1:$I$89,3,0)*VLOOKUP('Données projet'!$B$9,Paramètres!$A$1:$I$89,5,0)</f>
        <v>60.708006194089528</v>
      </c>
      <c r="P27" s="14">
        <f t="shared" si="33"/>
        <v>17.347152793180882</v>
      </c>
      <c r="Q27" s="22">
        <f t="shared" si="2"/>
        <v>135.94606856949596</v>
      </c>
      <c r="R27" s="62">
        <f t="shared" si="0"/>
        <v>361.71677675311577</v>
      </c>
      <c r="S27" s="62">
        <f ca="1">AVERAGE(OFFSET($R$3,0,0,'Données projet'!$E$9+1,1))-AVERAGE(OFFSET($H$3,0,0,'Données projet'!$E$9+1,1))</f>
        <v>446.90706503298787</v>
      </c>
      <c r="T27" s="62">
        <f t="shared" si="34"/>
        <v>275.54513370838777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2.84</v>
      </c>
      <c r="AI27" s="14">
        <f>IF('Données projet'!$A$62&gt;35,AI26+AH27-AQ26,IF(A27&lt;'Données projet'!$A$62,$AF$205^A27,IF(A27='Données projet'!$A$62,'Données projet'!$B$62,AI26+AH27-AQ26)))</f>
        <v>59.869828593776646</v>
      </c>
      <c r="AJ27" s="14">
        <f>AI27*VLOOKUP('Données projet'!$B$10,Paramètres!$A$1:$I$89,3,0)*VLOOKUP('Données projet'!$B$10,Paramètres!$A$1:$I$89,5,0)</f>
        <v>40.160681020705375</v>
      </c>
      <c r="AK27" s="14">
        <f t="shared" si="35"/>
        <v>12.041225486980792</v>
      </c>
      <c r="AL27" s="22">
        <f t="shared" si="4"/>
        <v>90.91832050088675</v>
      </c>
      <c r="AM27" s="62">
        <f t="shared" si="5"/>
        <v>316.68902868450652</v>
      </c>
      <c r="AN27" s="62">
        <f ca="1">AVERAGE(OFFSET($AM$3,0,0,'Données projet'!$E$10+1,1))-AVERAGE(OFFSET($H$3,0,0,'Données projet'!$E$10+1,1))</f>
        <v>312.88185844251097</v>
      </c>
      <c r="AO27" s="62">
        <f t="shared" si="36"/>
        <v>202.68317767036231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10.199999999999999</v>
      </c>
      <c r="BD27" s="13">
        <f>IF('Données projet'!$A$88&gt;35,BD26+BC27-BL26,IF(A27&lt;'Données projet'!$A$88,$BA$205^A27,IF(A27='Données projet'!$A$88,'Données projet'!$B$88,BD26+BC27-BL26)))</f>
        <v>76.800000000000011</v>
      </c>
      <c r="BE27" s="14">
        <f>BD27*VLOOKUP('Données projet'!$B$11,Paramètres!$A$1:$I$89,3,0)*VLOOKUP('Données projet'!$B$11,Paramètres!$A$1:$I$89,5,0)</f>
        <v>67.092480000000023</v>
      </c>
      <c r="BF27" s="14">
        <f t="shared" si="37"/>
        <v>18.949644838115688</v>
      </c>
      <c r="BG27" s="22">
        <f t="shared" si="7"/>
        <v>149.85670075971819</v>
      </c>
      <c r="BH27" s="62">
        <f t="shared" si="8"/>
        <v>375.62740894333797</v>
      </c>
      <c r="BI27" s="62">
        <f ca="1">AVERAGE(OFFSET($BH$3,0,0,'Données projet'!$E$11+1,1))-AVERAGE(OFFSET($H$3,0,0,'Données projet'!$E$11+1,1))</f>
        <v>287.22548699835653</v>
      </c>
      <c r="BJ27" s="62">
        <f t="shared" si="38"/>
        <v>276.01618888357268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4.3273918411461549</v>
      </c>
      <c r="BS27" s="24">
        <f t="shared" si="9"/>
        <v>4.3273918411461549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71</v>
      </c>
      <c r="L28" s="13">
        <f>VLOOKUP(A28,'Données projet'!$A$35:$I$55,9,0)</f>
        <v>2.84</v>
      </c>
      <c r="M28" s="13">
        <f t="array" ref="M28">INDEX(L:L,MIN(IF(ISNUMBER(L28:L224),ROW(L28:L224),"")))</f>
        <v>2.84</v>
      </c>
      <c r="N28" s="14">
        <f>IF('Données projet'!$A$36&gt;35,N27+M28-V27,IF(A28&lt;'Données projet'!$A$36,$K$205^A28,IF(A28='Données projet'!$A$36,'Données projet'!$B$36,N27+M28-V27)))</f>
        <v>71</v>
      </c>
      <c r="O28" s="14">
        <f>N28*VLOOKUP('Données projet'!$B$9,Paramètres!$A$1:$I$89,3,0)*VLOOKUP('Données projet'!$B$9,Paramètres!$A$1:$I$89,5,0)</f>
        <v>71.994</v>
      </c>
      <c r="P28" s="14">
        <f t="shared" si="33"/>
        <v>20.167825678149413</v>
      </c>
      <c r="Q28" s="22">
        <f t="shared" si="2"/>
        <v>160.51517972277688</v>
      </c>
      <c r="R28" s="62">
        <f t="shared" si="0"/>
        <v>388.55295368910902</v>
      </c>
      <c r="S28" s="62">
        <f ca="1">AVERAGE(OFFSET($R$3,0,0,'Données projet'!$E$9+1,1))-AVERAGE(OFFSET($H$3,0,0,'Données projet'!$E$9+1,1))</f>
        <v>446.90706503298787</v>
      </c>
      <c r="T28" s="62">
        <f t="shared" si="34"/>
        <v>275.54513370838777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8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71</v>
      </c>
      <c r="AG28" s="13">
        <f>VLOOKUP(A28,'Données projet'!$A$61:$I$81,9,0)</f>
        <v>2.84</v>
      </c>
      <c r="AH28" s="13">
        <f t="array" ref="AH28">INDEX(AG:AG,MIN(IF(ISNUMBER(AG28:AG224),ROW(AG28:AG224),"")))</f>
        <v>2.84</v>
      </c>
      <c r="AI28" s="14">
        <f>IF('Données projet'!$A$62&gt;35,AI27+AH28-AQ27,IF(A28&lt;'Données projet'!$A$62,$AF$205^A28,IF(A28='Données projet'!$A$62,'Données projet'!$B$62,AI27+AH28-AQ27)))</f>
        <v>71</v>
      </c>
      <c r="AJ28" s="14">
        <f>AI28*VLOOKUP('Données projet'!$B$10,Paramètres!$A$1:$I$89,3,0)*VLOOKUP('Données projet'!$B$10,Paramètres!$A$1:$I$89,5,0)</f>
        <v>47.626800000000003</v>
      </c>
      <c r="AK28" s="14">
        <f t="shared" si="35"/>
        <v>13.999146688105517</v>
      </c>
      <c r="AL28" s="22">
        <f t="shared" si="4"/>
        <v>107.33185714845045</v>
      </c>
      <c r="AM28" s="62">
        <f t="shared" si="5"/>
        <v>335.36963111478258</v>
      </c>
      <c r="AN28" s="62">
        <f ca="1">AVERAGE(OFFSET($AM$3,0,0,'Données projet'!$E$10+1,1))-AVERAGE(OFFSET($H$3,0,0,'Données projet'!$E$10+1,1))</f>
        <v>312.88185844251097</v>
      </c>
      <c r="AO28" s="62">
        <f t="shared" si="36"/>
        <v>202.68317767036231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8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1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5.0633428345383553</v>
      </c>
      <c r="AX28" s="23">
        <f t="shared" si="6"/>
        <v>5.0633428345383553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87</v>
      </c>
      <c r="BB28" s="13">
        <f>VLOOKUP(A28,'Données projet'!$A$87:$I$107,9,0)</f>
        <v>10.199999999999999</v>
      </c>
      <c r="BC28" s="13">
        <f t="array" ref="BC28">INDEX(BB:BB,MIN(IF(ISNUMBER(BB28:BB224),ROW(BB28:BB224),"")))</f>
        <v>10.199999999999999</v>
      </c>
      <c r="BD28" s="13">
        <f>IF('Données projet'!$A$88&gt;35,BD27+BC28-BL27,IF(A28&lt;'Données projet'!$A$88,$BA$205^A28,IF(A28='Données projet'!$A$88,'Données projet'!$B$88,BD27+BC28-BL27)))</f>
        <v>87.000000000000014</v>
      </c>
      <c r="BE28" s="14">
        <f>BD28*VLOOKUP('Données projet'!$B$11,Paramètres!$A$1:$I$89,3,0)*VLOOKUP('Données projet'!$B$11,Paramètres!$A$1:$I$89,5,0)</f>
        <v>76.003200000000021</v>
      </c>
      <c r="BF28" s="14">
        <f t="shared" si="37"/>
        <v>21.157049992000456</v>
      </c>
      <c r="BG28" s="22">
        <f t="shared" si="7"/>
        <v>169.2207687360675</v>
      </c>
      <c r="BH28" s="62">
        <f t="shared" si="8"/>
        <v>397.25854270239961</v>
      </c>
      <c r="BI28" s="62">
        <f ca="1">AVERAGE(OFFSET($BH$3,0,0,'Données projet'!$E$11+1,1))-AVERAGE(OFFSET($H$3,0,0,'Données projet'!$E$11+1,1))</f>
        <v>287.22548699835653</v>
      </c>
      <c r="BJ28" s="62">
        <f t="shared" si="38"/>
        <v>276.01618888357268</v>
      </c>
      <c r="BK28" s="16">
        <f>IF(ISNA(VLOOKUP(A28,'Données projet'!$A$87:$I$107,3,0)),0,VLOOKUP(A28,'Données projet'!$A$87:$I$107,3,0))</f>
        <v>3</v>
      </c>
      <c r="BL28" s="16">
        <f>IF(ISNA(VLOOKUP(A28,'Données projet'!$A$87:$I$107,4,0)),0,VLOOKUP(A28,'Données projet'!$A$87:$I$107,4,0))</f>
        <v>21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0.159</v>
      </c>
      <c r="BO28" s="17">
        <f>IF(ISNA(VLOOKUP(A28,'Données projet'!$A$87:$I$107,7,0)),0%,VLOOKUP(A28,'Données projet'!$A$87:$I$107,7,0))</f>
        <v>0.7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3.211905777976678</v>
      </c>
      <c r="BR28" s="23">
        <f>EXP(-LN(2)/2)*BR27+(1-EXP(-LN(2)/2))/(LN(2)/2)*BL28*BO28*VLOOKUP('Données projet'!$B$11,Paramètres!$A$1:$I$89,3,0)*0.475*44/12</f>
        <v>15.176625270935011</v>
      </c>
      <c r="BS28" s="24">
        <f t="shared" si="9"/>
        <v>18.388531048911688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7</v>
      </c>
      <c r="N29" s="14">
        <f>IF('Données projet'!$A$36&gt;35,N28+M29-V28,IF(A29&lt;'Données projet'!$A$36,$K$205^A29,IF(A29='Données projet'!$A$36,'Données projet'!$B$36,N28+M29-V28)))</f>
        <v>70</v>
      </c>
      <c r="O29" s="14">
        <f>N29*VLOOKUP('Données projet'!$B$9,Paramètres!$A$1:$I$89,3,0)*VLOOKUP('Données projet'!$B$9,Paramètres!$A$1:$I$89,5,0)</f>
        <v>70.98</v>
      </c>
      <c r="P29" s="14">
        <f t="shared" si="33"/>
        <v>19.916628839746853</v>
      </c>
      <c r="Q29" s="22">
        <f t="shared" si="2"/>
        <v>158.31162856255909</v>
      </c>
      <c r="R29" s="62">
        <f t="shared" si="0"/>
        <v>388.59834261174927</v>
      </c>
      <c r="S29" s="62">
        <f ca="1">AVERAGE(OFFSET($R$3,0,0,'Données projet'!$E$9+1,1))-AVERAGE(OFFSET($H$3,0,0,'Données projet'!$E$9+1,1))</f>
        <v>446.90706503298787</v>
      </c>
      <c r="T29" s="62">
        <f t="shared" si="34"/>
        <v>275.54513370838777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7</v>
      </c>
      <c r="AI29" s="14">
        <f>IF('Données projet'!$A$62&gt;35,AI28+AH29-AQ28,IF(A29&lt;'Données projet'!$A$62,$AF$205^A29,IF(A29='Données projet'!$A$62,'Données projet'!$B$62,AI28+AH29-AQ28)))</f>
        <v>70</v>
      </c>
      <c r="AJ29" s="14">
        <f>AI29*VLOOKUP('Données projet'!$B$10,Paramètres!$A$1:$I$89,3,0)*VLOOKUP('Données projet'!$B$10,Paramètres!$A$1:$I$89,5,0)</f>
        <v>46.955999999999996</v>
      </c>
      <c r="AK29" s="14">
        <f t="shared" si="35"/>
        <v>13.824782755944211</v>
      </c>
      <c r="AL29" s="22">
        <f t="shared" si="4"/>
        <v>105.85986329993615</v>
      </c>
      <c r="AM29" s="62">
        <f t="shared" si="5"/>
        <v>336.14657734912635</v>
      </c>
      <c r="AN29" s="62">
        <f ca="1">AVERAGE(OFFSET($AM$3,0,0,'Données projet'!$E$10+1,1))-AVERAGE(OFFSET($H$3,0,0,'Données projet'!$E$10+1,1))</f>
        <v>312.88185844251097</v>
      </c>
      <c r="AO29" s="62">
        <f t="shared" si="36"/>
        <v>202.68317767036231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3.5803240537743863</v>
      </c>
      <c r="AX29" s="23">
        <f t="shared" si="6"/>
        <v>3.5803240537743863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9.6</v>
      </c>
      <c r="BD29" s="13">
        <f>IF('Données projet'!$A$88&gt;35,BD28+BC29-BL28,IF(A29&lt;'Données projet'!$A$88,$BA$205^A29,IF(A29='Données projet'!$A$88,'Données projet'!$B$88,BD28+BC29-BL28)))</f>
        <v>75.600000000000009</v>
      </c>
      <c r="BE29" s="14">
        <f>BD29*VLOOKUP('Données projet'!$B$11,Paramètres!$A$1:$I$89,3,0)*VLOOKUP('Données projet'!$B$11,Paramètres!$A$1:$I$89,5,0)</f>
        <v>66.044160000000005</v>
      </c>
      <c r="BF29" s="14">
        <f t="shared" si="37"/>
        <v>18.687781995248802</v>
      </c>
      <c r="BG29" s="22">
        <f t="shared" si="7"/>
        <v>147.57479897505831</v>
      </c>
      <c r="BH29" s="62">
        <f t="shared" si="8"/>
        <v>377.8615130242485</v>
      </c>
      <c r="BI29" s="62">
        <f ca="1">AVERAGE(OFFSET($BH$3,0,0,'Données projet'!$E$11+1,1))-AVERAGE(OFFSET($H$3,0,0,'Données projet'!$E$11+1,1))</f>
        <v>287.22548699835653</v>
      </c>
      <c r="BJ29" s="62">
        <f t="shared" si="38"/>
        <v>276.01618888357268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3.1240760455711216</v>
      </c>
      <c r="BR29" s="23">
        <f>EXP(-LN(2)/2)*BR28+(1-EXP(-LN(2)/2))/(LN(2)/2)*BL29*BO29*VLOOKUP('Données projet'!$B$11,Paramètres!$A$1:$I$89,3,0)*0.475*44/12</f>
        <v>10.73149464460527</v>
      </c>
      <c r="BS29" s="24">
        <f t="shared" si="9"/>
        <v>13.855570690176393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7</v>
      </c>
      <c r="N30" s="14">
        <f>IF('Données projet'!$A$36&gt;35,N29+M30-V29,IF(A30&lt;'Données projet'!$A$36,$K$205^A30,IF(A30='Données projet'!$A$36,'Données projet'!$B$36,N29+M30-V29)))</f>
        <v>77</v>
      </c>
      <c r="O30" s="14">
        <f>N30*VLOOKUP('Données projet'!$B$9,Paramètres!$A$1:$I$89,3,0)*VLOOKUP('Données projet'!$B$9,Paramètres!$A$1:$I$89,5,0)</f>
        <v>78.078000000000003</v>
      </c>
      <c r="P30" s="14">
        <f t="shared" si="33"/>
        <v>21.666582091642084</v>
      </c>
      <c r="Q30" s="22">
        <f t="shared" si="2"/>
        <v>173.72181380960993</v>
      </c>
      <c r="R30" s="62">
        <f t="shared" si="0"/>
        <v>406.2396566821734</v>
      </c>
      <c r="S30" s="62">
        <f ca="1">AVERAGE(OFFSET($R$3,0,0,'Données projet'!$E$9+1,1))-AVERAGE(OFFSET($H$3,0,0,'Données projet'!$E$9+1,1))</f>
        <v>446.90706503298787</v>
      </c>
      <c r="T30" s="62">
        <f t="shared" si="34"/>
        <v>275.54513370838777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7</v>
      </c>
      <c r="AI30" s="14">
        <f>IF('Données projet'!$A$62&gt;35,AI29+AH30-AQ29,IF(A30&lt;'Données projet'!$A$62,$AF$205^A30,IF(A30='Données projet'!$A$62,'Données projet'!$B$62,AI29+AH30-AQ29)))</f>
        <v>77</v>
      </c>
      <c r="AJ30" s="14">
        <f>AI30*VLOOKUP('Données projet'!$B$10,Paramètres!$A$1:$I$89,3,0)*VLOOKUP('Données projet'!$B$10,Paramètres!$A$1:$I$89,5,0)</f>
        <v>51.651600000000002</v>
      </c>
      <c r="AK30" s="14">
        <f t="shared" si="35"/>
        <v>15.039482479234188</v>
      </c>
      <c r="AL30" s="22">
        <f t="shared" si="4"/>
        <v>116.15363531799953</v>
      </c>
      <c r="AM30" s="62">
        <f t="shared" si="5"/>
        <v>348.67147819056305</v>
      </c>
      <c r="AN30" s="62">
        <f ca="1">AVERAGE(OFFSET($AM$3,0,0,'Données projet'!$E$10+1,1))-AVERAGE(OFFSET($H$3,0,0,'Données projet'!$E$10+1,1))</f>
        <v>312.88185844251097</v>
      </c>
      <c r="AO30" s="62">
        <f t="shared" si="36"/>
        <v>202.68317767036231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2.5316714172691781</v>
      </c>
      <c r="AX30" s="23">
        <f t="shared" si="6"/>
        <v>2.5316714172691781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9.6</v>
      </c>
      <c r="BD30" s="13">
        <f>IF('Données projet'!$A$88&gt;35,BD29+BC30-BL29,IF(A30&lt;'Données projet'!$A$88,$BA$205^A30,IF(A30='Données projet'!$A$88,'Données projet'!$B$88,BD29+BC30-BL29)))</f>
        <v>85.2</v>
      </c>
      <c r="BE30" s="14">
        <f>BD30*VLOOKUP('Données projet'!$B$11,Paramètres!$A$1:$I$89,3,0)*VLOOKUP('Données projet'!$B$11,Paramètres!$A$1:$I$89,5,0)</f>
        <v>74.430720000000008</v>
      </c>
      <c r="BF30" s="14">
        <f t="shared" si="37"/>
        <v>20.76980057385482</v>
      </c>
      <c r="BG30" s="22">
        <f t="shared" si="7"/>
        <v>165.80757333279715</v>
      </c>
      <c r="BH30" s="62">
        <f t="shared" si="8"/>
        <v>398.32541620536063</v>
      </c>
      <c r="BI30" s="62">
        <f ca="1">AVERAGE(OFFSET($BH$3,0,0,'Données projet'!$E$11+1,1))-AVERAGE(OFFSET($H$3,0,0,'Données projet'!$E$11+1,1))</f>
        <v>287.22548699835653</v>
      </c>
      <c r="BJ30" s="62">
        <f t="shared" si="38"/>
        <v>276.01618888357268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3.03864802181696</v>
      </c>
      <c r="BR30" s="23">
        <f>EXP(-LN(2)/2)*BR29+(1-EXP(-LN(2)/2))/(LN(2)/2)*BL30*BO30*VLOOKUP('Données projet'!$B$11,Paramètres!$A$1:$I$89,3,0)*0.475*44/12</f>
        <v>7.5883126354675055</v>
      </c>
      <c r="BS30" s="24">
        <f t="shared" si="9"/>
        <v>10.626960657284465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7</v>
      </c>
      <c r="N31" s="14">
        <f>IF('Données projet'!$A$36&gt;35,N30+M31-V30,IF(A31&lt;'Données projet'!$A$36,$K$205^A31,IF(A31='Données projet'!$A$36,'Données projet'!$B$36,N30+M31-V30)))</f>
        <v>84</v>
      </c>
      <c r="O31" s="14">
        <f>N31*VLOOKUP('Données projet'!$B$9,Paramètres!$A$1:$I$89,3,0)*VLOOKUP('Données projet'!$B$9,Paramètres!$A$1:$I$89,5,0)</f>
        <v>85.176000000000002</v>
      </c>
      <c r="P31" s="14">
        <f t="shared" si="33"/>
        <v>23.398088487656441</v>
      </c>
      <c r="Q31" s="22">
        <f t="shared" si="2"/>
        <v>189.09987078266829</v>
      </c>
      <c r="R31" s="62">
        <f t="shared" si="0"/>
        <v>423.83134020465241</v>
      </c>
      <c r="S31" s="62">
        <f ca="1">AVERAGE(OFFSET($R$3,0,0,'Données projet'!$E$9+1,1))-AVERAGE(OFFSET($H$3,0,0,'Données projet'!$E$9+1,1))</f>
        <v>446.90706503298787</v>
      </c>
      <c r="T31" s="62">
        <f t="shared" si="34"/>
        <v>275.54513370838777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7</v>
      </c>
      <c r="AI31" s="14">
        <f>IF('Données projet'!$A$62&gt;35,AI30+AH31-AQ30,IF(A31&lt;'Données projet'!$A$62,$AF$205^A31,IF(A31='Données projet'!$A$62,'Données projet'!$B$62,AI30+AH31-AQ30)))</f>
        <v>84</v>
      </c>
      <c r="AJ31" s="14">
        <f>AI31*VLOOKUP('Données projet'!$B$10,Paramètres!$A$1:$I$89,3,0)*VLOOKUP('Données projet'!$B$10,Paramètres!$A$1:$I$89,5,0)</f>
        <v>56.347200000000001</v>
      </c>
      <c r="AK31" s="14">
        <f t="shared" si="35"/>
        <v>16.241377637196607</v>
      </c>
      <c r="AL31" s="22">
        <f t="shared" si="4"/>
        <v>126.42510605145075</v>
      </c>
      <c r="AM31" s="62">
        <f t="shared" si="5"/>
        <v>361.15657547343483</v>
      </c>
      <c r="AN31" s="62">
        <f ca="1">AVERAGE(OFFSET($AM$3,0,0,'Données projet'!$E$10+1,1))-AVERAGE(OFFSET($H$3,0,0,'Données projet'!$E$10+1,1))</f>
        <v>312.88185844251097</v>
      </c>
      <c r="AO31" s="62">
        <f t="shared" si="36"/>
        <v>202.68317767036231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1.7901620268871934</v>
      </c>
      <c r="AX31" s="23">
        <f t="shared" si="6"/>
        <v>1.7901620268871934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9.6</v>
      </c>
      <c r="BD31" s="13">
        <f>IF('Données projet'!$A$88&gt;35,BD30+BC31-BL30,IF(A31&lt;'Données projet'!$A$88,$BA$205^A31,IF(A31='Données projet'!$A$88,'Données projet'!$B$88,BD30+BC31-BL30)))</f>
        <v>94.8</v>
      </c>
      <c r="BE31" s="14">
        <f>BD31*VLOOKUP('Données projet'!$B$11,Paramètres!$A$1:$I$89,3,0)*VLOOKUP('Données projet'!$B$11,Paramètres!$A$1:$I$89,5,0)</f>
        <v>82.817280000000011</v>
      </c>
      <c r="BF31" s="14">
        <f t="shared" si="37"/>
        <v>22.824630073728041</v>
      </c>
      <c r="BG31" s="22">
        <f t="shared" si="7"/>
        <v>183.99299337840969</v>
      </c>
      <c r="BH31" s="62">
        <f t="shared" si="8"/>
        <v>418.72446280039378</v>
      </c>
      <c r="BI31" s="62">
        <f ca="1">AVERAGE(OFFSET($BH$3,0,0,'Données projet'!$E$11+1,1))-AVERAGE(OFFSET($H$3,0,0,'Données projet'!$E$11+1,1))</f>
        <v>287.22548699835653</v>
      </c>
      <c r="BJ31" s="62">
        <f t="shared" si="38"/>
        <v>276.01618888357268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2.9555560318648206</v>
      </c>
      <c r="BR31" s="23">
        <f>EXP(-LN(2)/2)*BR30+(1-EXP(-LN(2)/2))/(LN(2)/2)*BL31*BO31*VLOOKUP('Données projet'!$B$11,Paramètres!$A$1:$I$89,3,0)*0.475*44/12</f>
        <v>5.3657473223026351</v>
      </c>
      <c r="BS31" s="24">
        <f t="shared" si="9"/>
        <v>8.3213033541674548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7</v>
      </c>
      <c r="N32" s="14">
        <f>IF('Données projet'!$A$36&gt;35,N31+M32-V31,IF(A32&lt;'Données projet'!$A$36,$K$205^A32,IF(A32='Données projet'!$A$36,'Données projet'!$B$36,N31+M32-V31)))</f>
        <v>91</v>
      </c>
      <c r="O32" s="14">
        <f>N32*VLOOKUP('Données projet'!$B$9,Paramètres!$A$1:$I$89,3,0)*VLOOKUP('Données projet'!$B$9,Paramètres!$A$1:$I$89,5,0)</f>
        <v>92.274000000000001</v>
      </c>
      <c r="P32" s="14">
        <f t="shared" si="33"/>
        <v>25.112860036087575</v>
      </c>
      <c r="Q32" s="22">
        <f t="shared" si="2"/>
        <v>204.4487812295192</v>
      </c>
      <c r="R32" s="62">
        <f t="shared" si="0"/>
        <v>441.37667855229506</v>
      </c>
      <c r="S32" s="62">
        <f ca="1">AVERAGE(OFFSET($R$3,0,0,'Données projet'!$E$9+1,1))-AVERAGE(OFFSET($H$3,0,0,'Données projet'!$E$9+1,1))</f>
        <v>446.90706503298787</v>
      </c>
      <c r="T32" s="62">
        <f t="shared" si="34"/>
        <v>275.54513370838777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7</v>
      </c>
      <c r="AI32" s="14">
        <f>IF('Données projet'!$A$62&gt;35,AI31+AH32-AQ31,IF(A32&lt;'Données projet'!$A$62,$AF$205^A32,IF(A32='Données projet'!$A$62,'Données projet'!$B$62,AI31+AH32-AQ31)))</f>
        <v>91</v>
      </c>
      <c r="AJ32" s="14">
        <f>AI32*VLOOKUP('Données projet'!$B$10,Paramètres!$A$1:$I$89,3,0)*VLOOKUP('Données projet'!$B$10,Paramètres!$A$1:$I$89,5,0)</f>
        <v>61.042800000000007</v>
      </c>
      <c r="AK32" s="14">
        <f t="shared" si="35"/>
        <v>17.431656590722341</v>
      </c>
      <c r="AL32" s="22">
        <f t="shared" si="4"/>
        <v>136.67634522884143</v>
      </c>
      <c r="AM32" s="62">
        <f t="shared" si="5"/>
        <v>373.60424255161729</v>
      </c>
      <c r="AN32" s="62">
        <f ca="1">AVERAGE(OFFSET($AM$3,0,0,'Données projet'!$E$10+1,1))-AVERAGE(OFFSET($H$3,0,0,'Données projet'!$E$10+1,1))</f>
        <v>312.88185844251097</v>
      </c>
      <c r="AO32" s="62">
        <f t="shared" si="36"/>
        <v>202.68317767036231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1.2658357086345891</v>
      </c>
      <c r="AX32" s="23">
        <f t="shared" si="6"/>
        <v>1.2658357086345891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9.6</v>
      </c>
      <c r="BD32" s="13">
        <f>IF('Données projet'!$A$88&gt;35,BD31+BC32-BL31,IF(A32&lt;'Données projet'!$A$88,$BA$205^A32,IF(A32='Données projet'!$A$88,'Données projet'!$B$88,BD31+BC32-BL31)))</f>
        <v>104.39999999999999</v>
      </c>
      <c r="BE32" s="14">
        <f>BD32*VLOOKUP('Données projet'!$B$11,Paramètres!$A$1:$I$89,3,0)*VLOOKUP('Données projet'!$B$11,Paramètres!$A$1:$I$89,5,0)</f>
        <v>91.20384</v>
      </c>
      <c r="BF32" s="14">
        <f t="shared" si="37"/>
        <v>24.855337308022524</v>
      </c>
      <c r="BG32" s="22">
        <f t="shared" si="7"/>
        <v>202.13640047813919</v>
      </c>
      <c r="BH32" s="62">
        <f t="shared" si="8"/>
        <v>439.06429780091503</v>
      </c>
      <c r="BI32" s="62">
        <f ca="1">AVERAGE(OFFSET($BH$3,0,0,'Données projet'!$E$11+1,1))-AVERAGE(OFFSET($H$3,0,0,'Données projet'!$E$11+1,1))</f>
        <v>287.22548699835653</v>
      </c>
      <c r="BJ32" s="62">
        <f t="shared" si="38"/>
        <v>276.01618888357268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2.8747361967475404</v>
      </c>
      <c r="BR32" s="23">
        <f>EXP(-LN(2)/2)*BR31+(1-EXP(-LN(2)/2))/(LN(2)/2)*BL32*BO32*VLOOKUP('Données projet'!$B$11,Paramètres!$A$1:$I$89,3,0)*0.475*44/12</f>
        <v>3.7941563177337527</v>
      </c>
      <c r="BS32" s="24">
        <f t="shared" si="9"/>
        <v>6.6688925144812927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98</v>
      </c>
      <c r="L33" s="13">
        <f>VLOOKUP(A33,'Données projet'!$A$35:$I$55,9,0)</f>
        <v>7</v>
      </c>
      <c r="M33" s="13">
        <f t="array" ref="M33">INDEX(L:L,MIN(IF(ISNUMBER(L33:L229),ROW(L33:L229),"")))</f>
        <v>7</v>
      </c>
      <c r="N33" s="14">
        <f>IF('Données projet'!$A$36&gt;35,N32+M33-V32,IF(A33&lt;'Données projet'!$A$36,$K$205^A33,IF(A33='Données projet'!$A$36,'Données projet'!$B$36,N32+M33-V32)))</f>
        <v>98</v>
      </c>
      <c r="O33" s="14">
        <f>N33*VLOOKUP('Données projet'!$B$9,Paramètres!$A$1:$I$89,3,0)*VLOOKUP('Données projet'!$B$9,Paramètres!$A$1:$I$89,5,0)</f>
        <v>99.372000000000014</v>
      </c>
      <c r="P33" s="14">
        <f t="shared" si="33"/>
        <v>26.812330397327713</v>
      </c>
      <c r="Q33" s="22">
        <f t="shared" si="2"/>
        <v>219.7710421086791</v>
      </c>
      <c r="R33" s="62">
        <f t="shared" si="0"/>
        <v>458.87846704172108</v>
      </c>
      <c r="S33" s="62">
        <f ca="1">AVERAGE(OFFSET($R$3,0,0,'Données projet'!$E$9+1,1))-AVERAGE(OFFSET($H$3,0,0,'Données projet'!$E$9+1,1))</f>
        <v>446.90706503298787</v>
      </c>
      <c r="T33" s="62">
        <f t="shared" si="34"/>
        <v>275.54513370838777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21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0.129</v>
      </c>
      <c r="Y33" s="17">
        <f>IF(ISNA(VLOOKUP(A33,'Données projet'!$A$35:$I$55,7,0)),0%,VLOOKUP(A33,'Données projet'!$A$35:$I$55,7,0))</f>
        <v>0.7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3.024688898060921</v>
      </c>
      <c r="AB33" s="23">
        <f>EXP(-LN(2)/2)*AB32+(1-EXP(-LN(2)/2))/(LN(2)/2)*V33*Y33*VLOOKUP('Données projet'!$B$9,Paramètres!$A$1:$I$89,3,0)*0.475*44/12</f>
        <v>14.064023483724995</v>
      </c>
      <c r="AC33" s="24">
        <f t="shared" si="3"/>
        <v>17.088712381785918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98</v>
      </c>
      <c r="AG33" s="13">
        <f>VLOOKUP(A33,'Données projet'!$A$61:$I$81,9,0)</f>
        <v>7</v>
      </c>
      <c r="AH33" s="13">
        <f t="array" ref="AH33">INDEX(AG:AG,MIN(IF(ISNUMBER(AG33:AG229),ROW(AG33:AG229),"")))</f>
        <v>7</v>
      </c>
      <c r="AI33" s="14">
        <f>IF('Données projet'!$A$62&gt;35,AI32+AH33-AQ32,IF(A33&lt;'Données projet'!$A$62,$AF$205^A33,IF(A33='Données projet'!$A$62,'Données projet'!$B$62,AI32+AH33-AQ32)))</f>
        <v>98</v>
      </c>
      <c r="AJ33" s="14">
        <f>AI33*VLOOKUP('Données projet'!$B$10,Paramètres!$A$1:$I$89,3,0)*VLOOKUP('Données projet'!$B$10,Paramètres!$A$1:$I$89,5,0)</f>
        <v>65.738399999999999</v>
      </c>
      <c r="AK33" s="14">
        <f t="shared" si="35"/>
        <v>18.61131449032748</v>
      </c>
      <c r="AL33" s="22">
        <f t="shared" si="4"/>
        <v>146.90908607065367</v>
      </c>
      <c r="AM33" s="62">
        <f t="shared" si="5"/>
        <v>386.01651100369565</v>
      </c>
      <c r="AN33" s="62">
        <f ca="1">AVERAGE(OFFSET($AM$3,0,0,'Données projet'!$E$10+1,1))-AVERAGE(OFFSET($H$3,0,0,'Données projet'!$E$10+1,1))</f>
        <v>312.88185844251097</v>
      </c>
      <c r="AO33" s="62">
        <f t="shared" si="36"/>
        <v>202.68317767036231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21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0.159</v>
      </c>
      <c r="AT33" s="17">
        <f>IF(ISNA(VLOOKUP(A33,'Données projet'!$A$61:$I$81,7,0)),0%,VLOOKUP(A33,'Données projet'!$A$61:$I$81,7,0))</f>
        <v>0.7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2.4662847938035202</v>
      </c>
      <c r="AW33" s="23">
        <f>EXP(-LN(2)/2)*AW32+(1-EXP(-LN(2)/2))/(LN(2)/2)*AQ33*AT33*VLOOKUP('Données projet'!$B$10,Paramètres!$A$1:$I$89,3,0)*0.475*44/12</f>
        <v>10.198973471907824</v>
      </c>
      <c r="AX33" s="23">
        <f t="shared" si="6"/>
        <v>12.665258265711344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114</v>
      </c>
      <c r="BB33" s="13">
        <f>VLOOKUP(A33,'Données projet'!$A$87:$I$107,9,0)</f>
        <v>9.6</v>
      </c>
      <c r="BC33" s="13">
        <f t="array" ref="BC33">INDEX(BB:BB,MIN(IF(ISNUMBER(BB33:BB229),ROW(BB33:BB229),"")))</f>
        <v>9.6</v>
      </c>
      <c r="BD33" s="13">
        <f>IF('Données projet'!$A$88&gt;35,BD32+BC33-BL32,IF(A33&lt;'Données projet'!$A$88,$BA$205^A33,IF(A33='Données projet'!$A$88,'Données projet'!$B$88,BD32+BC33-BL32)))</f>
        <v>113.99999999999999</v>
      </c>
      <c r="BE33" s="14">
        <f>BD33*VLOOKUP('Données projet'!$B$11,Paramètres!$A$1:$I$89,3,0)*VLOOKUP('Données projet'!$B$11,Paramètres!$A$1:$I$89,5,0)</f>
        <v>99.590400000000002</v>
      </c>
      <c r="BF33" s="14">
        <f t="shared" si="37"/>
        <v>26.864392698869324</v>
      </c>
      <c r="BG33" s="22">
        <f t="shared" si="7"/>
        <v>220.24209728386407</v>
      </c>
      <c r="BH33" s="62">
        <f t="shared" si="8"/>
        <v>459.34952221690605</v>
      </c>
      <c r="BI33" s="62">
        <f ca="1">AVERAGE(OFFSET($BH$3,0,0,'Données projet'!$E$11+1,1))-AVERAGE(OFFSET($H$3,0,0,'Données projet'!$E$11+1,1))</f>
        <v>287.22548699835653</v>
      </c>
      <c r="BJ33" s="62">
        <f t="shared" si="38"/>
        <v>276.01618888357268</v>
      </c>
      <c r="BK33" s="16">
        <f>IF(ISNA(VLOOKUP(A33,'Données projet'!$A$87:$I$107,3,0)),0,VLOOKUP(A33,'Données projet'!$A$87:$I$107,3,0))</f>
        <v>4</v>
      </c>
      <c r="BL33" s="16">
        <f>IF(ISNA(VLOOKUP(A33,'Données projet'!$A$87:$I$107,4,0)),0,VLOOKUP(A33,'Données projet'!$A$87:$I$107,4,0))</f>
        <v>21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0.21200000000000002</v>
      </c>
      <c r="BO33" s="17">
        <f>IF(ISNA(VLOOKUP(A33,'Données projet'!$A$87:$I$107,7,0)),0%,VLOOKUP(A33,'Données projet'!$A$87:$I$107,7,0))</f>
        <v>0.6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7.0786674215739112</v>
      </c>
      <c r="BR33" s="23">
        <f>EXP(-LN(2)/2)*BR32+(1-EXP(-LN(2)/2))/(LN(2)/2)*BL33*BO33*VLOOKUP('Données projet'!$B$11,Paramètres!$A$1:$I$89,3,0)*0.475*44/12</f>
        <v>13.068614079902083</v>
      </c>
      <c r="BS33" s="24">
        <f t="shared" si="9"/>
        <v>20.147281501475995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7.8</v>
      </c>
      <c r="N34" s="14">
        <f>IF('Données projet'!$A$36&gt;35,N33+M34-V33,IF(A34&lt;'Données projet'!$A$36,$K$205^A34,IF(A34='Données projet'!$A$36,'Données projet'!$B$36,N33+M34-V33)))</f>
        <v>84.8</v>
      </c>
      <c r="O34" s="14">
        <f>N34*VLOOKUP('Données projet'!$B$9,Paramètres!$A$1:$I$89,3,0)*VLOOKUP('Données projet'!$B$9,Paramètres!$A$1:$I$89,5,0)</f>
        <v>85.987200000000001</v>
      </c>
      <c r="P34" s="14">
        <f t="shared" si="33"/>
        <v>23.594880218992504</v>
      </c>
      <c r="Q34" s="22">
        <f t="shared" si="2"/>
        <v>190.85545638141195</v>
      </c>
      <c r="R34" s="62">
        <f t="shared" si="0"/>
        <v>430.90357959422954</v>
      </c>
      <c r="S34" s="62">
        <f ca="1">AVERAGE(OFFSET($R$3,0,0,'Données projet'!$E$9+1,1))-AVERAGE(OFFSET($H$3,0,0,'Données projet'!$E$9+1,1))</f>
        <v>446.90706503298787</v>
      </c>
      <c r="T34" s="62">
        <f t="shared" si="34"/>
        <v>275.54513370838777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2.9419786210819692</v>
      </c>
      <c r="AB34" s="23">
        <f>EXP(-LN(2)/2)*AB33+(1-EXP(-LN(2)/2))/(LN(2)/2)*V34*Y34*VLOOKUP('Données projet'!$B$9,Paramètres!$A$1:$I$89,3,0)*0.475*44/12</f>
        <v>9.944766376108797</v>
      </c>
      <c r="AC34" s="24">
        <f t="shared" si="3"/>
        <v>12.886744997190766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7.8</v>
      </c>
      <c r="AI34" s="14">
        <f>IF('Données projet'!$A$62&gt;35,AI33+AH34-AQ33,IF(A34&lt;'Données projet'!$A$62,$AF$205^A34,IF(A34='Données projet'!$A$62,'Données projet'!$B$62,AI33+AH34-AQ33)))</f>
        <v>84.8</v>
      </c>
      <c r="AJ34" s="14">
        <f>AI34*VLOOKUP('Données projet'!$B$10,Paramètres!$A$1:$I$89,3,0)*VLOOKUP('Données projet'!$B$10,Paramètres!$A$1:$I$89,5,0)</f>
        <v>56.883839999999999</v>
      </c>
      <c r="AK34" s="14">
        <f t="shared" si="35"/>
        <v>16.377977207122715</v>
      </c>
      <c r="AL34" s="22">
        <f t="shared" si="4"/>
        <v>127.59766496907207</v>
      </c>
      <c r="AM34" s="62">
        <f t="shared" si="5"/>
        <v>367.64578818188966</v>
      </c>
      <c r="AN34" s="62">
        <f ca="1">AVERAGE(OFFSET($AM$3,0,0,'Données projet'!$E$10+1,1))-AVERAGE(OFFSET($H$3,0,0,'Données projet'!$E$10+1,1))</f>
        <v>312.88185844251097</v>
      </c>
      <c r="AO34" s="62">
        <f t="shared" si="36"/>
        <v>202.68317767036231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2.3988441064206825</v>
      </c>
      <c r="AW34" s="23">
        <f>EXP(-LN(2)/2)*AW33+(1-EXP(-LN(2)/2))/(LN(2)/2)*AQ34*AT34*VLOOKUP('Données projet'!$B$10,Paramètres!$A$1:$I$89,3,0)*0.475*44/12</f>
        <v>7.2117633031277286</v>
      </c>
      <c r="AX34" s="23">
        <f t="shared" si="6"/>
        <v>9.6106074095484111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8.6</v>
      </c>
      <c r="BD34" s="13">
        <f>IF('Données projet'!$A$88&gt;35,BD33+BC34-BL33,IF(A34&lt;'Données projet'!$A$88,$BA$205^A34,IF(A34='Données projet'!$A$88,'Données projet'!$B$88,BD33+BC34-BL33)))</f>
        <v>101.59999999999998</v>
      </c>
      <c r="BE34" s="14">
        <f>BD34*VLOOKUP('Données projet'!$B$11,Paramètres!$A$1:$I$89,3,0)*VLOOKUP('Données projet'!$B$11,Paramètres!$A$1:$I$89,5,0)</f>
        <v>88.75775999999999</v>
      </c>
      <c r="BF34" s="14">
        <f t="shared" si="37"/>
        <v>24.265384701755004</v>
      </c>
      <c r="BG34" s="22">
        <f t="shared" si="7"/>
        <v>196.84864368888995</v>
      </c>
      <c r="BH34" s="62">
        <f t="shared" si="8"/>
        <v>436.89676690170751</v>
      </c>
      <c r="BI34" s="62">
        <f ca="1">AVERAGE(OFFSET($BH$3,0,0,'Données projet'!$E$11+1,1))-AVERAGE(OFFSET($H$3,0,0,'Données projet'!$E$11+1,1))</f>
        <v>287.22548699835653</v>
      </c>
      <c r="BJ34" s="62">
        <f t="shared" si="38"/>
        <v>276.01618888357268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6.8851008886800313</v>
      </c>
      <c r="BR34" s="23">
        <f>EXP(-LN(2)/2)*BR33+(1-EXP(-LN(2)/2))/(LN(2)/2)*BL34*BO34*VLOOKUP('Données projet'!$B$11,Paramètres!$A$1:$I$89,3,0)*0.475*44/12</f>
        <v>9.2409056366087565</v>
      </c>
      <c r="BS34" s="24">
        <f t="shared" si="9"/>
        <v>16.126006525288787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7.8</v>
      </c>
      <c r="N35" s="14">
        <f>IF('Données projet'!$A$36&gt;35,N34+M35-V34,IF(A35&lt;'Données projet'!$A$36,$K$205^A35,IF(A35='Données projet'!$A$36,'Données projet'!$B$36,N34+M35-V34)))</f>
        <v>92.6</v>
      </c>
      <c r="O35" s="14">
        <f>N35*VLOOKUP('Données projet'!$B$9,Paramètres!$A$1:$I$89,3,0)*VLOOKUP('Données projet'!$B$9,Paramètres!$A$1:$I$89,5,0)</f>
        <v>93.8964</v>
      </c>
      <c r="P35" s="14">
        <f t="shared" si="33"/>
        <v>25.502612364176063</v>
      </c>
      <c r="Q35" s="22">
        <f t="shared" ref="Q35:Q66" si="53">(O35+P35)*0.475*44/12</f>
        <v>207.95327986760662</v>
      </c>
      <c r="R35" s="62">
        <f t="shared" si="0"/>
        <v>448.92578234813197</v>
      </c>
      <c r="S35" s="62">
        <f ca="1">AVERAGE(OFFSET($R$3,0,0,'Données projet'!$E$9+1,1))-AVERAGE(OFFSET($H$3,0,0,'Données projet'!$E$9+1,1))</f>
        <v>446.90706503298787</v>
      </c>
      <c r="T35" s="62">
        <f t="shared" si="34"/>
        <v>275.54513370838777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2.861530060976551</v>
      </c>
      <c r="AB35" s="23">
        <f>EXP(-LN(2)/2)*AB34+(1-EXP(-LN(2)/2))/(LN(2)/2)*V35*Y35*VLOOKUP('Données projet'!$B$9,Paramètres!$A$1:$I$89,3,0)*0.475*44/12</f>
        <v>7.0320117418624983</v>
      </c>
      <c r="AC35" s="24">
        <f t="shared" si="3"/>
        <v>9.8935418028390494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7.8</v>
      </c>
      <c r="AI35" s="14">
        <f>IF('Données projet'!$A$62&gt;35,AI34+AH35-AQ34,IF(A35&lt;'Données projet'!$A$62,$AF$205^A35,IF(A35='Données projet'!$A$62,'Données projet'!$B$62,AI34+AH35-AQ34)))</f>
        <v>92.6</v>
      </c>
      <c r="AJ35" s="14">
        <f>AI35*VLOOKUP('Données projet'!$B$10,Paramètres!$A$1:$I$89,3,0)*VLOOKUP('Données projet'!$B$10,Paramètres!$A$1:$I$89,5,0)</f>
        <v>62.116079999999997</v>
      </c>
      <c r="AK35" s="14">
        <f t="shared" si="35"/>
        <v>17.702196414896502</v>
      </c>
      <c r="AL35" s="22">
        <f t="shared" si="4"/>
        <v>139.0168314226114</v>
      </c>
      <c r="AM35" s="62">
        <f t="shared" si="5"/>
        <v>379.98933390313675</v>
      </c>
      <c r="AN35" s="62">
        <f ca="1">AVERAGE(OFFSET($AM$3,0,0,'Données projet'!$E$10+1,1))-AVERAGE(OFFSET($H$3,0,0,'Données projet'!$E$10+1,1))</f>
        <v>312.88185844251097</v>
      </c>
      <c r="AO35" s="62">
        <f t="shared" si="36"/>
        <v>202.68317767036231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2.3332475881808801</v>
      </c>
      <c r="AW35" s="23">
        <f>EXP(-LN(2)/2)*AW34+(1-EXP(-LN(2)/2))/(LN(2)/2)*AQ35*AT35*VLOOKUP('Données projet'!$B$10,Paramètres!$A$1:$I$89,3,0)*0.475*44/12</f>
        <v>5.0994867359539127</v>
      </c>
      <c r="AX35" s="23">
        <f t="shared" si="6"/>
        <v>7.4327343241347927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8.6</v>
      </c>
      <c r="BD35" s="13">
        <f>IF('Données projet'!$A$88&gt;35,BD34+BC35-BL34,IF(A35&lt;'Données projet'!$A$88,$BA$205^A35,IF(A35='Données projet'!$A$88,'Données projet'!$B$88,BD34+BC35-BL34)))</f>
        <v>110.19999999999997</v>
      </c>
      <c r="BE35" s="14">
        <f>BD35*VLOOKUP('Données projet'!$B$11,Paramètres!$A$1:$I$89,3,0)*VLOOKUP('Données projet'!$B$11,Paramètres!$A$1:$I$89,5,0)</f>
        <v>96.270719999999983</v>
      </c>
      <c r="BF35" s="14">
        <f t="shared" si="37"/>
        <v>26.071592384845928</v>
      </c>
      <c r="BG35" s="22">
        <f t="shared" si="7"/>
        <v>213.07952740360665</v>
      </c>
      <c r="BH35" s="62">
        <f t="shared" si="8"/>
        <v>454.05202988413197</v>
      </c>
      <c r="BI35" s="62">
        <f ca="1">AVERAGE(OFFSET($BH$3,0,0,'Données projet'!$E$11+1,1))-AVERAGE(OFFSET($H$3,0,0,'Données projet'!$E$11+1,1))</f>
        <v>287.22548699835653</v>
      </c>
      <c r="BJ35" s="62">
        <f t="shared" si="38"/>
        <v>276.01618888357268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6.696827442807356</v>
      </c>
      <c r="BR35" s="23">
        <f>EXP(-LN(2)/2)*BR34+(1-EXP(-LN(2)/2))/(LN(2)/2)*BL35*BO35*VLOOKUP('Données projet'!$B$11,Paramètres!$A$1:$I$89,3,0)*0.475*44/12</f>
        <v>6.5343070399510417</v>
      </c>
      <c r="BS35" s="24">
        <f t="shared" si="9"/>
        <v>13.231134482758398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7.8</v>
      </c>
      <c r="N36" s="14">
        <f>IF('Données projet'!$A$36&gt;35,N35+M36-V35,IF(A36&lt;'Données projet'!$A$36,$K$205^A36,IF(A36='Données projet'!$A$36,'Données projet'!$B$36,N35+M36-V35)))</f>
        <v>100.39999999999999</v>
      </c>
      <c r="O36" s="14">
        <f>N36*VLOOKUP('Données projet'!$B$9,Paramètres!$A$1:$I$89,3,0)*VLOOKUP('Données projet'!$B$9,Paramètres!$A$1:$I$89,5,0)</f>
        <v>101.80559999999998</v>
      </c>
      <c r="P36" s="14">
        <f t="shared" si="33"/>
        <v>27.391707821525987</v>
      </c>
      <c r="Q36" s="22">
        <f t="shared" si="53"/>
        <v>225.01864445582441</v>
      </c>
      <c r="R36" s="62">
        <f t="shared" si="0"/>
        <v>466.89949029036518</v>
      </c>
      <c r="S36" s="62">
        <f ca="1">AVERAGE(OFFSET($R$3,0,0,'Données projet'!$E$9+1,1))-AVERAGE(OFFSET($H$3,0,0,'Données projet'!$E$9+1,1))</f>
        <v>446.90706503298787</v>
      </c>
      <c r="T36" s="62">
        <f t="shared" si="34"/>
        <v>275.54513370838777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2.7832813709778215</v>
      </c>
      <c r="AB36" s="23">
        <f>EXP(-LN(2)/2)*AB35+(1-EXP(-LN(2)/2))/(LN(2)/2)*V36*Y36*VLOOKUP('Données projet'!$B$9,Paramètres!$A$1:$I$89,3,0)*0.475*44/12</f>
        <v>4.9723831880543985</v>
      </c>
      <c r="AC36" s="24">
        <f t="shared" si="3"/>
        <v>7.75566455903222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7.8</v>
      </c>
      <c r="AI36" s="14">
        <f>IF('Données projet'!$A$62&gt;35,AI35+AH36-AQ35,IF(A36&lt;'Données projet'!$A$62,$AF$205^A36,IF(A36='Données projet'!$A$62,'Données projet'!$B$62,AI35+AH36-AQ35)))</f>
        <v>100.39999999999999</v>
      </c>
      <c r="AJ36" s="14">
        <f>AI36*VLOOKUP('Données projet'!$B$10,Paramètres!$A$1:$I$89,3,0)*VLOOKUP('Données projet'!$B$10,Paramètres!$A$1:$I$89,5,0)</f>
        <v>67.348320000000001</v>
      </c>
      <c r="AK36" s="14">
        <f t="shared" si="35"/>
        <v>19.013479288782474</v>
      </c>
      <c r="AL36" s="22">
        <f t="shared" si="4"/>
        <v>150.41346709462948</v>
      </c>
      <c r="AM36" s="62">
        <f t="shared" si="5"/>
        <v>392.29431292917025</v>
      </c>
      <c r="AN36" s="62">
        <f ca="1">AVERAGE(OFFSET($AM$3,0,0,'Données projet'!$E$10+1,1))-AVERAGE(OFFSET($H$3,0,0,'Données projet'!$E$10+1,1))</f>
        <v>312.88185844251097</v>
      </c>
      <c r="AO36" s="62">
        <f t="shared" si="36"/>
        <v>202.68317767036231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2.2694448101819158</v>
      </c>
      <c r="AW36" s="23">
        <f>EXP(-LN(2)/2)*AW35+(1-EXP(-LN(2)/2))/(LN(2)/2)*AQ36*AT36*VLOOKUP('Données projet'!$B$10,Paramètres!$A$1:$I$89,3,0)*0.475*44/12</f>
        <v>3.6058816515638652</v>
      </c>
      <c r="AX36" s="23">
        <f t="shared" si="6"/>
        <v>5.8753264617457805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8.6</v>
      </c>
      <c r="BD36" s="13">
        <f>IF('Données projet'!$A$88&gt;35,BD35+BC36-BL35,IF(A36&lt;'Données projet'!$A$88,$BA$205^A36,IF(A36='Données projet'!$A$88,'Données projet'!$B$88,BD35+BC36-BL35)))</f>
        <v>118.79999999999997</v>
      </c>
      <c r="BE36" s="14">
        <f>BD36*VLOOKUP('Données projet'!$B$11,Paramètres!$A$1:$I$89,3,0)*VLOOKUP('Données projet'!$B$11,Paramètres!$A$1:$I$89,5,0)</f>
        <v>103.78367999999999</v>
      </c>
      <c r="BF36" s="14">
        <f t="shared" si="37"/>
        <v>27.861449539780477</v>
      </c>
      <c r="BG36" s="22">
        <f t="shared" si="7"/>
        <v>229.28193394845096</v>
      </c>
      <c r="BH36" s="62">
        <f t="shared" si="8"/>
        <v>471.16277978299172</v>
      </c>
      <c r="BI36" s="62">
        <f ca="1">AVERAGE(OFFSET($BH$3,0,0,'Données projet'!$E$11+1,1))-AVERAGE(OFFSET($H$3,0,0,'Données projet'!$E$11+1,1))</f>
        <v>287.22548699835653</v>
      </c>
      <c r="BJ36" s="62">
        <f t="shared" si="38"/>
        <v>276.01618888357268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6.5137023442129394</v>
      </c>
      <c r="BR36" s="23">
        <f>EXP(-LN(2)/2)*BR35+(1-EXP(-LN(2)/2))/(LN(2)/2)*BL36*BO36*VLOOKUP('Données projet'!$B$11,Paramètres!$A$1:$I$89,3,0)*0.475*44/12</f>
        <v>4.6204528183043783</v>
      </c>
      <c r="BS36" s="24">
        <f t="shared" si="9"/>
        <v>11.134155162517317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7.8</v>
      </c>
      <c r="N37" s="14">
        <f>IF('Données projet'!$A$36&gt;35,N36+M37-V36,IF(A37&lt;'Données projet'!$A$36,$K$205^A37,IF(A37='Données projet'!$A$36,'Données projet'!$B$36,N36+M37-V36)))</f>
        <v>108.19999999999999</v>
      </c>
      <c r="O37" s="14">
        <f>N37*VLOOKUP('Données projet'!$B$9,Paramètres!$A$1:$I$89,3,0)*VLOOKUP('Données projet'!$B$9,Paramètres!$A$1:$I$89,5,0)</f>
        <v>109.7148</v>
      </c>
      <c r="P37" s="14">
        <f t="shared" si="33"/>
        <v>29.263779078727129</v>
      </c>
      <c r="Q37" s="22">
        <f t="shared" si="53"/>
        <v>242.05435856211645</v>
      </c>
      <c r="R37" s="62">
        <f t="shared" si="0"/>
        <v>484.82779002423206</v>
      </c>
      <c r="S37" s="62">
        <f ca="1">AVERAGE(OFFSET($R$3,0,0,'Données projet'!$E$9+1,1))-AVERAGE(OFFSET($H$3,0,0,'Données projet'!$E$9+1,1))</f>
        <v>446.90706503298787</v>
      </c>
      <c r="T37" s="62">
        <f t="shared" si="34"/>
        <v>275.54513370838777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2.707172395522027</v>
      </c>
      <c r="AB37" s="23">
        <f>EXP(-LN(2)/2)*AB36+(1-EXP(-LN(2)/2))/(LN(2)/2)*V37*Y37*VLOOKUP('Données projet'!$B$9,Paramètres!$A$1:$I$89,3,0)*0.475*44/12</f>
        <v>3.5160058709312492</v>
      </c>
      <c r="AC37" s="24">
        <f t="shared" si="3"/>
        <v>6.2231782664532762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7.8</v>
      </c>
      <c r="AI37" s="14">
        <f>IF('Données projet'!$A$62&gt;35,AI36+AH37-AQ36,IF(A37&lt;'Données projet'!$A$62,$AF$205^A37,IF(A37='Données projet'!$A$62,'Données projet'!$B$62,AI36+AH37-AQ36)))</f>
        <v>108.19999999999999</v>
      </c>
      <c r="AJ37" s="14">
        <f>AI37*VLOOKUP('Données projet'!$B$10,Paramètres!$A$1:$I$89,3,0)*VLOOKUP('Données projet'!$B$10,Paramètres!$A$1:$I$89,5,0)</f>
        <v>72.580559999999991</v>
      </c>
      <c r="AK37" s="14">
        <f t="shared" si="35"/>
        <v>20.312945109162861</v>
      </c>
      <c r="AL37" s="22">
        <f t="shared" si="4"/>
        <v>161.78952139845862</v>
      </c>
      <c r="AM37" s="62">
        <f t="shared" si="5"/>
        <v>404.56295286057423</v>
      </c>
      <c r="AN37" s="62">
        <f ca="1">AVERAGE(OFFSET($AM$3,0,0,'Données projet'!$E$10+1,1))-AVERAGE(OFFSET($H$3,0,0,'Données projet'!$E$10+1,1))</f>
        <v>312.88185844251097</v>
      </c>
      <c r="AO37" s="62">
        <f t="shared" si="36"/>
        <v>202.68317767036231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2.2073867225025756</v>
      </c>
      <c r="AW37" s="23">
        <f>EXP(-LN(2)/2)*AW36+(1-EXP(-LN(2)/2))/(LN(2)/2)*AQ37*AT37*VLOOKUP('Données projet'!$B$10,Paramètres!$A$1:$I$89,3,0)*0.475*44/12</f>
        <v>2.5497433679769568</v>
      </c>
      <c r="AX37" s="23">
        <f t="shared" si="6"/>
        <v>4.7571300904795324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8.6</v>
      </c>
      <c r="BD37" s="13">
        <f>IF('Données projet'!$A$88&gt;35,BD36+BC37-BL36,IF(A37&lt;'Données projet'!$A$88,$BA$205^A37,IF(A37='Données projet'!$A$88,'Données projet'!$B$88,BD36+BC37-BL36)))</f>
        <v>127.39999999999996</v>
      </c>
      <c r="BE37" s="14">
        <f>BD37*VLOOKUP('Données projet'!$B$11,Paramètres!$A$1:$I$89,3,0)*VLOOKUP('Données projet'!$B$11,Paramètres!$A$1:$I$89,5,0)</f>
        <v>111.29663999999997</v>
      </c>
      <c r="BF37" s="14">
        <f t="shared" si="37"/>
        <v>29.636274399319749</v>
      </c>
      <c r="BG37" s="22">
        <f t="shared" si="7"/>
        <v>245.45815924548182</v>
      </c>
      <c r="BH37" s="62">
        <f t="shared" si="8"/>
        <v>488.23159070759743</v>
      </c>
      <c r="BI37" s="62">
        <f ca="1">AVERAGE(OFFSET($BH$3,0,0,'Données projet'!$E$11+1,1))-AVERAGE(OFFSET($H$3,0,0,'Données projet'!$E$11+1,1))</f>
        <v>287.22548699835653</v>
      </c>
      <c r="BJ37" s="62">
        <f t="shared" si="38"/>
        <v>276.01618888357268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6.3355848110697179</v>
      </c>
      <c r="BR37" s="23">
        <f>EXP(-LN(2)/2)*BR36+(1-EXP(-LN(2)/2))/(LN(2)/2)*BL37*BO37*VLOOKUP('Données projet'!$B$11,Paramètres!$A$1:$I$89,3,0)*0.475*44/12</f>
        <v>3.2671535199755208</v>
      </c>
      <c r="BS37" s="24">
        <f t="shared" si="9"/>
        <v>9.6027383310452379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116</v>
      </c>
      <c r="L38" s="13">
        <f>VLOOKUP(A38,'Données projet'!$A$35:$I$55,9,0)</f>
        <v>7.8</v>
      </c>
      <c r="M38" s="13">
        <f t="array" ref="M38">INDEX(L:L,MIN(IF(ISNUMBER(L38:L234),ROW(L38:L234),"")))</f>
        <v>7.8</v>
      </c>
      <c r="N38" s="14">
        <f>IF('Données projet'!$A$36&gt;35,N37+M38-V37,IF(A38&lt;'Données projet'!$A$36,$K$205^A38,IF(A38='Données projet'!$A$36,'Données projet'!$B$36,N37+M38-V37)))</f>
        <v>115.99999999999999</v>
      </c>
      <c r="O38" s="14">
        <f>N38*VLOOKUP('Données projet'!$B$9,Paramètres!$A$1:$I$89,3,0)*VLOOKUP('Données projet'!$B$9,Paramètres!$A$1:$I$89,5,0)</f>
        <v>117.624</v>
      </c>
      <c r="P38" s="14">
        <f t="shared" si="33"/>
        <v>31.120192961985413</v>
      </c>
      <c r="Q38" s="22">
        <f t="shared" si="53"/>
        <v>259.06280274212457</v>
      </c>
      <c r="R38" s="62">
        <f t="shared" si="0"/>
        <v>502.71333546669905</v>
      </c>
      <c r="S38" s="62">
        <f ca="1">AVERAGE(OFFSET($R$3,0,0,'Données projet'!$E$9+1,1))-AVERAGE(OFFSET($H$3,0,0,'Données projet'!$E$9+1,1))</f>
        <v>446.90706503298787</v>
      </c>
      <c r="T38" s="62">
        <f t="shared" si="34"/>
        <v>275.54513370838777</v>
      </c>
      <c r="U38" s="16">
        <f>IF(ISNA(VLOOKUP(A38,'Données projet'!$A$35:$I$55,3,0)),0,VLOOKUP(A38,'Données projet'!$A$35:$I$55,3,0))</f>
        <v>3</v>
      </c>
      <c r="V38" s="16">
        <f>IF(ISNA(VLOOKUP(A38,'Données projet'!$A$35:$I$55,4,0)),0,VLOOKUP(A38,'Données projet'!$A$35:$I$55,4,0))</f>
        <v>21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2.6331446240024681</v>
      </c>
      <c r="AB38" s="23">
        <f>EXP(-LN(2)/2)*AB37+(1-EXP(-LN(2)/2))/(LN(2)/2)*V38*Y38*VLOOKUP('Données projet'!$B$9,Paramètres!$A$1:$I$89,3,0)*0.475*44/12</f>
        <v>2.4861915940271992</v>
      </c>
      <c r="AC38" s="24">
        <f t="shared" si="3"/>
        <v>5.1193362180296678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116</v>
      </c>
      <c r="AG38" s="13">
        <f>VLOOKUP(A38,'Données projet'!$A$61:$I$81,9,0)</f>
        <v>7.8</v>
      </c>
      <c r="AH38" s="13">
        <f t="array" ref="AH38">INDEX(AG:AG,MIN(IF(ISNUMBER(AG38:AG234),ROW(AG38:AG234),"")))</f>
        <v>7.8</v>
      </c>
      <c r="AI38" s="14">
        <f>IF('Données projet'!$A$62&gt;35,AI37+AH38-AQ37,IF(A38&lt;'Données projet'!$A$62,$AF$205^A38,IF(A38='Données projet'!$A$62,'Données projet'!$B$62,AI37+AH38-AQ37)))</f>
        <v>115.99999999999999</v>
      </c>
      <c r="AJ38" s="14">
        <f>AI38*VLOOKUP('Données projet'!$B$10,Paramètres!$A$1:$I$89,3,0)*VLOOKUP('Données projet'!$B$10,Paramètres!$A$1:$I$89,5,0)</f>
        <v>77.812799999999996</v>
      </c>
      <c r="AK38" s="14">
        <f t="shared" si="35"/>
        <v>21.601542634761511</v>
      </c>
      <c r="AL38" s="22">
        <f t="shared" si="4"/>
        <v>173.14664675554295</v>
      </c>
      <c r="AM38" s="62">
        <f t="shared" si="5"/>
        <v>416.79717948011745</v>
      </c>
      <c r="AN38" s="62">
        <f ca="1">AVERAGE(OFFSET($AM$3,0,0,'Données projet'!$E$10+1,1))-AVERAGE(OFFSET($H$3,0,0,'Données projet'!$E$10+1,1))</f>
        <v>312.88185844251097</v>
      </c>
      <c r="AO38" s="62">
        <f t="shared" si="36"/>
        <v>202.68317767036231</v>
      </c>
      <c r="AP38" s="16">
        <f>IF(ISNA(VLOOKUP(A38,'Données projet'!$A$61:$I$81,3,0)),0,VLOOKUP(A38,'Données projet'!$A$61:$I$81,3,0))</f>
        <v>3</v>
      </c>
      <c r="AQ38" s="16">
        <f>IF(ISNA(VLOOKUP(A38,'Données projet'!$A$61:$I$81,4,0)),0,VLOOKUP(A38,'Données projet'!$A$61:$I$81,4,0))</f>
        <v>21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2.1470256164943202</v>
      </c>
      <c r="AW38" s="23">
        <f>EXP(-LN(2)/2)*AW37+(1-EXP(-LN(2)/2))/(LN(2)/2)*AQ38*AT38*VLOOKUP('Données projet'!$B$10,Paramètres!$A$1:$I$89,3,0)*0.475*44/12</f>
        <v>1.8029408257819328</v>
      </c>
      <c r="AX38" s="23">
        <f t="shared" si="6"/>
        <v>3.9499664422762528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136</v>
      </c>
      <c r="BB38" s="13">
        <f>VLOOKUP(A38,'Données projet'!$A$87:$I$107,9,0)</f>
        <v>8.6</v>
      </c>
      <c r="BC38" s="13">
        <f t="array" ref="BC38">INDEX(BB:BB,MIN(IF(ISNUMBER(BB38:BB234),ROW(BB38:BB234),"")))</f>
        <v>8.6</v>
      </c>
      <c r="BD38" s="13">
        <f>IF('Données projet'!$A$88&gt;35,BD37+BC38-BL37,IF(A38&lt;'Données projet'!$A$88,$BA$205^A38,IF(A38='Données projet'!$A$88,'Données projet'!$B$88,BD37+BC38-BL37)))</f>
        <v>135.99999999999997</v>
      </c>
      <c r="BE38" s="14">
        <f>BD38*VLOOKUP('Données projet'!$B$11,Paramètres!$A$1:$I$89,3,0)*VLOOKUP('Données projet'!$B$11,Paramètres!$A$1:$I$89,5,0)</f>
        <v>118.8096</v>
      </c>
      <c r="BF38" s="14">
        <f t="shared" si="37"/>
        <v>31.39719715333722</v>
      </c>
      <c r="BG38" s="22">
        <f t="shared" si="7"/>
        <v>261.61017170872896</v>
      </c>
      <c r="BH38" s="62">
        <f t="shared" si="8"/>
        <v>505.26070443330343</v>
      </c>
      <c r="BI38" s="62">
        <f ca="1">AVERAGE(OFFSET($BH$3,0,0,'Données projet'!$E$11+1,1))-AVERAGE(OFFSET($H$3,0,0,'Données projet'!$E$11+1,1))</f>
        <v>287.22548699835653</v>
      </c>
      <c r="BJ38" s="62">
        <f t="shared" si="38"/>
        <v>276.01618888357268</v>
      </c>
      <c r="BK38" s="16">
        <f>IF(ISNA(VLOOKUP(A38,'Données projet'!$A$87:$I$107,3,0)),0,VLOOKUP(A38,'Données projet'!$A$87:$I$107,3,0))</f>
        <v>5</v>
      </c>
      <c r="BL38" s="16">
        <f>IF(ISNA(VLOOKUP(A38,'Données projet'!$A$87:$I$107,4,0)),0,VLOOKUP(A38,'Données projet'!$A$87:$I$107,4,0))</f>
        <v>21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6.1623379112370911</v>
      </c>
      <c r="BR38" s="23">
        <f>EXP(-LN(2)/2)*BR37+(1-EXP(-LN(2)/2))/(LN(2)/2)*BL38*BO38*VLOOKUP('Données projet'!$B$11,Paramètres!$A$1:$I$89,3,0)*0.475*44/12</f>
        <v>2.3102264091521891</v>
      </c>
      <c r="BS38" s="24">
        <f t="shared" si="9"/>
        <v>8.4725643203892798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8.4</v>
      </c>
      <c r="N39" s="14">
        <f>IF('Données projet'!$A$36&gt;35,N38+M39-V38,IF(A39&lt;'Données projet'!$A$36,$K$205^A39,IF(A39='Données projet'!$A$36,'Données projet'!$B$36,N38+M39-V38)))</f>
        <v>103.39999999999999</v>
      </c>
      <c r="O39" s="14">
        <f>N39*VLOOKUP('Données projet'!$B$9,Paramètres!$A$1:$I$89,3,0)*VLOOKUP('Données projet'!$B$9,Paramètres!$A$1:$I$89,5,0)</f>
        <v>104.8476</v>
      </c>
      <c r="P39" s="14">
        <f t="shared" si="33"/>
        <v>28.113670466115643</v>
      </c>
      <c r="Q39" s="22">
        <f t="shared" si="53"/>
        <v>231.57421272848475</v>
      </c>
      <c r="R39" s="62">
        <f t="shared" si="0"/>
        <v>476.08663096951921</v>
      </c>
      <c r="S39" s="62">
        <f ca="1">AVERAGE(OFFSET($R$3,0,0,'Données projet'!$E$9+1,1))-AVERAGE(OFFSET($H$3,0,0,'Données projet'!$E$9+1,1))</f>
        <v>446.90706503298787</v>
      </c>
      <c r="T39" s="62">
        <f t="shared" si="34"/>
        <v>275.54513370838777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2.5611411457880631</v>
      </c>
      <c r="AB39" s="23">
        <f>EXP(-LN(2)/2)*AB38+(1-EXP(-LN(2)/2))/(LN(2)/2)*V39*Y39*VLOOKUP('Données projet'!$B$9,Paramètres!$A$1:$I$89,3,0)*0.475*44/12</f>
        <v>1.7580029354656246</v>
      </c>
      <c r="AC39" s="24">
        <f t="shared" si="3"/>
        <v>4.3191440812536879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8.4</v>
      </c>
      <c r="AI39" s="14">
        <f>IF('Données projet'!$A$62&gt;35,AI38+AH39-AQ38,IF(A39&lt;'Données projet'!$A$62,$AF$205^A39,IF(A39='Données projet'!$A$62,'Données projet'!$B$62,AI38+AH39-AQ38)))</f>
        <v>103.39999999999999</v>
      </c>
      <c r="AJ39" s="14">
        <f>AI39*VLOOKUP('Données projet'!$B$10,Paramètres!$A$1:$I$89,3,0)*VLOOKUP('Données projet'!$B$10,Paramètres!$A$1:$I$89,5,0)</f>
        <v>69.360720000000001</v>
      </c>
      <c r="AK39" s="14">
        <f t="shared" si="35"/>
        <v>19.514617146984691</v>
      </c>
      <c r="AL39" s="22">
        <f t="shared" si="4"/>
        <v>154.791212197665</v>
      </c>
      <c r="AM39" s="62">
        <f t="shared" si="5"/>
        <v>399.30363043869943</v>
      </c>
      <c r="AN39" s="62">
        <f ca="1">AVERAGE(OFFSET($AM$3,0,0,'Données projet'!$E$10+1,1))-AVERAGE(OFFSET($H$3,0,0,'Données projet'!$E$10+1,1))</f>
        <v>312.88185844251097</v>
      </c>
      <c r="AO39" s="62">
        <f t="shared" si="36"/>
        <v>202.68317767036231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2.088315088104113</v>
      </c>
      <c r="AW39" s="23">
        <f>EXP(-LN(2)/2)*AW38+(1-EXP(-LN(2)/2))/(LN(2)/2)*AQ39*AT39*VLOOKUP('Données projet'!$B$10,Paramètres!$A$1:$I$89,3,0)*0.475*44/12</f>
        <v>1.2748716839884786</v>
      </c>
      <c r="AX39" s="23">
        <f t="shared" si="6"/>
        <v>3.3631867720925914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7.6</v>
      </c>
      <c r="BD39" s="13">
        <f>IF('Données projet'!$A$88&gt;35,BD38+BC39-BL38,IF(A39&lt;'Données projet'!$A$88,$BA$205^A39,IF(A39='Données projet'!$A$88,'Données projet'!$B$88,BD38+BC39-BL38)))</f>
        <v>122.59999999999997</v>
      </c>
      <c r="BE39" s="14">
        <f>BD39*VLOOKUP('Données projet'!$B$11,Paramètres!$A$1:$I$89,3,0)*VLOOKUP('Données projet'!$B$11,Paramètres!$A$1:$I$89,5,0)</f>
        <v>107.10336</v>
      </c>
      <c r="BF39" s="14">
        <f t="shared" si="37"/>
        <v>28.647457255358184</v>
      </c>
      <c r="BG39" s="22">
        <f t="shared" si="7"/>
        <v>236.43267338641553</v>
      </c>
      <c r="BH39" s="62">
        <f t="shared" si="8"/>
        <v>480.94509162744998</v>
      </c>
      <c r="BI39" s="62">
        <f ca="1">AVERAGE(OFFSET($BH$3,0,0,'Données projet'!$E$11+1,1))-AVERAGE(OFFSET($H$3,0,0,'Données projet'!$E$11+1,1))</f>
        <v>287.22548699835653</v>
      </c>
      <c r="BJ39" s="62">
        <f t="shared" si="38"/>
        <v>276.01618888357268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5.9938284569910465</v>
      </c>
      <c r="BR39" s="23">
        <f>EXP(-LN(2)/2)*BR38+(1-EXP(-LN(2)/2))/(LN(2)/2)*BL39*BO39*VLOOKUP('Données projet'!$B$11,Paramètres!$A$1:$I$89,3,0)*0.475*44/12</f>
        <v>1.6335767599877604</v>
      </c>
      <c r="BS39" s="24">
        <f t="shared" si="9"/>
        <v>7.6274052169788069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8.4</v>
      </c>
      <c r="N40" s="14">
        <f>IF('Données projet'!$A$36&gt;35,N39+M40-V39,IF(A40&lt;'Données projet'!$A$36,$K$205^A40,IF(A40='Données projet'!$A$36,'Données projet'!$B$36,N39+M40-V39)))</f>
        <v>111.8</v>
      </c>
      <c r="O40" s="14">
        <f>N40*VLOOKUP('Données projet'!$B$9,Paramètres!$A$1:$I$89,3,0)*VLOOKUP('Données projet'!$B$9,Paramètres!$A$1:$I$89,5,0)</f>
        <v>113.3652</v>
      </c>
      <c r="P40" s="14">
        <f t="shared" si="33"/>
        <v>30.122456058687586</v>
      </c>
      <c r="Q40" s="22">
        <f t="shared" si="53"/>
        <v>249.90766763554748</v>
      </c>
      <c r="R40" s="62">
        <f t="shared" si="0"/>
        <v>495.26701960621858</v>
      </c>
      <c r="S40" s="62">
        <f ca="1">AVERAGE(OFFSET($R$3,0,0,'Données projet'!$E$9+1,1))-AVERAGE(OFFSET($H$3,0,0,'Données projet'!$E$9+1,1))</f>
        <v>446.90706503298787</v>
      </c>
      <c r="T40" s="62">
        <f t="shared" si="34"/>
        <v>275.54513370838777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2.4911066064719294</v>
      </c>
      <c r="AB40" s="23">
        <f>EXP(-LN(2)/2)*AB39+(1-EXP(-LN(2)/2))/(LN(2)/2)*V40*Y40*VLOOKUP('Données projet'!$B$9,Paramètres!$A$1:$I$89,3,0)*0.475*44/12</f>
        <v>1.2430957970135996</v>
      </c>
      <c r="AC40" s="24">
        <f t="shared" si="3"/>
        <v>3.7342024034855292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8.4</v>
      </c>
      <c r="AI40" s="14">
        <f>IF('Données projet'!$A$62&gt;35,AI39+AH40-AQ39,IF(A40&lt;'Données projet'!$A$62,$AF$205^A40,IF(A40='Données projet'!$A$62,'Données projet'!$B$62,AI39+AH40-AQ39)))</f>
        <v>111.8</v>
      </c>
      <c r="AJ40" s="14">
        <f>AI40*VLOOKUP('Données projet'!$B$10,Paramètres!$A$1:$I$89,3,0)*VLOOKUP('Données projet'!$B$10,Paramètres!$A$1:$I$89,5,0)</f>
        <v>74.995440000000002</v>
      </c>
      <c r="AK40" s="14">
        <f t="shared" si="35"/>
        <v>20.908980854017098</v>
      </c>
      <c r="AL40" s="22">
        <f t="shared" si="4"/>
        <v>167.03353298741311</v>
      </c>
      <c r="AM40" s="62">
        <f t="shared" si="5"/>
        <v>412.39288495808421</v>
      </c>
      <c r="AN40" s="62">
        <f ca="1">AVERAGE(OFFSET($AM$3,0,0,'Données projet'!$E$10+1,1))-AVERAGE(OFFSET($H$3,0,0,'Données projet'!$E$10+1,1))</f>
        <v>312.88185844251097</v>
      </c>
      <c r="AO40" s="62">
        <f t="shared" si="36"/>
        <v>202.68317767036231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2.0312100022001887</v>
      </c>
      <c r="AW40" s="23">
        <f>EXP(-LN(2)/2)*AW39+(1-EXP(-LN(2)/2))/(LN(2)/2)*AQ40*AT40*VLOOKUP('Données projet'!$B$10,Paramètres!$A$1:$I$89,3,0)*0.475*44/12</f>
        <v>0.90147041289096652</v>
      </c>
      <c r="AX40" s="23">
        <f t="shared" si="6"/>
        <v>2.9326804150911552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7.6</v>
      </c>
      <c r="BD40" s="13">
        <f>IF('Données projet'!$A$88&gt;35,BD39+BC40-BL39,IF(A40&lt;'Données projet'!$A$88,$BA$205^A40,IF(A40='Données projet'!$A$88,'Données projet'!$B$88,BD39+BC40-BL39)))</f>
        <v>130.19999999999996</v>
      </c>
      <c r="BE40" s="14">
        <f>BD40*VLOOKUP('Données projet'!$B$11,Paramètres!$A$1:$I$89,3,0)*VLOOKUP('Données projet'!$B$11,Paramètres!$A$1:$I$89,5,0)</f>
        <v>113.74271999999996</v>
      </c>
      <c r="BF40" s="14">
        <f t="shared" si="37"/>
        <v>30.211074114233345</v>
      </c>
      <c r="BG40" s="22">
        <f t="shared" si="7"/>
        <v>250.71952474895636</v>
      </c>
      <c r="BH40" s="62">
        <f t="shared" si="8"/>
        <v>496.07887671962749</v>
      </c>
      <c r="BI40" s="62">
        <f ca="1">AVERAGE(OFFSET($BH$3,0,0,'Données projet'!$E$11+1,1))-AVERAGE(OFFSET($H$3,0,0,'Données projet'!$E$11+1,1))</f>
        <v>287.22548699835653</v>
      </c>
      <c r="BJ40" s="62">
        <f t="shared" si="38"/>
        <v>276.01618888357268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5.829926902632887</v>
      </c>
      <c r="BR40" s="23">
        <f>EXP(-LN(2)/2)*BR39+(1-EXP(-LN(2)/2))/(LN(2)/2)*BL40*BO40*VLOOKUP('Données projet'!$B$11,Paramètres!$A$1:$I$89,3,0)*0.475*44/12</f>
        <v>1.1551132045760946</v>
      </c>
      <c r="BS40" s="24">
        <f t="shared" si="9"/>
        <v>6.9850401072089818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8.4</v>
      </c>
      <c r="N41" s="14">
        <f>IF('Données projet'!$A$36&gt;35,N40+M41-V40,IF(A41&lt;'Données projet'!$A$36,$K$205^A41,IF(A41='Données projet'!$A$36,'Données projet'!$B$36,N40+M41-V40)))</f>
        <v>120.2</v>
      </c>
      <c r="O41" s="14">
        <f>N41*VLOOKUP('Données projet'!$B$9,Paramètres!$A$1:$I$89,3,0)*VLOOKUP('Données projet'!$B$9,Paramètres!$A$1:$I$89,5,0)</f>
        <v>121.88280000000002</v>
      </c>
      <c r="P41" s="14">
        <f t="shared" si="33"/>
        <v>32.113732800054677</v>
      </c>
      <c r="Q41" s="22">
        <f t="shared" si="53"/>
        <v>268.21062796009522</v>
      </c>
      <c r="R41" s="62">
        <f t="shared" si="0"/>
        <v>514.40222125365392</v>
      </c>
      <c r="S41" s="62">
        <f ca="1">AVERAGE(OFFSET($R$3,0,0,'Données projet'!$E$9+1,1))-AVERAGE(OFFSET($H$3,0,0,'Données projet'!$E$9+1,1))</f>
        <v>446.90706503298787</v>
      </c>
      <c r="T41" s="62">
        <f t="shared" si="34"/>
        <v>275.54513370838777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2.4229871653163517</v>
      </c>
      <c r="AB41" s="23">
        <f>EXP(-LN(2)/2)*AB40+(1-EXP(-LN(2)/2))/(LN(2)/2)*V41*Y41*VLOOKUP('Données projet'!$B$9,Paramètres!$A$1:$I$89,3,0)*0.475*44/12</f>
        <v>0.87900146773281229</v>
      </c>
      <c r="AC41" s="24">
        <f t="shared" si="3"/>
        <v>3.3019886330491639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8.4</v>
      </c>
      <c r="AI41" s="14">
        <f>IF('Données projet'!$A$62&gt;35,AI40+AH41-AQ40,IF(A41&lt;'Données projet'!$A$62,$AF$205^A41,IF(A41='Données projet'!$A$62,'Données projet'!$B$62,AI40+AH41-AQ40)))</f>
        <v>120.2</v>
      </c>
      <c r="AJ41" s="14">
        <f>AI41*VLOOKUP('Données projet'!$B$10,Paramètres!$A$1:$I$89,3,0)*VLOOKUP('Données projet'!$B$10,Paramètres!$A$1:$I$89,5,0)</f>
        <v>80.630160000000004</v>
      </c>
      <c r="AK41" s="14">
        <f t="shared" si="35"/>
        <v>22.291191095412266</v>
      </c>
      <c r="AL41" s="22">
        <f t="shared" si="4"/>
        <v>179.25468649117633</v>
      </c>
      <c r="AM41" s="62">
        <f t="shared" si="5"/>
        <v>425.44627978473505</v>
      </c>
      <c r="AN41" s="62">
        <f ca="1">AVERAGE(OFFSET($AM$3,0,0,'Données projet'!$E$10+1,1))-AVERAGE(OFFSET($H$3,0,0,'Données projet'!$E$10+1,1))</f>
        <v>312.88185844251097</v>
      </c>
      <c r="AO41" s="62">
        <f t="shared" si="36"/>
        <v>202.68317767036231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1.9756664578733329</v>
      </c>
      <c r="AW41" s="23">
        <f>EXP(-LN(2)/2)*AW40+(1-EXP(-LN(2)/2))/(LN(2)/2)*AQ41*AT41*VLOOKUP('Données projet'!$B$10,Paramètres!$A$1:$I$89,3,0)*0.475*44/12</f>
        <v>0.63743584199423931</v>
      </c>
      <c r="AX41" s="23">
        <f t="shared" si="6"/>
        <v>2.6131022998675721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7.6</v>
      </c>
      <c r="BD41" s="13">
        <f>IF('Données projet'!$A$88&gt;35,BD40+BC41-BL40,IF(A41&lt;'Données projet'!$A$88,$BA$205^A41,IF(A41='Données projet'!$A$88,'Données projet'!$B$88,BD40+BC41-BL40)))</f>
        <v>137.79999999999995</v>
      </c>
      <c r="BE41" s="14">
        <f>BD41*VLOOKUP('Données projet'!$B$11,Paramètres!$A$1:$I$89,3,0)*VLOOKUP('Données projet'!$B$11,Paramètres!$A$1:$I$89,5,0)</f>
        <v>120.38207999999997</v>
      </c>
      <c r="BF41" s="14">
        <f t="shared" si="37"/>
        <v>31.764096685603551</v>
      </c>
      <c r="BG41" s="22">
        <f t="shared" si="7"/>
        <v>264.98792439409277</v>
      </c>
      <c r="BH41" s="62">
        <f t="shared" si="8"/>
        <v>511.17951768765147</v>
      </c>
      <c r="BI41" s="62">
        <f ca="1">AVERAGE(OFFSET($BH$3,0,0,'Données projet'!$E$11+1,1))-AVERAGE(OFFSET($H$3,0,0,'Données projet'!$E$11+1,1))</f>
        <v>287.22548699835653</v>
      </c>
      <c r="BJ41" s="62">
        <f t="shared" si="38"/>
        <v>276.01618888357268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5.6705072448978591</v>
      </c>
      <c r="BR41" s="23">
        <f>EXP(-LN(2)/2)*BR40+(1-EXP(-LN(2)/2))/(LN(2)/2)*BL41*BO41*VLOOKUP('Données projet'!$B$11,Paramètres!$A$1:$I$89,3,0)*0.475*44/12</f>
        <v>0.81678837999388021</v>
      </c>
      <c r="BS41" s="24">
        <f t="shared" si="9"/>
        <v>6.4872956248917397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8.4</v>
      </c>
      <c r="N42" s="14">
        <f>IF('Données projet'!$A$36&gt;35,N41+M42-V41,IF(A42&lt;'Données projet'!$A$36,$K$205^A42,IF(A42='Données projet'!$A$36,'Données projet'!$B$36,N41+M42-V41)))</f>
        <v>128.6</v>
      </c>
      <c r="O42" s="14">
        <f>N42*VLOOKUP('Données projet'!$B$9,Paramètres!$A$1:$I$89,3,0)*VLOOKUP('Données projet'!$B$9,Paramètres!$A$1:$I$89,5,0)</f>
        <v>130.40040000000002</v>
      </c>
      <c r="P42" s="14">
        <f t="shared" si="33"/>
        <v>34.088863450406919</v>
      </c>
      <c r="Q42" s="22">
        <f t="shared" si="53"/>
        <v>286.48546717612544</v>
      </c>
      <c r="R42" s="62">
        <f t="shared" si="0"/>
        <v>533.49486426623253</v>
      </c>
      <c r="S42" s="62">
        <f ca="1">AVERAGE(OFFSET($R$3,0,0,'Données projet'!$E$9+1,1))-AVERAGE(OFFSET($H$3,0,0,'Données projet'!$E$9+1,1))</f>
        <v>446.90706503298787</v>
      </c>
      <c r="T42" s="62">
        <f t="shared" si="34"/>
        <v>275.54513370838777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2.3567304538614189</v>
      </c>
      <c r="AB42" s="23">
        <f>EXP(-LN(2)/2)*AB41+(1-EXP(-LN(2)/2))/(LN(2)/2)*V42*Y42*VLOOKUP('Données projet'!$B$9,Paramètres!$A$1:$I$89,3,0)*0.475*44/12</f>
        <v>0.62154789850679981</v>
      </c>
      <c r="AC42" s="24">
        <f t="shared" si="3"/>
        <v>2.9782783523682186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8.4</v>
      </c>
      <c r="AI42" s="14">
        <f>IF('Données projet'!$A$62&gt;35,AI41+AH42-AQ41,IF(A42&lt;'Données projet'!$A$62,$AF$205^A42,IF(A42='Données projet'!$A$62,'Données projet'!$B$62,AI41+AH42-AQ41)))</f>
        <v>128.6</v>
      </c>
      <c r="AJ42" s="14">
        <f>AI42*VLOOKUP('Données projet'!$B$10,Paramètres!$A$1:$I$89,3,0)*VLOOKUP('Données projet'!$B$10,Paramètres!$A$1:$I$89,5,0)</f>
        <v>86.264879999999991</v>
      </c>
      <c r="AK42" s="14">
        <f t="shared" si="35"/>
        <v>23.662193807539584</v>
      </c>
      <c r="AL42" s="22">
        <f t="shared" si="4"/>
        <v>191.4563202147981</v>
      </c>
      <c r="AM42" s="62">
        <f t="shared" si="5"/>
        <v>438.46571730490518</v>
      </c>
      <c r="AN42" s="62">
        <f ca="1">AVERAGE(OFFSET($AM$3,0,0,'Données projet'!$E$10+1,1))-AVERAGE(OFFSET($H$3,0,0,'Données projet'!$E$10+1,1))</f>
        <v>312.88185844251097</v>
      </c>
      <c r="AO42" s="62">
        <f t="shared" si="36"/>
        <v>202.68317767036231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1.921641754687003</v>
      </c>
      <c r="AW42" s="23">
        <f>EXP(-LN(2)/2)*AW41+(1-EXP(-LN(2)/2))/(LN(2)/2)*AQ42*AT42*VLOOKUP('Données projet'!$B$10,Paramètres!$A$1:$I$89,3,0)*0.475*44/12</f>
        <v>0.45073520644548326</v>
      </c>
      <c r="AX42" s="23">
        <f t="shared" si="6"/>
        <v>2.3723769611324865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7.6</v>
      </c>
      <c r="BD42" s="13">
        <f>IF('Données projet'!$A$88&gt;35,BD41+BC42-BL41,IF(A42&lt;'Données projet'!$A$88,$BA$205^A42,IF(A42='Données projet'!$A$88,'Données projet'!$B$88,BD41+BC42-BL41)))</f>
        <v>145.39999999999995</v>
      </c>
      <c r="BE42" s="14">
        <f>BD42*VLOOKUP('Données projet'!$B$11,Paramètres!$A$1:$I$89,3,0)*VLOOKUP('Données projet'!$B$11,Paramètres!$A$1:$I$89,5,0)</f>
        <v>127.02143999999997</v>
      </c>
      <c r="BF42" s="14">
        <f t="shared" si="37"/>
        <v>33.307175870664402</v>
      </c>
      <c r="BG42" s="22">
        <f t="shared" si="7"/>
        <v>279.23900597474045</v>
      </c>
      <c r="BH42" s="62">
        <f t="shared" si="8"/>
        <v>526.24840306484759</v>
      </c>
      <c r="BI42" s="62">
        <f ca="1">AVERAGE(OFFSET($BH$3,0,0,'Données projet'!$E$11+1,1))-AVERAGE(OFFSET($H$3,0,0,'Données projet'!$E$11+1,1))</f>
        <v>287.22548699835653</v>
      </c>
      <c r="BJ42" s="62">
        <f t="shared" si="38"/>
        <v>276.01618888357268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5.5154469260871108</v>
      </c>
      <c r="BR42" s="23">
        <f>EXP(-LN(2)/2)*BR41+(1-EXP(-LN(2)/2))/(LN(2)/2)*BL42*BO42*VLOOKUP('Données projet'!$B$11,Paramètres!$A$1:$I$89,3,0)*0.475*44/12</f>
        <v>0.57755660228804728</v>
      </c>
      <c r="BS42" s="24">
        <f t="shared" si="9"/>
        <v>6.0930035283751582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137</v>
      </c>
      <c r="L43" s="13">
        <f>VLOOKUP(A43,'Données projet'!$A$35:$I$55,9,0)</f>
        <v>8.4</v>
      </c>
      <c r="M43" s="13">
        <f t="array" ref="M43">INDEX(L:L,MIN(IF(ISNUMBER(L43:L239),ROW(L43:L239),"")))</f>
        <v>8.4</v>
      </c>
      <c r="N43" s="14">
        <f>IF('Données projet'!$A$36&gt;35,N42+M43-V42,IF(A43&lt;'Données projet'!$A$36,$K$205^A43,IF(A43='Données projet'!$A$36,'Données projet'!$B$36,N42+M43-V42)))</f>
        <v>137</v>
      </c>
      <c r="O43" s="14">
        <f>N43*VLOOKUP('Données projet'!$B$9,Paramètres!$A$1:$I$89,3,0)*VLOOKUP('Données projet'!$B$9,Paramètres!$A$1:$I$89,5,0)</f>
        <v>138.91800000000001</v>
      </c>
      <c r="P43" s="14">
        <f t="shared" si="33"/>
        <v>36.049022673886341</v>
      </c>
      <c r="Q43" s="22">
        <f t="shared" si="53"/>
        <v>304.73423115701871</v>
      </c>
      <c r="R43" s="62">
        <f t="shared" si="0"/>
        <v>552.5472449761395</v>
      </c>
      <c r="S43" s="62">
        <f ca="1">AVERAGE(OFFSET($R$3,0,0,'Données projet'!$E$9+1,1))-AVERAGE(OFFSET($H$3,0,0,'Données projet'!$E$9+1,1))</f>
        <v>446.90706503298787</v>
      </c>
      <c r="T43" s="62">
        <f t="shared" si="34"/>
        <v>275.54513370838777</v>
      </c>
      <c r="U43" s="16">
        <f>IF(ISNA(VLOOKUP(A43,'Données projet'!$A$35:$I$55,3,0)),0,VLOOKUP(A43,'Données projet'!$A$35:$I$55,3,0))</f>
        <v>4</v>
      </c>
      <c r="V43" s="16">
        <f>IF(ISNA(VLOOKUP(A43,'Données projet'!$A$35:$I$55,4,0)),0,VLOOKUP(A43,'Données projet'!$A$35:$I$55,4,0))</f>
        <v>21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2.2922855356655103</v>
      </c>
      <c r="AB43" s="23">
        <f>EXP(-LN(2)/2)*AB42+(1-EXP(-LN(2)/2))/(LN(2)/2)*V43*Y43*VLOOKUP('Données projet'!$B$9,Paramètres!$A$1:$I$89,3,0)*0.475*44/12</f>
        <v>0.43950073386640615</v>
      </c>
      <c r="AC43" s="24">
        <f t="shared" si="3"/>
        <v>2.7317862695319164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137</v>
      </c>
      <c r="AG43" s="13">
        <f>VLOOKUP(A43,'Données projet'!$A$61:$I$81,9,0)</f>
        <v>8.4</v>
      </c>
      <c r="AH43" s="13">
        <f t="array" ref="AH43">INDEX(AG:AG,MIN(IF(ISNUMBER(AG43:AG239),ROW(AG43:AG239),"")))</f>
        <v>8.4</v>
      </c>
      <c r="AI43" s="14">
        <f>IF('Données projet'!$A$62&gt;35,AI42+AH43-AQ42,IF(A43&lt;'Données projet'!$A$62,$AF$205^A43,IF(A43='Données projet'!$A$62,'Données projet'!$B$62,AI42+AH43-AQ42)))</f>
        <v>137</v>
      </c>
      <c r="AJ43" s="14">
        <f>AI43*VLOOKUP('Données projet'!$B$10,Paramètres!$A$1:$I$89,3,0)*VLOOKUP('Données projet'!$B$10,Paramètres!$A$1:$I$89,5,0)</f>
        <v>91.899599999999992</v>
      </c>
      <c r="AK43" s="14">
        <f t="shared" si="35"/>
        <v>25.022804363156467</v>
      </c>
      <c r="AL43" s="22">
        <f t="shared" si="4"/>
        <v>203.63985426583085</v>
      </c>
      <c r="AM43" s="62">
        <f t="shared" si="5"/>
        <v>451.45286808495166</v>
      </c>
      <c r="AN43" s="62">
        <f ca="1">AVERAGE(OFFSET($AM$3,0,0,'Données projet'!$E$10+1,1))-AVERAGE(OFFSET($H$3,0,0,'Données projet'!$E$10+1,1))</f>
        <v>312.88185844251097</v>
      </c>
      <c r="AO43" s="62">
        <f t="shared" si="36"/>
        <v>202.68317767036231</v>
      </c>
      <c r="AP43" s="16">
        <f>IF(ISNA(VLOOKUP(A43,'Données projet'!$A$61:$I$81,3,0)),0,VLOOKUP(A43,'Données projet'!$A$61:$I$81,3,0))</f>
        <v>4</v>
      </c>
      <c r="AQ43" s="16">
        <f>IF(ISNA(VLOOKUP(A43,'Données projet'!$A$61:$I$81,4,0)),0,VLOOKUP(A43,'Données projet'!$A$61:$I$81,4,0))</f>
        <v>21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1.8690943598503391</v>
      </c>
      <c r="AW43" s="23">
        <f>EXP(-LN(2)/2)*AW42+(1-EXP(-LN(2)/2))/(LN(2)/2)*AQ43*AT43*VLOOKUP('Données projet'!$B$10,Paramètres!$A$1:$I$89,3,0)*0.475*44/12</f>
        <v>0.31871792099711965</v>
      </c>
      <c r="AX43" s="23">
        <f t="shared" si="6"/>
        <v>2.1878122808474587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153</v>
      </c>
      <c r="BB43" s="13">
        <f>VLOOKUP(A43,'Données projet'!$A$87:$I$107,9,0)</f>
        <v>7.6</v>
      </c>
      <c r="BC43" s="13">
        <f t="array" ref="BC43">INDEX(BB:BB,MIN(IF(ISNUMBER(BB43:BB239),ROW(BB43:BB239),"")))</f>
        <v>7.6</v>
      </c>
      <c r="BD43" s="13">
        <f>IF('Données projet'!$A$88&gt;35,BD42+BC43-BL42,IF(A43&lt;'Données projet'!$A$88,$BA$205^A43,IF(A43='Données projet'!$A$88,'Données projet'!$B$88,BD42+BC43-BL42)))</f>
        <v>152.99999999999994</v>
      </c>
      <c r="BE43" s="14">
        <f>BD43*VLOOKUP('Données projet'!$B$11,Paramètres!$A$1:$I$89,3,0)*VLOOKUP('Données projet'!$B$11,Paramètres!$A$1:$I$89,5,0)</f>
        <v>133.66079999999997</v>
      </c>
      <c r="BF43" s="14">
        <f t="shared" si="37"/>
        <v>34.840890682716719</v>
      </c>
      <c r="BG43" s="22">
        <f t="shared" si="7"/>
        <v>293.47377793906486</v>
      </c>
      <c r="BH43" s="62">
        <f t="shared" si="8"/>
        <v>541.2867917581857</v>
      </c>
      <c r="BI43" s="62">
        <f ca="1">AVERAGE(OFFSET($BH$3,0,0,'Données projet'!$E$11+1,1))-AVERAGE(OFFSET($H$3,0,0,'Données projet'!$E$11+1,1))</f>
        <v>287.22548699835653</v>
      </c>
      <c r="BJ43" s="62">
        <f t="shared" si="38"/>
        <v>276.01618888357268</v>
      </c>
      <c r="BK43" s="16">
        <f>IF(ISNA(VLOOKUP(A43,'Données projet'!$A$87:$I$107,3,0)),0,VLOOKUP(A43,'Données projet'!$A$87:$I$107,3,0))</f>
        <v>6</v>
      </c>
      <c r="BL43" s="16">
        <f>IF(ISNA(VLOOKUP(A43,'Données projet'!$A$87:$I$107,4,0)),0,VLOOKUP(A43,'Données projet'!$A$87:$I$107,4,0))</f>
        <v>21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5.3646267398485108</v>
      </c>
      <c r="BR43" s="23">
        <f>EXP(-LN(2)/2)*BR42+(1-EXP(-LN(2)/2))/(LN(2)/2)*BL43*BO43*VLOOKUP('Données projet'!$B$11,Paramètres!$A$1:$I$89,3,0)*0.475*44/12</f>
        <v>0.4083941899969401</v>
      </c>
      <c r="BS43" s="24">
        <f t="shared" si="9"/>
        <v>5.7730209298454511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</v>
      </c>
      <c r="N44" s="14">
        <f>IF('Données projet'!$A$36&gt;35,N43+M44-V43,IF(A44&lt;'Données projet'!$A$36,$K$205^A44,IF(A44='Données projet'!$A$36,'Données projet'!$B$36,N43+M44-V43)))</f>
        <v>124.4</v>
      </c>
      <c r="O44" s="14">
        <f>N44*VLOOKUP('Données projet'!$B$9,Paramètres!$A$1:$I$89,3,0)*VLOOKUP('Données projet'!$B$9,Paramètres!$A$1:$I$89,5,0)</f>
        <v>126.1416</v>
      </c>
      <c r="P44" s="14">
        <f t="shared" si="33"/>
        <v>33.10323903126482</v>
      </c>
      <c r="Q44" s="22">
        <f t="shared" si="53"/>
        <v>277.35142797945286</v>
      </c>
      <c r="R44" s="62">
        <f t="shared" si="0"/>
        <v>525.95411757395686</v>
      </c>
      <c r="S44" s="62">
        <f ca="1">AVERAGE(OFFSET($R$3,0,0,'Données projet'!$E$9+1,1))-AVERAGE(OFFSET($H$3,0,0,'Données projet'!$E$9+1,1))</f>
        <v>446.90706503298787</v>
      </c>
      <c r="T44" s="62">
        <f t="shared" si="34"/>
        <v>275.54513370838777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2.2296028671466797</v>
      </c>
      <c r="AB44" s="23">
        <f>EXP(-LN(2)/2)*AB43+(1-EXP(-LN(2)/2))/(LN(2)/2)*V44*Y44*VLOOKUP('Données projet'!$B$9,Paramètres!$A$1:$I$89,3,0)*0.475*44/12</f>
        <v>0.31077394925339991</v>
      </c>
      <c r="AC44" s="24">
        <f t="shared" si="3"/>
        <v>2.5403768164000797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8.4</v>
      </c>
      <c r="AI44" s="14">
        <f>IF('Données projet'!$A$62&gt;35,AI43+AH44-AQ43,IF(A44&lt;'Données projet'!$A$62,$AF$205^A44,IF(A44='Données projet'!$A$62,'Données projet'!$B$62,AI43+AH44-AQ43)))</f>
        <v>124.4</v>
      </c>
      <c r="AJ44" s="14">
        <f>AI44*VLOOKUP('Données projet'!$B$10,Paramètres!$A$1:$I$89,3,0)*VLOOKUP('Données projet'!$B$10,Paramètres!$A$1:$I$89,5,0)</f>
        <v>83.447520000000011</v>
      </c>
      <c r="AK44" s="14">
        <f t="shared" si="35"/>
        <v>22.978039697763734</v>
      </c>
      <c r="AL44" s="22">
        <f t="shared" si="4"/>
        <v>185.3578498069385</v>
      </c>
      <c r="AM44" s="62">
        <f t="shared" si="5"/>
        <v>433.96053940144247</v>
      </c>
      <c r="AN44" s="62">
        <f ca="1">AVERAGE(OFFSET($AM$3,0,0,'Données projet'!$E$10+1,1))-AVERAGE(OFFSET($H$3,0,0,'Données projet'!$E$10+1,1))</f>
        <v>312.88185844251097</v>
      </c>
      <c r="AO44" s="62">
        <f t="shared" si="36"/>
        <v>202.68317767036231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1.8179838762888312</v>
      </c>
      <c r="AW44" s="23">
        <f>EXP(-LN(2)/2)*AW43+(1-EXP(-LN(2)/2))/(LN(2)/2)*AQ44*AT44*VLOOKUP('Données projet'!$B$10,Paramètres!$A$1:$I$89,3,0)*0.475*44/12</f>
        <v>0.22536760322274163</v>
      </c>
      <c r="AX44" s="23">
        <f t="shared" si="6"/>
        <v>2.043351479511573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6.6</v>
      </c>
      <c r="BD44" s="13">
        <f>IF('Données projet'!$A$88&gt;35,BD43+BC44-BL43,IF(A44&lt;'Données projet'!$A$88,$BA$205^A44,IF(A44='Données projet'!$A$88,'Données projet'!$B$88,BD43+BC44-BL43)))</f>
        <v>138.59999999999994</v>
      </c>
      <c r="BE44" s="14">
        <f>BD44*VLOOKUP('Données projet'!$B$11,Paramètres!$A$1:$I$89,3,0)*VLOOKUP('Données projet'!$B$11,Paramètres!$A$1:$I$89,5,0)</f>
        <v>121.08095999999996</v>
      </c>
      <c r="BF44" s="14">
        <f t="shared" si="37"/>
        <v>31.926983727887041</v>
      </c>
      <c r="BG44" s="22">
        <f t="shared" si="7"/>
        <v>266.48883532606988</v>
      </c>
      <c r="BH44" s="62">
        <f t="shared" si="8"/>
        <v>515.09152492057387</v>
      </c>
      <c r="BI44" s="62">
        <f ca="1">AVERAGE(OFFSET($BH$3,0,0,'Données projet'!$E$11+1,1))-AVERAGE(OFFSET($H$3,0,0,'Données projet'!$E$11+1,1))</f>
        <v>287.22548699835653</v>
      </c>
      <c r="BJ44" s="62">
        <f t="shared" si="38"/>
        <v>276.01618888357268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5.2179307395338936</v>
      </c>
      <c r="BR44" s="23">
        <f>EXP(-LN(2)/2)*BR43+(1-EXP(-LN(2)/2))/(LN(2)/2)*BL44*BO44*VLOOKUP('Données projet'!$B$11,Paramètres!$A$1:$I$89,3,0)*0.475*44/12</f>
        <v>0.28877830114402364</v>
      </c>
      <c r="BS44" s="24">
        <f t="shared" si="9"/>
        <v>5.5067090406779169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</v>
      </c>
      <c r="N45" s="14">
        <f>IF('Données projet'!$A$36&gt;35,N44+M45-V44,IF(A45&lt;'Données projet'!$A$36,$K$205^A45,IF(A45='Données projet'!$A$36,'Données projet'!$B$36,N44+M45-V44)))</f>
        <v>132.80000000000001</v>
      </c>
      <c r="O45" s="14">
        <f>N45*VLOOKUP('Données projet'!$B$9,Paramètres!$A$1:$I$89,3,0)*VLOOKUP('Données projet'!$B$9,Paramètres!$A$1:$I$89,5,0)</f>
        <v>134.65920000000003</v>
      </c>
      <c r="P45" s="14">
        <f t="shared" si="33"/>
        <v>35.07074737441733</v>
      </c>
      <c r="Q45" s="22">
        <f t="shared" si="53"/>
        <v>295.61299167711019</v>
      </c>
      <c r="R45" s="62">
        <f t="shared" si="0"/>
        <v>544.99165793774489</v>
      </c>
      <c r="S45" s="62">
        <f ca="1">AVERAGE(OFFSET($R$3,0,0,'Données projet'!$E$9+1,1))-AVERAGE(OFFSET($H$3,0,0,'Données projet'!$E$9+1,1))</f>
        <v>446.90706503298787</v>
      </c>
      <c r="T45" s="62">
        <f t="shared" si="34"/>
        <v>275.54513370838777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2.1686342594948349</v>
      </c>
      <c r="AB45" s="23">
        <f>EXP(-LN(2)/2)*AB44+(1-EXP(-LN(2)/2))/(LN(2)/2)*V45*Y45*VLOOKUP('Données projet'!$B$9,Paramètres!$A$1:$I$89,3,0)*0.475*44/12</f>
        <v>0.21975036693320307</v>
      </c>
      <c r="AC45" s="24">
        <f t="shared" si="3"/>
        <v>2.3883846264280382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8.4</v>
      </c>
      <c r="AI45" s="14">
        <f>IF('Données projet'!$A$62&gt;35,AI44+AH45-AQ44,IF(A45&lt;'Données projet'!$A$62,$AF$205^A45,IF(A45='Données projet'!$A$62,'Données projet'!$B$62,AI44+AH45-AQ44)))</f>
        <v>132.80000000000001</v>
      </c>
      <c r="AJ45" s="14">
        <f>AI45*VLOOKUP('Données projet'!$B$10,Paramètres!$A$1:$I$89,3,0)*VLOOKUP('Données projet'!$B$10,Paramètres!$A$1:$I$89,5,0)</f>
        <v>89.082240000000013</v>
      </c>
      <c r="AK45" s="14">
        <f t="shared" si="35"/>
        <v>24.343751517442186</v>
      </c>
      <c r="AL45" s="22">
        <f t="shared" si="4"/>
        <v>197.55026855954517</v>
      </c>
      <c r="AM45" s="62">
        <f t="shared" si="5"/>
        <v>446.9289348201799</v>
      </c>
      <c r="AN45" s="62">
        <f ca="1">AVERAGE(OFFSET($AM$3,0,0,'Données projet'!$E$10+1,1))-AVERAGE(OFFSET($H$3,0,0,'Données projet'!$E$10+1,1))</f>
        <v>312.88185844251097</v>
      </c>
      <c r="AO45" s="62">
        <f t="shared" si="36"/>
        <v>202.68317767036231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1.7682710115880962</v>
      </c>
      <c r="AW45" s="23">
        <f>EXP(-LN(2)/2)*AW44+(1-EXP(-LN(2)/2))/(LN(2)/2)*AQ45*AT45*VLOOKUP('Données projet'!$B$10,Paramètres!$A$1:$I$89,3,0)*0.475*44/12</f>
        <v>0.15935896049855983</v>
      </c>
      <c r="AX45" s="23">
        <f t="shared" si="6"/>
        <v>1.9276299720866561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6.6</v>
      </c>
      <c r="BD45" s="13">
        <f>IF('Données projet'!$A$88&gt;35,BD44+BC45-BL44,IF(A45&lt;'Données projet'!$A$88,$BA$205^A45,IF(A45='Données projet'!$A$88,'Données projet'!$B$88,BD44+BC45-BL44)))</f>
        <v>145.19999999999993</v>
      </c>
      <c r="BE45" s="14">
        <f>BD45*VLOOKUP('Données projet'!$B$11,Paramètres!$A$1:$I$89,3,0)*VLOOKUP('Données projet'!$B$11,Paramètres!$A$1:$I$89,5,0)</f>
        <v>126.84671999999996</v>
      </c>
      <c r="BF45" s="14">
        <f t="shared" si="37"/>
        <v>33.266690894263995</v>
      </c>
      <c r="BG45" s="22">
        <f t="shared" si="7"/>
        <v>278.86419064084299</v>
      </c>
      <c r="BH45" s="62">
        <f t="shared" si="8"/>
        <v>528.24285690147769</v>
      </c>
      <c r="BI45" s="62">
        <f ca="1">AVERAGE(OFFSET($BH$3,0,0,'Données projet'!$E$11+1,1))-AVERAGE(OFFSET($H$3,0,0,'Données projet'!$E$11+1,1))</f>
        <v>287.22548699835653</v>
      </c>
      <c r="BJ45" s="62">
        <f t="shared" si="38"/>
        <v>276.01618888357268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5.0752461490622878</v>
      </c>
      <c r="BR45" s="23">
        <f>EXP(-LN(2)/2)*BR44+(1-EXP(-LN(2)/2))/(LN(2)/2)*BL45*BO45*VLOOKUP('Données projet'!$B$11,Paramètres!$A$1:$I$89,3,0)*0.475*44/12</f>
        <v>0.20419709499847005</v>
      </c>
      <c r="BS45" s="24">
        <f t="shared" si="9"/>
        <v>5.2794432440607579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</v>
      </c>
      <c r="N46" s="14">
        <f>IF('Données projet'!$A$36&gt;35,N45+M46-V45,IF(A46&lt;'Données projet'!$A$36,$K$205^A46,IF(A46='Données projet'!$A$36,'Données projet'!$B$36,N45+M46-V45)))</f>
        <v>141.20000000000002</v>
      </c>
      <c r="O46" s="14">
        <f>N46*VLOOKUP('Données projet'!$B$9,Paramètres!$A$1:$I$89,3,0)*VLOOKUP('Données projet'!$B$9,Paramètres!$A$1:$I$89,5,0)</f>
        <v>143.17680000000004</v>
      </c>
      <c r="P46" s="14">
        <f t="shared" si="33"/>
        <v>37.023812674521515</v>
      </c>
      <c r="Q46" s="22">
        <f t="shared" si="53"/>
        <v>313.84940040812506</v>
      </c>
      <c r="R46" s="62">
        <f t="shared" si="0"/>
        <v>563.99058187455717</v>
      </c>
      <c r="S46" s="62">
        <f ca="1">AVERAGE(OFFSET($R$3,0,0,'Données projet'!$E$9+1,1))-AVERAGE(OFFSET($H$3,0,0,'Données projet'!$E$9+1,1))</f>
        <v>446.90706503298787</v>
      </c>
      <c r="T46" s="62">
        <f t="shared" si="34"/>
        <v>275.54513370838777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2.1093328416254296</v>
      </c>
      <c r="AB46" s="23">
        <f>EXP(-LN(2)/2)*AB45+(1-EXP(-LN(2)/2))/(LN(2)/2)*V46*Y46*VLOOKUP('Données projet'!$B$9,Paramètres!$A$1:$I$89,3,0)*0.475*44/12</f>
        <v>0.15538697462669995</v>
      </c>
      <c r="AC46" s="24">
        <f t="shared" si="3"/>
        <v>2.2647198162521294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8.4</v>
      </c>
      <c r="AI46" s="14">
        <f>IF('Données projet'!$A$62&gt;35,AI45+AH46-AQ45,IF(A46&lt;'Données projet'!$A$62,$AF$205^A46,IF(A46='Données projet'!$A$62,'Données projet'!$B$62,AI45+AH46-AQ45)))</f>
        <v>141.20000000000002</v>
      </c>
      <c r="AJ46" s="14">
        <f>AI46*VLOOKUP('Données projet'!$B$10,Paramètres!$A$1:$I$89,3,0)*VLOOKUP('Données projet'!$B$10,Paramètres!$A$1:$I$89,5,0)</f>
        <v>94.716960000000014</v>
      </c>
      <c r="AK46" s="14">
        <f t="shared" si="35"/>
        <v>25.69943794908513</v>
      </c>
      <c r="AL46" s="22">
        <f t="shared" si="4"/>
        <v>209.72522642798995</v>
      </c>
      <c r="AM46" s="62">
        <f t="shared" si="5"/>
        <v>459.86640789442197</v>
      </c>
      <c r="AN46" s="62">
        <f ca="1">AVERAGE(OFFSET($AM$3,0,0,'Données projet'!$E$10+1,1))-AVERAGE(OFFSET($H$3,0,0,'Données projet'!$E$10+1,1))</f>
        <v>312.88185844251097</v>
      </c>
      <c r="AO46" s="62">
        <f t="shared" si="36"/>
        <v>202.68317767036231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1.7199175477868887</v>
      </c>
      <c r="AW46" s="23">
        <f>EXP(-LN(2)/2)*AW45+(1-EXP(-LN(2)/2))/(LN(2)/2)*AQ46*AT46*VLOOKUP('Données projet'!$B$10,Paramètres!$A$1:$I$89,3,0)*0.475*44/12</f>
        <v>0.11268380161137082</v>
      </c>
      <c r="AX46" s="23">
        <f t="shared" si="6"/>
        <v>1.8326013493982596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6.6</v>
      </c>
      <c r="BD46" s="13">
        <f>IF('Données projet'!$A$88&gt;35,BD45+BC46-BL45,IF(A46&lt;'Données projet'!$A$88,$BA$205^A46,IF(A46='Données projet'!$A$88,'Données projet'!$B$88,BD45+BC46-BL45)))</f>
        <v>151.79999999999993</v>
      </c>
      <c r="BE46" s="14">
        <f>BD46*VLOOKUP('Données projet'!$B$11,Paramètres!$A$1:$I$89,3,0)*VLOOKUP('Données projet'!$B$11,Paramètres!$A$1:$I$89,5,0)</f>
        <v>132.61247999999995</v>
      </c>
      <c r="BF46" s="14">
        <f t="shared" si="37"/>
        <v>34.599325938965464</v>
      </c>
      <c r="BG46" s="22">
        <f t="shared" si="7"/>
        <v>291.22722867703141</v>
      </c>
      <c r="BH46" s="62">
        <f t="shared" si="8"/>
        <v>541.36841014346351</v>
      </c>
      <c r="BI46" s="62">
        <f ca="1">AVERAGE(OFFSET($BH$3,0,0,'Données projet'!$E$11+1,1))-AVERAGE(OFFSET($H$3,0,0,'Données projet'!$E$11+1,1))</f>
        <v>287.22548699835653</v>
      </c>
      <c r="BJ46" s="62">
        <f t="shared" si="38"/>
        <v>276.01618888357268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4.936463276220584</v>
      </c>
      <c r="BR46" s="23">
        <f>EXP(-LN(2)/2)*BR45+(1-EXP(-LN(2)/2))/(LN(2)/2)*BL46*BO46*VLOOKUP('Données projet'!$B$11,Paramètres!$A$1:$I$89,3,0)*0.475*44/12</f>
        <v>0.14438915057201182</v>
      </c>
      <c r="BS46" s="24">
        <f t="shared" si="9"/>
        <v>5.0808524267925961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</v>
      </c>
      <c r="N47" s="14">
        <f>IF('Données projet'!$A$36&gt;35,N46+M47-V46,IF(A47&lt;'Données projet'!$A$36,$K$205^A47,IF(A47='Données projet'!$A$36,'Données projet'!$B$36,N46+M47-V46)))</f>
        <v>149.60000000000002</v>
      </c>
      <c r="O47" s="14">
        <f>N47*VLOOKUP('Données projet'!$B$9,Paramètres!$A$1:$I$89,3,0)*VLOOKUP('Données projet'!$B$9,Paramètres!$A$1:$I$89,5,0)</f>
        <v>151.69440000000003</v>
      </c>
      <c r="P47" s="14">
        <f t="shared" si="33"/>
        <v>38.963392010880654</v>
      </c>
      <c r="Q47" s="22">
        <f t="shared" si="53"/>
        <v>332.06232108561716</v>
      </c>
      <c r="R47" s="62">
        <f t="shared" si="0"/>
        <v>582.95278982375453</v>
      </c>
      <c r="S47" s="62">
        <f ca="1">AVERAGE(OFFSET($R$3,0,0,'Données projet'!$E$9+1,1))-AVERAGE(OFFSET($H$3,0,0,'Données projet'!$E$9+1,1))</f>
        <v>446.90706503298787</v>
      </c>
      <c r="T47" s="62">
        <f t="shared" si="34"/>
        <v>275.54513370838777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2.051653024146189</v>
      </c>
      <c r="AB47" s="23">
        <f>EXP(-LN(2)/2)*AB46+(1-EXP(-LN(2)/2))/(LN(2)/2)*V47*Y47*VLOOKUP('Données projet'!$B$9,Paramètres!$A$1:$I$89,3,0)*0.475*44/12</f>
        <v>0.10987518346660154</v>
      </c>
      <c r="AC47" s="24">
        <f t="shared" si="3"/>
        <v>2.1615282076127906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8.4</v>
      </c>
      <c r="AI47" s="14">
        <f>IF('Données projet'!$A$62&gt;35,AI46+AH47-AQ46,IF(A47&lt;'Données projet'!$A$62,$AF$205^A47,IF(A47='Données projet'!$A$62,'Données projet'!$B$62,AI46+AH47-AQ46)))</f>
        <v>149.60000000000002</v>
      </c>
      <c r="AJ47" s="14">
        <f>AI47*VLOOKUP('Données projet'!$B$10,Paramètres!$A$1:$I$89,3,0)*VLOOKUP('Données projet'!$B$10,Paramètres!$A$1:$I$89,5,0)</f>
        <v>100.35168</v>
      </c>
      <c r="AK47" s="14">
        <f t="shared" si="35"/>
        <v>27.045763332704833</v>
      </c>
      <c r="AL47" s="22">
        <f t="shared" si="4"/>
        <v>221.88388047112758</v>
      </c>
      <c r="AM47" s="62">
        <f t="shared" si="5"/>
        <v>472.77434920926498</v>
      </c>
      <c r="AN47" s="62">
        <f ca="1">AVERAGE(OFFSET($AM$3,0,0,'Données projet'!$E$10+1,1))-AVERAGE(OFFSET($H$3,0,0,'Données projet'!$E$10+1,1))</f>
        <v>312.88185844251097</v>
      </c>
      <c r="AO47" s="62">
        <f t="shared" si="36"/>
        <v>202.68317767036231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1.6728863119961233</v>
      </c>
      <c r="AW47" s="23">
        <f>EXP(-LN(2)/2)*AW46+(1-EXP(-LN(2)/2))/(LN(2)/2)*AQ47*AT47*VLOOKUP('Données projet'!$B$10,Paramètres!$A$1:$I$89,3,0)*0.475*44/12</f>
        <v>7.9679480249279913E-2</v>
      </c>
      <c r="AX47" s="23">
        <f t="shared" si="6"/>
        <v>1.7525657922454032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6.6</v>
      </c>
      <c r="BD47" s="13">
        <f>IF('Données projet'!$A$88&gt;35,BD46+BC47-BL46,IF(A47&lt;'Données projet'!$A$88,$BA$205^A47,IF(A47='Données projet'!$A$88,'Données projet'!$B$88,BD46+BC47-BL46)))</f>
        <v>158.39999999999992</v>
      </c>
      <c r="BE47" s="14">
        <f>BD47*VLOOKUP('Données projet'!$B$11,Paramètres!$A$1:$I$89,3,0)*VLOOKUP('Données projet'!$B$11,Paramètres!$A$1:$I$89,5,0)</f>
        <v>138.37823999999995</v>
      </c>
      <c r="BF47" s="14">
        <f t="shared" si="37"/>
        <v>35.925231489823368</v>
      </c>
      <c r="BG47" s="22">
        <f t="shared" si="7"/>
        <v>303.57854617810898</v>
      </c>
      <c r="BH47" s="62">
        <f t="shared" si="8"/>
        <v>554.46901491624635</v>
      </c>
      <c r="BI47" s="62">
        <f ca="1">AVERAGE(OFFSET($BH$3,0,0,'Données projet'!$E$11+1,1))-AVERAGE(OFFSET($H$3,0,0,'Données projet'!$E$11+1,1))</f>
        <v>287.22548699835653</v>
      </c>
      <c r="BJ47" s="62">
        <f t="shared" si="38"/>
        <v>276.01618888357268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4.801475428335011</v>
      </c>
      <c r="BR47" s="23">
        <f>EXP(-LN(2)/2)*BR46+(1-EXP(-LN(2)/2))/(LN(2)/2)*BL47*BO47*VLOOKUP('Données projet'!$B$11,Paramètres!$A$1:$I$89,3,0)*0.475*44/12</f>
        <v>0.10209854749923503</v>
      </c>
      <c r="BS47" s="24">
        <f t="shared" si="9"/>
        <v>4.903573975834246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158</v>
      </c>
      <c r="L48" s="13">
        <f>VLOOKUP(A48,'Données projet'!$A$35:$I$55,9,0)</f>
        <v>8.4</v>
      </c>
      <c r="M48" s="13">
        <f t="array" ref="M48">INDEX(L:L,MIN(IF(ISNUMBER(L48:L244),ROW(L48:L244),"")))</f>
        <v>8.4</v>
      </c>
      <c r="N48" s="14">
        <f>IF('Données projet'!$A$36&gt;35,N47+M48-V47,IF(A48&lt;'Données projet'!$A$36,$K$205^A48,IF(A48='Données projet'!$A$36,'Données projet'!$B$36,N47+M48-V47)))</f>
        <v>158.00000000000003</v>
      </c>
      <c r="O48" s="14">
        <f>N48*VLOOKUP('Données projet'!$B$9,Paramètres!$A$1:$I$89,3,0)*VLOOKUP('Données projet'!$B$9,Paramètres!$A$1:$I$89,5,0)</f>
        <v>160.21200000000005</v>
      </c>
      <c r="P48" s="14">
        <f t="shared" si="33"/>
        <v>40.890328912852695</v>
      </c>
      <c r="Q48" s="22">
        <f t="shared" si="53"/>
        <v>350.25322285655176</v>
      </c>
      <c r="R48" s="62">
        <f t="shared" si="0"/>
        <v>601.87998040738591</v>
      </c>
      <c r="S48" s="62">
        <f ca="1">AVERAGE(OFFSET($R$3,0,0,'Données projet'!$E$9+1,1))-AVERAGE(OFFSET($H$3,0,0,'Données projet'!$E$9+1,1))</f>
        <v>446.90706503298787</v>
      </c>
      <c r="T48" s="62">
        <f t="shared" si="34"/>
        <v>275.54513370838777</v>
      </c>
      <c r="U48" s="16">
        <f>IF(ISNA(VLOOKUP(A48,'Données projet'!$A$35:$I$55,3,0)),0,VLOOKUP(A48,'Données projet'!$A$35:$I$55,3,0))</f>
        <v>5</v>
      </c>
      <c r="V48" s="16">
        <f>IF(ISNA(VLOOKUP(A48,'Données projet'!$A$35:$I$55,4,0)),0,VLOOKUP(A48,'Données projet'!$A$35:$I$55,4,0))</f>
        <v>21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1.9955504643091679</v>
      </c>
      <c r="AB48" s="23">
        <f>EXP(-LN(2)/2)*AB47+(1-EXP(-LN(2)/2))/(LN(2)/2)*V48*Y48*VLOOKUP('Données projet'!$B$9,Paramètres!$A$1:$I$89,3,0)*0.475*44/12</f>
        <v>7.7693487313349976E-2</v>
      </c>
      <c r="AC48" s="24">
        <f t="shared" si="3"/>
        <v>2.0732439516225178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158</v>
      </c>
      <c r="AG48" s="13">
        <f>VLOOKUP(A48,'Données projet'!$A$61:$I$81,9,0)</f>
        <v>8.4</v>
      </c>
      <c r="AH48" s="13">
        <f t="array" ref="AH48">INDEX(AG:AG,MIN(IF(ISNUMBER(AG48:AG244),ROW(AG48:AG244),"")))</f>
        <v>8.4</v>
      </c>
      <c r="AI48" s="14">
        <f>IF('Données projet'!$A$62&gt;35,AI47+AH48-AQ47,IF(A48&lt;'Données projet'!$A$62,$AF$205^A48,IF(A48='Données projet'!$A$62,'Données projet'!$B$62,AI47+AH48-AQ47)))</f>
        <v>158.00000000000003</v>
      </c>
      <c r="AJ48" s="14">
        <f>AI48*VLOOKUP('Données projet'!$B$10,Paramètres!$A$1:$I$89,3,0)*VLOOKUP('Données projet'!$B$10,Paramètres!$A$1:$I$89,5,0)</f>
        <v>105.98640000000002</v>
      </c>
      <c r="AK48" s="14">
        <f t="shared" si="35"/>
        <v>28.383313189586875</v>
      </c>
      <c r="AL48" s="22">
        <f t="shared" si="4"/>
        <v>234.02725047186379</v>
      </c>
      <c r="AM48" s="62">
        <f t="shared" si="5"/>
        <v>485.65400802269789</v>
      </c>
      <c r="AN48" s="62">
        <f ca="1">AVERAGE(OFFSET($AM$3,0,0,'Données projet'!$E$10+1,1))-AVERAGE(OFFSET($H$3,0,0,'Données projet'!$E$10+1,1))</f>
        <v>312.88185844251097</v>
      </c>
      <c r="AO48" s="62">
        <f t="shared" si="36"/>
        <v>202.68317767036231</v>
      </c>
      <c r="AP48" s="16">
        <f>IF(ISNA(VLOOKUP(A48,'Données projet'!$A$61:$I$81,3,0)),0,VLOOKUP(A48,'Données projet'!$A$61:$I$81,3,0))</f>
        <v>5</v>
      </c>
      <c r="AQ48" s="16">
        <f>IF(ISNA(VLOOKUP(A48,'Données projet'!$A$61:$I$81,4,0)),0,VLOOKUP(A48,'Données projet'!$A$61:$I$81,4,0))</f>
        <v>21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1.6271411478213216</v>
      </c>
      <c r="AW48" s="23">
        <f>EXP(-LN(2)/2)*AW47+(1-EXP(-LN(2)/2))/(LN(2)/2)*AQ48*AT48*VLOOKUP('Données projet'!$B$10,Paramètres!$A$1:$I$89,3,0)*0.475*44/12</f>
        <v>5.6341900805685408E-2</v>
      </c>
      <c r="AX48" s="23">
        <f t="shared" si="6"/>
        <v>1.6834830486270069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165</v>
      </c>
      <c r="BB48" s="13">
        <f>VLOOKUP(A48,'Données projet'!$A$87:$I$107,9,0)</f>
        <v>6.6</v>
      </c>
      <c r="BC48" s="13">
        <f t="array" ref="BC48">INDEX(BB:BB,MIN(IF(ISNUMBER(BB48:BB244),ROW(BB48:BB244),"")))</f>
        <v>6.6</v>
      </c>
      <c r="BD48" s="13">
        <f>IF('Données projet'!$A$88&gt;35,BD47+BC48-BL47,IF(A48&lt;'Données projet'!$A$88,$BA$205^A48,IF(A48='Données projet'!$A$88,'Données projet'!$B$88,BD47+BC48-BL47)))</f>
        <v>164.99999999999991</v>
      </c>
      <c r="BE48" s="14">
        <f>BD48*VLOOKUP('Données projet'!$B$11,Paramètres!$A$1:$I$89,3,0)*VLOOKUP('Données projet'!$B$11,Paramètres!$A$1:$I$89,5,0)</f>
        <v>144.14399999999995</v>
      </c>
      <c r="BF48" s="14">
        <f t="shared" si="37"/>
        <v>37.244720006976216</v>
      </c>
      <c r="BG48" s="22">
        <f t="shared" si="7"/>
        <v>315.91868734548348</v>
      </c>
      <c r="BH48" s="62">
        <f t="shared" si="8"/>
        <v>567.54544489631758</v>
      </c>
      <c r="BI48" s="62">
        <f ca="1">AVERAGE(OFFSET($BH$3,0,0,'Données projet'!$E$11+1,1))-AVERAGE(OFFSET($H$3,0,0,'Données projet'!$E$11+1,1))</f>
        <v>287.22548699835653</v>
      </c>
      <c r="BJ48" s="62">
        <f t="shared" si="38"/>
        <v>276.01618888357268</v>
      </c>
      <c r="BK48" s="16">
        <f>IF(ISNA(VLOOKUP(A48,'Données projet'!$A$87:$I$107,3,0)),0,VLOOKUP(A48,'Données projet'!$A$87:$I$107,3,0))</f>
        <v>7</v>
      </c>
      <c r="BL48" s="16">
        <f>IF(ISNA(VLOOKUP(A48,'Données projet'!$A$87:$I$107,4,0)),0,VLOOKUP(A48,'Données projet'!$A$87:$I$107,4,0))</f>
        <v>18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4.6701788302485712</v>
      </c>
      <c r="BR48" s="23">
        <f>EXP(-LN(2)/2)*BR47+(1-EXP(-LN(2)/2))/(LN(2)/2)*BL48*BO48*VLOOKUP('Données projet'!$B$11,Paramètres!$A$1:$I$89,3,0)*0.475*44/12</f>
        <v>7.219457528600591E-2</v>
      </c>
      <c r="BS48" s="24">
        <f t="shared" si="9"/>
        <v>4.7423734055345772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8.4</v>
      </c>
      <c r="N49" s="14">
        <f>IF('Données projet'!$A$36&gt;35,N48+M49-V48,IF(A49&lt;'Données projet'!$A$36,$K$205^A49,IF(A49='Données projet'!$A$36,'Données projet'!$B$36,N48+M49-V48)))</f>
        <v>145.40000000000003</v>
      </c>
      <c r="O49" s="14">
        <f>N49*VLOOKUP('Données projet'!$B$9,Paramètres!$A$1:$I$89,3,0)*VLOOKUP('Données projet'!$B$9,Paramètres!$A$1:$I$89,5,0)</f>
        <v>147.43560000000002</v>
      </c>
      <c r="P49" s="14">
        <f t="shared" si="33"/>
        <v>37.99523294834102</v>
      </c>
      <c r="Q49" s="22">
        <f t="shared" si="53"/>
        <v>322.95870071836066</v>
      </c>
      <c r="R49" s="62">
        <f t="shared" si="0"/>
        <v>575.30897411708634</v>
      </c>
      <c r="S49" s="62">
        <f ca="1">AVERAGE(OFFSET($R$3,0,0,'Données projet'!$E$9+1,1))-AVERAGE(OFFSET($H$3,0,0,'Données projet'!$E$9+1,1))</f>
        <v>446.90706503298787</v>
      </c>
      <c r="T49" s="62">
        <f t="shared" si="34"/>
        <v>275.54513370838777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1.9409820319211957</v>
      </c>
      <c r="AB49" s="23">
        <f>EXP(-LN(2)/2)*AB48+(1-EXP(-LN(2)/2))/(LN(2)/2)*V49*Y49*VLOOKUP('Données projet'!$B$9,Paramètres!$A$1:$I$89,3,0)*0.475*44/12</f>
        <v>5.4937591733300768E-2</v>
      </c>
      <c r="AC49" s="24">
        <f t="shared" si="3"/>
        <v>1.9959196236544965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8.4</v>
      </c>
      <c r="AI49" s="14">
        <f>IF('Données projet'!$A$62&gt;35,AI48+AH49-AQ48,IF(A49&lt;'Données projet'!$A$62,$AF$205^A49,IF(A49='Données projet'!$A$62,'Données projet'!$B$62,AI48+AH49-AQ48)))</f>
        <v>145.40000000000003</v>
      </c>
      <c r="AJ49" s="14">
        <f>AI49*VLOOKUP('Données projet'!$B$10,Paramètres!$A$1:$I$89,3,0)*VLOOKUP('Données projet'!$B$10,Paramètres!$A$1:$I$89,5,0)</f>
        <v>97.534320000000022</v>
      </c>
      <c r="AK49" s="14">
        <f t="shared" si="35"/>
        <v>26.373732497541713</v>
      </c>
      <c r="AL49" s="22">
        <f t="shared" si="4"/>
        <v>215.80652476655186</v>
      </c>
      <c r="AM49" s="62">
        <f t="shared" si="5"/>
        <v>468.15679816527751</v>
      </c>
      <c r="AN49" s="62">
        <f ca="1">AVERAGE(OFFSET($AM$3,0,0,'Données projet'!$E$10+1,1))-AVERAGE(OFFSET($H$3,0,0,'Données projet'!$E$10+1,1))</f>
        <v>312.88185844251097</v>
      </c>
      <c r="AO49" s="62">
        <f t="shared" si="36"/>
        <v>202.68317767036231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1.5826468875665134</v>
      </c>
      <c r="AW49" s="23">
        <f>EXP(-LN(2)/2)*AW48+(1-EXP(-LN(2)/2))/(LN(2)/2)*AQ49*AT49*VLOOKUP('Données projet'!$B$10,Paramètres!$A$1:$I$89,3,0)*0.475*44/12</f>
        <v>3.9839740124639957E-2</v>
      </c>
      <c r="AX49" s="23">
        <f t="shared" si="6"/>
        <v>1.6224866276911534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5.6</v>
      </c>
      <c r="BD49" s="13">
        <f>IF('Données projet'!$A$88&gt;35,BD48+BC49-BL48,IF(A49&lt;'Données projet'!$A$88,$BA$205^A49,IF(A49='Données projet'!$A$88,'Données projet'!$B$88,BD48+BC49-BL48)))</f>
        <v>152.59999999999991</v>
      </c>
      <c r="BE49" s="14">
        <f>BD49*VLOOKUP('Données projet'!$B$11,Paramètres!$A$1:$I$89,3,0)*VLOOKUP('Données projet'!$B$11,Paramètres!$A$1:$I$89,5,0)</f>
        <v>133.31135999999995</v>
      </c>
      <c r="BF49" s="14">
        <f t="shared" si="37"/>
        <v>34.760393689821598</v>
      </c>
      <c r="BG49" s="22">
        <f t="shared" si="7"/>
        <v>292.72497100977256</v>
      </c>
      <c r="BH49" s="62">
        <f t="shared" si="8"/>
        <v>545.07524440849818</v>
      </c>
      <c r="BI49" s="62">
        <f ca="1">AVERAGE(OFFSET($BH$3,0,0,'Données projet'!$E$11+1,1))-AVERAGE(OFFSET($H$3,0,0,'Données projet'!$E$11+1,1))</f>
        <v>287.22548699835653</v>
      </c>
      <c r="BJ49" s="62">
        <f t="shared" si="38"/>
        <v>276.01618888357268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4.5424725445413934</v>
      </c>
      <c r="BR49" s="23">
        <f>EXP(-LN(2)/2)*BR48+(1-EXP(-LN(2)/2))/(LN(2)/2)*BL49*BO49*VLOOKUP('Données projet'!$B$11,Paramètres!$A$1:$I$89,3,0)*0.475*44/12</f>
        <v>5.1049273749617513E-2</v>
      </c>
      <c r="BS49" s="24">
        <f t="shared" si="9"/>
        <v>4.5935218182910109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8.4</v>
      </c>
      <c r="N50" s="14">
        <f>IF('Données projet'!$A$36&gt;35,N49+M50-V49,IF(A50&lt;'Données projet'!$A$36,$K$205^A50,IF(A50='Données projet'!$A$36,'Données projet'!$B$36,N49+M50-V49)))</f>
        <v>153.80000000000004</v>
      </c>
      <c r="O50" s="14">
        <f>N50*VLOOKUP('Données projet'!$B$9,Paramètres!$A$1:$I$89,3,0)*VLOOKUP('Données projet'!$B$9,Paramètres!$A$1:$I$89,5,0)</f>
        <v>155.95320000000004</v>
      </c>
      <c r="P50" s="14">
        <f t="shared" si="33"/>
        <v>39.928391937903875</v>
      </c>
      <c r="Q50" s="22">
        <f t="shared" si="53"/>
        <v>341.16043929184929</v>
      </c>
      <c r="R50" s="62">
        <f t="shared" si="0"/>
        <v>594.22167715604473</v>
      </c>
      <c r="S50" s="62">
        <f ca="1">AVERAGE(OFFSET($R$3,0,0,'Données projet'!$E$9+1,1))-AVERAGE(OFFSET($H$3,0,0,'Données projet'!$E$9+1,1))</f>
        <v>446.90706503298787</v>
      </c>
      <c r="T50" s="62">
        <f t="shared" si="34"/>
        <v>275.54513370838777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1.8879057761865017</v>
      </c>
      <c r="AB50" s="23">
        <f>EXP(-LN(2)/2)*AB49+(1-EXP(-LN(2)/2))/(LN(2)/2)*V50*Y50*VLOOKUP('Données projet'!$B$9,Paramètres!$A$1:$I$89,3,0)*0.475*44/12</f>
        <v>3.8846743656674988E-2</v>
      </c>
      <c r="AC50" s="24">
        <f t="shared" si="3"/>
        <v>1.9267525198431767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8.4</v>
      </c>
      <c r="AI50" s="14">
        <f>IF('Données projet'!$A$62&gt;35,AI49+AH50-AQ49,IF(A50&lt;'Données projet'!$A$62,$AF$205^A50,IF(A50='Données projet'!$A$62,'Données projet'!$B$62,AI49+AH50-AQ49)))</f>
        <v>153.80000000000004</v>
      </c>
      <c r="AJ50" s="14">
        <f>AI50*VLOOKUP('Données projet'!$B$10,Paramètres!$A$1:$I$89,3,0)*VLOOKUP('Données projet'!$B$10,Paramètres!$A$1:$I$89,5,0)</f>
        <v>103.16904000000002</v>
      </c>
      <c r="AK50" s="14">
        <f t="shared" si="35"/>
        <v>27.715601308696741</v>
      </c>
      <c r="AL50" s="22">
        <f t="shared" si="4"/>
        <v>227.95741694598019</v>
      </c>
      <c r="AM50" s="62">
        <f t="shared" si="5"/>
        <v>481.01865481017558</v>
      </c>
      <c r="AN50" s="62">
        <f ca="1">AVERAGE(OFFSET($AM$3,0,0,'Données projet'!$E$10+1,1))-AVERAGE(OFFSET($H$3,0,0,'Données projet'!$E$10+1,1))</f>
        <v>312.88185844251097</v>
      </c>
      <c r="AO50" s="62">
        <f t="shared" si="36"/>
        <v>202.68317767036231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1.5393693251982246</v>
      </c>
      <c r="AW50" s="23">
        <f>EXP(-LN(2)/2)*AW49+(1-EXP(-LN(2)/2))/(LN(2)/2)*AQ50*AT50*VLOOKUP('Données projet'!$B$10,Paramètres!$A$1:$I$89,3,0)*0.475*44/12</f>
        <v>2.8170950402842704E-2</v>
      </c>
      <c r="AX50" s="23">
        <f t="shared" si="6"/>
        <v>1.5675402756010672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5.6</v>
      </c>
      <c r="BD50" s="13">
        <f>IF('Données projet'!$A$88&gt;35,BD49+BC50-BL49,IF(A50&lt;'Données projet'!$A$88,$BA$205^A50,IF(A50='Données projet'!$A$88,'Données projet'!$B$88,BD49+BC50-BL49)))</f>
        <v>158.1999999999999</v>
      </c>
      <c r="BE50" s="14">
        <f>BD50*VLOOKUP('Données projet'!$B$11,Paramètres!$A$1:$I$89,3,0)*VLOOKUP('Données projet'!$B$11,Paramètres!$A$1:$I$89,5,0)</f>
        <v>138.20351999999994</v>
      </c>
      <c r="BF50" s="14">
        <f t="shared" si="37"/>
        <v>35.885148322765289</v>
      </c>
      <c r="BG50" s="22">
        <f t="shared" si="7"/>
        <v>303.20443066214938</v>
      </c>
      <c r="BH50" s="62">
        <f t="shared" si="8"/>
        <v>556.26566852634483</v>
      </c>
      <c r="BI50" s="62">
        <f ca="1">AVERAGE(OFFSET($BH$3,0,0,'Données projet'!$E$11+1,1))-AVERAGE(OFFSET($H$3,0,0,'Données projet'!$E$11+1,1))</f>
        <v>287.22548699835653</v>
      </c>
      <c r="BJ50" s="62">
        <f t="shared" si="38"/>
        <v>276.01618888357268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4.4182583939326596</v>
      </c>
      <c r="BR50" s="23">
        <f>EXP(-LN(2)/2)*BR49+(1-EXP(-LN(2)/2))/(LN(2)/2)*BL50*BO50*VLOOKUP('Données projet'!$B$11,Paramètres!$A$1:$I$89,3,0)*0.475*44/12</f>
        <v>3.6097287643002955E-2</v>
      </c>
      <c r="BS50" s="24">
        <f t="shared" si="9"/>
        <v>4.4543556815756622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8.4</v>
      </c>
      <c r="N51" s="14">
        <f>IF('Données projet'!$A$36&gt;35,N50+M51-V50,IF(A51&lt;'Données projet'!$A$36,$K$205^A51,IF(A51='Données projet'!$A$36,'Données projet'!$B$36,N50+M51-V50)))</f>
        <v>162.20000000000005</v>
      </c>
      <c r="O51" s="14">
        <f>N51*VLOOKUP('Données projet'!$B$9,Paramètres!$A$1:$I$89,3,0)*VLOOKUP('Données projet'!$B$9,Paramètres!$A$1:$I$89,5,0)</f>
        <v>164.47080000000005</v>
      </c>
      <c r="P51" s="14">
        <f t="shared" si="33"/>
        <v>41.849293714451377</v>
      </c>
      <c r="Q51" s="22">
        <f t="shared" si="53"/>
        <v>359.34082988600289</v>
      </c>
      <c r="R51" s="62">
        <f t="shared" si="0"/>
        <v>613.10069857167059</v>
      </c>
      <c r="S51" s="62">
        <f ca="1">AVERAGE(OFFSET($R$3,0,0,'Données projet'!$E$9+1,1))-AVERAGE(OFFSET($H$3,0,0,'Données projet'!$E$9+1,1))</f>
        <v>446.90706503298787</v>
      </c>
      <c r="T51" s="62">
        <f t="shared" si="34"/>
        <v>275.54513370838777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1.836280893456032</v>
      </c>
      <c r="AB51" s="23">
        <f>EXP(-LN(2)/2)*AB50+(1-EXP(-LN(2)/2))/(LN(2)/2)*V51*Y51*VLOOKUP('Données projet'!$B$9,Paramètres!$A$1:$I$89,3,0)*0.475*44/12</f>
        <v>2.7468795866650384E-2</v>
      </c>
      <c r="AC51" s="24">
        <f t="shared" si="3"/>
        <v>1.8637496893226824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8.4</v>
      </c>
      <c r="AI51" s="14">
        <f>IF('Données projet'!$A$62&gt;35,AI50+AH51-AQ50,IF(A51&lt;'Données projet'!$A$62,$AF$205^A51,IF(A51='Données projet'!$A$62,'Données projet'!$B$62,AI50+AH51-AQ50)))</f>
        <v>162.20000000000005</v>
      </c>
      <c r="AJ51" s="14">
        <f>AI51*VLOOKUP('Données projet'!$B$10,Paramètres!$A$1:$I$89,3,0)*VLOOKUP('Données projet'!$B$10,Paramètres!$A$1:$I$89,5,0)</f>
        <v>108.80376000000004</v>
      </c>
      <c r="AK51" s="14">
        <f t="shared" si="35"/>
        <v>29.048961987853449</v>
      </c>
      <c r="AL51" s="22">
        <f t="shared" si="4"/>
        <v>240.09349079551149</v>
      </c>
      <c r="AM51" s="62">
        <f t="shared" si="5"/>
        <v>493.85335948117915</v>
      </c>
      <c r="AN51" s="62">
        <f ca="1">AVERAGE(OFFSET($AM$3,0,0,'Données projet'!$E$10+1,1))-AVERAGE(OFFSET($H$3,0,0,'Données projet'!$E$10+1,1))</f>
        <v>312.88185844251097</v>
      </c>
      <c r="AO51" s="62">
        <f t="shared" si="36"/>
        <v>202.68317767036231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1.4972751900487646</v>
      </c>
      <c r="AW51" s="23">
        <f>EXP(-LN(2)/2)*AW50+(1-EXP(-LN(2)/2))/(LN(2)/2)*AQ51*AT51*VLOOKUP('Données projet'!$B$10,Paramètres!$A$1:$I$89,3,0)*0.475*44/12</f>
        <v>1.9919870062319978E-2</v>
      </c>
      <c r="AX51" s="23">
        <f t="shared" si="6"/>
        <v>1.5171950601110846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5.6</v>
      </c>
      <c r="BD51" s="13">
        <f>IF('Données projet'!$A$88&gt;35,BD50+BC51-BL50,IF(A51&lt;'Données projet'!$A$88,$BA$205^A51,IF(A51='Données projet'!$A$88,'Données projet'!$B$88,BD50+BC51-BL50)))</f>
        <v>163.7999999999999</v>
      </c>
      <c r="BE51" s="14">
        <f>BD51*VLOOKUP('Données projet'!$B$11,Paramètres!$A$1:$I$89,3,0)*VLOOKUP('Données projet'!$B$11,Paramètres!$A$1:$I$89,5,0)</f>
        <v>143.09567999999993</v>
      </c>
      <c r="BF51" s="14">
        <f t="shared" si="37"/>
        <v>37.005277082542683</v>
      </c>
      <c r="BG51" s="22">
        <f t="shared" si="7"/>
        <v>313.67583358542839</v>
      </c>
      <c r="BH51" s="62">
        <f t="shared" si="8"/>
        <v>567.43570227109603</v>
      </c>
      <c r="BI51" s="62">
        <f ca="1">AVERAGE(OFFSET($BH$3,0,0,'Données projet'!$E$11+1,1))-AVERAGE(OFFSET($H$3,0,0,'Données projet'!$E$11+1,1))</f>
        <v>287.22548699835653</v>
      </c>
      <c r="BJ51" s="62">
        <f t="shared" si="38"/>
        <v>276.01618888357268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4.2974408858044599</v>
      </c>
      <c r="BR51" s="23">
        <f>EXP(-LN(2)/2)*BR50+(1-EXP(-LN(2)/2))/(LN(2)/2)*BL51*BO51*VLOOKUP('Données projet'!$B$11,Paramètres!$A$1:$I$89,3,0)*0.475*44/12</f>
        <v>2.5524636874808757E-2</v>
      </c>
      <c r="BS51" s="24">
        <f t="shared" si="9"/>
        <v>4.3229655226792687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8.4</v>
      </c>
      <c r="N52" s="14">
        <f>IF('Données projet'!$A$36&gt;35,N51+M52-V51,IF(A52&lt;'Données projet'!$A$36,$K$205^A52,IF(A52='Données projet'!$A$36,'Données projet'!$B$36,N51+M52-V51)))</f>
        <v>170.60000000000005</v>
      </c>
      <c r="O52" s="14">
        <f>N52*VLOOKUP('Données projet'!$B$9,Paramètres!$A$1:$I$89,3,0)*VLOOKUP('Données projet'!$B$9,Paramètres!$A$1:$I$89,5,0)</f>
        <v>172.98840000000007</v>
      </c>
      <c r="P52" s="14">
        <f t="shared" si="33"/>
        <v>43.758645457754092</v>
      </c>
      <c r="Q52" s="22">
        <f t="shared" si="53"/>
        <v>377.50110417225511</v>
      </c>
      <c r="R52" s="62">
        <f t="shared" si="0"/>
        <v>631.94748399654713</v>
      </c>
      <c r="S52" s="62">
        <f ca="1">AVERAGE(OFFSET($R$3,0,0,'Données projet'!$E$9+1,1))-AVERAGE(OFFSET($H$3,0,0,'Données projet'!$E$9+1,1))</f>
        <v>446.90706503298787</v>
      </c>
      <c r="T52" s="62">
        <f t="shared" si="34"/>
        <v>275.54513370838777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1.7860676958586614</v>
      </c>
      <c r="AB52" s="23">
        <f>EXP(-LN(2)/2)*AB51+(1-EXP(-LN(2)/2))/(LN(2)/2)*V52*Y52*VLOOKUP('Données projet'!$B$9,Paramètres!$A$1:$I$89,3,0)*0.475*44/12</f>
        <v>1.9423371828337494E-2</v>
      </c>
      <c r="AC52" s="24">
        <f t="shared" si="3"/>
        <v>1.8054910676869989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8.4</v>
      </c>
      <c r="AI52" s="14">
        <f>IF('Données projet'!$A$62&gt;35,AI51+AH52-AQ51,IF(A52&lt;'Données projet'!$A$62,$AF$205^A52,IF(A52='Données projet'!$A$62,'Données projet'!$B$62,AI51+AH52-AQ51)))</f>
        <v>170.60000000000005</v>
      </c>
      <c r="AJ52" s="14">
        <f>AI52*VLOOKUP('Données projet'!$B$10,Paramètres!$A$1:$I$89,3,0)*VLOOKUP('Données projet'!$B$10,Paramètres!$A$1:$I$89,5,0)</f>
        <v>114.43848000000003</v>
      </c>
      <c r="AK52" s="14">
        <f t="shared" si="35"/>
        <v>30.37430541159415</v>
      </c>
      <c r="AL52" s="22">
        <f t="shared" si="4"/>
        <v>252.2156012585265</v>
      </c>
      <c r="AM52" s="62">
        <f t="shared" si="5"/>
        <v>506.66198108281844</v>
      </c>
      <c r="AN52" s="62">
        <f ca="1">AVERAGE(OFFSET($AM$3,0,0,'Données projet'!$E$10+1,1))-AVERAGE(OFFSET($H$3,0,0,'Données projet'!$E$10+1,1))</f>
        <v>312.88185844251097</v>
      </c>
      <c r="AO52" s="62">
        <f t="shared" si="36"/>
        <v>202.68317767036231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1.4563321212386009</v>
      </c>
      <c r="AW52" s="23">
        <f>EXP(-LN(2)/2)*AW51+(1-EXP(-LN(2)/2))/(LN(2)/2)*AQ52*AT52*VLOOKUP('Données projet'!$B$10,Paramètres!$A$1:$I$89,3,0)*0.475*44/12</f>
        <v>1.4085475201421352E-2</v>
      </c>
      <c r="AX52" s="23">
        <f t="shared" si="6"/>
        <v>1.4704175964400223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5.6</v>
      </c>
      <c r="BD52" s="13">
        <f>IF('Données projet'!$A$88&gt;35,BD51+BC52-BL51,IF(A52&lt;'Données projet'!$A$88,$BA$205^A52,IF(A52='Données projet'!$A$88,'Données projet'!$B$88,BD51+BC52-BL51)))</f>
        <v>169.39999999999989</v>
      </c>
      <c r="BE52" s="14">
        <f>BD52*VLOOKUP('Données projet'!$B$11,Paramètres!$A$1:$I$89,3,0)*VLOOKUP('Données projet'!$B$11,Paramètres!$A$1:$I$89,5,0)</f>
        <v>147.98783999999992</v>
      </c>
      <c r="BF52" s="14">
        <f t="shared" si="37"/>
        <v>38.120956246204805</v>
      </c>
      <c r="BG52" s="22">
        <f t="shared" si="7"/>
        <v>324.1394867954732</v>
      </c>
      <c r="BH52" s="62">
        <f t="shared" si="8"/>
        <v>578.58586661976517</v>
      </c>
      <c r="BI52" s="62">
        <f ca="1">AVERAGE(OFFSET($BH$3,0,0,'Données projet'!$E$11+1,1))-AVERAGE(OFFSET($H$3,0,0,'Données projet'!$E$11+1,1))</f>
        <v>287.22548699835653</v>
      </c>
      <c r="BJ52" s="62">
        <f t="shared" si="38"/>
        <v>276.01618888357268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4.1799271387895427</v>
      </c>
      <c r="BR52" s="23">
        <f>EXP(-LN(2)/2)*BR51+(1-EXP(-LN(2)/2))/(LN(2)/2)*BL52*BO52*VLOOKUP('Données projet'!$B$11,Paramètres!$A$1:$I$89,3,0)*0.475*44/12</f>
        <v>1.8048643821501478E-2</v>
      </c>
      <c r="BS52" s="24">
        <f t="shared" si="9"/>
        <v>4.197975782611044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179</v>
      </c>
      <c r="L53" s="13">
        <f>VLOOKUP(A53,'Données projet'!$A$35:$I$55,9,0)</f>
        <v>8.4</v>
      </c>
      <c r="M53" s="13">
        <f t="array" ref="M53">INDEX(L:L,MIN(IF(ISNUMBER(L53:L249),ROW(L53:L249),"")))</f>
        <v>8.4</v>
      </c>
      <c r="N53" s="14">
        <f>IF('Données projet'!$A$36&gt;35,N52+M53-V52,IF(A53&lt;'Données projet'!$A$36,$K$205^A53,IF(A53='Données projet'!$A$36,'Données projet'!$B$36,N52+M53-V52)))</f>
        <v>179.00000000000006</v>
      </c>
      <c r="O53" s="14">
        <f>N53*VLOOKUP('Données projet'!$B$9,Paramètres!$A$1:$I$89,3,0)*VLOOKUP('Données projet'!$B$9,Paramètres!$A$1:$I$89,5,0)</f>
        <v>181.50600000000006</v>
      </c>
      <c r="P53" s="14">
        <f t="shared" si="33"/>
        <v>45.657080773122978</v>
      </c>
      <c r="Q53" s="22">
        <f t="shared" si="53"/>
        <v>395.64236567985591</v>
      </c>
      <c r="R53" s="62">
        <f t="shared" si="0"/>
        <v>650.76334720932596</v>
      </c>
      <c r="S53" s="62">
        <f ca="1">AVERAGE(OFFSET($R$3,0,0,'Données projet'!$E$9+1,1))-AVERAGE(OFFSET($H$3,0,0,'Données projet'!$E$9+1,1))</f>
        <v>446.90706503298787</v>
      </c>
      <c r="T53" s="62">
        <f t="shared" si="34"/>
        <v>275.54513370838777</v>
      </c>
      <c r="U53" s="16">
        <f>IF(ISNA(VLOOKUP(A53,'Données projet'!$A$35:$I$55,3,0)),0,VLOOKUP(A53,'Données projet'!$A$35:$I$55,3,0))</f>
        <v>6</v>
      </c>
      <c r="V53" s="16">
        <f>IF(ISNA(VLOOKUP(A53,'Données projet'!$A$35:$I$55,4,0)),0,VLOOKUP(A53,'Données projet'!$A$35:$I$55,4,0))</f>
        <v>21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1.7372275807901882</v>
      </c>
      <c r="AB53" s="23">
        <f>EXP(-LN(2)/2)*AB52+(1-EXP(-LN(2)/2))/(LN(2)/2)*V53*Y53*VLOOKUP('Données projet'!$B$9,Paramètres!$A$1:$I$89,3,0)*0.475*44/12</f>
        <v>1.3734397933325192E-2</v>
      </c>
      <c r="AC53" s="24">
        <f t="shared" si="3"/>
        <v>1.7509619787235133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179</v>
      </c>
      <c r="AG53" s="13">
        <f>VLOOKUP(A53,'Données projet'!$A$61:$I$81,9,0)</f>
        <v>8.4</v>
      </c>
      <c r="AH53" s="13">
        <f t="array" ref="AH53">INDEX(AG:AG,MIN(IF(ISNUMBER(AG53:AG249),ROW(AG53:AG249),"")))</f>
        <v>8.4</v>
      </c>
      <c r="AI53" s="14">
        <f>IF('Données projet'!$A$62&gt;35,AI52+AH53-AQ52,IF(A53&lt;'Données projet'!$A$62,$AF$205^A53,IF(A53='Données projet'!$A$62,'Données projet'!$B$62,AI52+AH53-AQ52)))</f>
        <v>179.00000000000006</v>
      </c>
      <c r="AJ53" s="14">
        <f>AI53*VLOOKUP('Données projet'!$B$10,Paramètres!$A$1:$I$89,3,0)*VLOOKUP('Données projet'!$B$10,Paramètres!$A$1:$I$89,5,0)</f>
        <v>120.07320000000004</v>
      </c>
      <c r="AK53" s="14">
        <f t="shared" si="35"/>
        <v>31.69207138606523</v>
      </c>
      <c r="AL53" s="22">
        <f t="shared" si="4"/>
        <v>264.32451433073032</v>
      </c>
      <c r="AM53" s="62">
        <f t="shared" si="5"/>
        <v>519.44549586020048</v>
      </c>
      <c r="AN53" s="62">
        <f ca="1">AVERAGE(OFFSET($AM$3,0,0,'Données projet'!$E$10+1,1))-AVERAGE(OFFSET($H$3,0,0,'Données projet'!$E$10+1,1))</f>
        <v>312.88185844251097</v>
      </c>
      <c r="AO53" s="62">
        <f t="shared" si="36"/>
        <v>202.68317767036231</v>
      </c>
      <c r="AP53" s="16">
        <f>IF(ISNA(VLOOKUP(A53,'Données projet'!$A$61:$I$81,3,0)),0,VLOOKUP(A53,'Données projet'!$A$61:$I$81,3,0))</f>
        <v>6</v>
      </c>
      <c r="AQ53" s="16">
        <f>IF(ISNA(VLOOKUP(A53,'Données projet'!$A$61:$I$81,4,0)),0,VLOOKUP(A53,'Données projet'!$A$61:$I$81,4,0))</f>
        <v>21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1.4165086427981537</v>
      </c>
      <c r="AW53" s="23">
        <f>EXP(-LN(2)/2)*AW52+(1-EXP(-LN(2)/2))/(LN(2)/2)*AQ53*AT53*VLOOKUP('Données projet'!$B$10,Paramètres!$A$1:$I$89,3,0)*0.475*44/12</f>
        <v>9.9599350311599891E-3</v>
      </c>
      <c r="AX53" s="23">
        <f t="shared" si="6"/>
        <v>1.4264685778293136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175</v>
      </c>
      <c r="BB53" s="13">
        <f>VLOOKUP(A53,'Données projet'!$A$87:$I$107,9,0)</f>
        <v>5.6</v>
      </c>
      <c r="BC53" s="13">
        <f t="array" ref="BC53">INDEX(BB:BB,MIN(IF(ISNUMBER(BB53:BB249),ROW(BB53:BB249),"")))</f>
        <v>5.6</v>
      </c>
      <c r="BD53" s="13">
        <f>IF('Données projet'!$A$88&gt;35,BD52+BC53-BL52,IF(A53&lt;'Données projet'!$A$88,$BA$205^A53,IF(A53='Données projet'!$A$88,'Données projet'!$B$88,BD52+BC53-BL52)))</f>
        <v>174.99999999999989</v>
      </c>
      <c r="BE53" s="14">
        <f>BD53*VLOOKUP('Données projet'!$B$11,Paramètres!$A$1:$I$89,3,0)*VLOOKUP('Données projet'!$B$11,Paramètres!$A$1:$I$89,5,0)</f>
        <v>152.87999999999991</v>
      </c>
      <c r="BF53" s="14">
        <f t="shared" si="37"/>
        <v>39.232349774697823</v>
      </c>
      <c r="BG53" s="22">
        <f t="shared" si="7"/>
        <v>334.59567585759856</v>
      </c>
      <c r="BH53" s="62">
        <f t="shared" si="8"/>
        <v>589.71665738706861</v>
      </c>
      <c r="BI53" s="62">
        <f ca="1">AVERAGE(OFFSET($BH$3,0,0,'Données projet'!$E$11+1,1))-AVERAGE(OFFSET($H$3,0,0,'Données projet'!$E$11+1,1))</f>
        <v>287.22548699835653</v>
      </c>
      <c r="BJ53" s="62">
        <f t="shared" si="38"/>
        <v>276.01618888357268</v>
      </c>
      <c r="BK53" s="16">
        <f>IF(ISNA(VLOOKUP(A53,'Données projet'!$A$87:$I$107,3,0)),0,VLOOKUP(A53,'Données projet'!$A$87:$I$107,3,0))</f>
        <v>8</v>
      </c>
      <c r="BL53" s="16">
        <f>IF(ISNA(VLOOKUP(A53,'Données projet'!$A$87:$I$107,4,0)),0,VLOOKUP(A53,'Données projet'!$A$87:$I$107,4,0))</f>
        <v>13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4.0656268113665277</v>
      </c>
      <c r="BR53" s="23">
        <f>EXP(-LN(2)/2)*BR52+(1-EXP(-LN(2)/2))/(LN(2)/2)*BL53*BO53*VLOOKUP('Données projet'!$B$11,Paramètres!$A$1:$I$89,3,0)*0.475*44/12</f>
        <v>1.2762318437404378E-2</v>
      </c>
      <c r="BS53" s="24">
        <f t="shared" si="9"/>
        <v>4.0783891298039316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166.00000000000006</v>
      </c>
      <c r="O54" s="14">
        <f>N54*VLOOKUP('Données projet'!$B$9,Paramètres!$A$1:$I$89,3,0)*VLOOKUP('Données projet'!$B$9,Paramètres!$A$1:$I$89,5,0)</f>
        <v>168.32400000000007</v>
      </c>
      <c r="P54" s="14">
        <f t="shared" si="33"/>
        <v>42.71443916408608</v>
      </c>
      <c r="Q54" s="22">
        <f t="shared" si="53"/>
        <v>367.55861487745005</v>
      </c>
      <c r="R54" s="62">
        <f t="shared" si="0"/>
        <v>623.34249528069688</v>
      </c>
      <c r="S54" s="62">
        <f ca="1">AVERAGE(OFFSET($R$3,0,0,'Données projet'!$E$9+1,1))-AVERAGE(OFFSET($H$3,0,0,'Données projet'!$E$9+1,1))</f>
        <v>446.90706503298787</v>
      </c>
      <c r="T54" s="62">
        <f t="shared" si="34"/>
        <v>275.54513370838777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1.6897230012366526</v>
      </c>
      <c r="AB54" s="23">
        <f>EXP(-LN(2)/2)*AB53+(1-EXP(-LN(2)/2))/(LN(2)/2)*V54*Y54*VLOOKUP('Données projet'!$B$9,Paramètres!$A$1:$I$89,3,0)*0.475*44/12</f>
        <v>9.7116859141687471E-3</v>
      </c>
      <c r="AC54" s="24">
        <f t="shared" si="3"/>
        <v>1.6994346871508215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IF('Données projet'!$A$62&gt;35,AI53+AH54-AQ53,IF(A54&lt;'Données projet'!$A$62,$AF$205^A54,IF(A54='Données projet'!$A$62,'Données projet'!$B$62,AI53+AH54-AQ53)))</f>
        <v>166.00000000000006</v>
      </c>
      <c r="AJ54" s="14">
        <f>AI54*VLOOKUP('Données projet'!$B$10,Paramètres!$A$1:$I$89,3,0)*VLOOKUP('Données projet'!$B$10,Paramètres!$A$1:$I$89,5,0)</f>
        <v>111.35280000000004</v>
      </c>
      <c r="AK54" s="14">
        <f t="shared" si="35"/>
        <v>29.649487708834101</v>
      </c>
      <c r="AL54" s="22">
        <f t="shared" si="4"/>
        <v>245.57898442621953</v>
      </c>
      <c r="AM54" s="62">
        <f t="shared" si="5"/>
        <v>501.36286482946639</v>
      </c>
      <c r="AN54" s="62">
        <f ca="1">AVERAGE(OFFSET($AM$3,0,0,'Données projet'!$E$10+1,1))-AVERAGE(OFFSET($H$3,0,0,'Données projet'!$E$10+1,1))</f>
        <v>312.88185844251097</v>
      </c>
      <c r="AO54" s="62">
        <f t="shared" si="36"/>
        <v>202.68317767036231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1.3777741394698861</v>
      </c>
      <c r="AW54" s="23">
        <f>EXP(-LN(2)/2)*AW53+(1-EXP(-LN(2)/2))/(LN(2)/2)*AQ54*AT54*VLOOKUP('Données projet'!$B$10,Paramètres!$A$1:$I$89,3,0)*0.475*44/12</f>
        <v>7.0427376007106759E-3</v>
      </c>
      <c r="AX54" s="23">
        <f t="shared" si="6"/>
        <v>1.3848168770705969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4.8</v>
      </c>
      <c r="BD54" s="13">
        <f>IF('Données projet'!$A$88&gt;35,BD53+BC54-BL53,IF(A54&lt;'Données projet'!$A$88,$BA$205^A54,IF(A54='Données projet'!$A$88,'Données projet'!$B$88,BD53+BC54-BL53)))</f>
        <v>166.7999999999999</v>
      </c>
      <c r="BE54" s="14">
        <f>BD54*VLOOKUP('Données projet'!$B$11,Paramètres!$A$1:$I$89,3,0)*VLOOKUP('Données projet'!$B$11,Paramètres!$A$1:$I$89,5,0)</f>
        <v>145.71647999999993</v>
      </c>
      <c r="BF54" s="14">
        <f t="shared" si="37"/>
        <v>37.603505000831454</v>
      </c>
      <c r="BG54" s="22">
        <f t="shared" si="7"/>
        <v>319.28230720978132</v>
      </c>
      <c r="BH54" s="62">
        <f t="shared" si="8"/>
        <v>575.06618761302821</v>
      </c>
      <c r="BI54" s="62">
        <f ca="1">AVERAGE(OFFSET($BH$3,0,0,'Données projet'!$E$11+1,1))-AVERAGE(OFFSET($H$3,0,0,'Données projet'!$E$11+1,1))</f>
        <v>287.22548699835653</v>
      </c>
      <c r="BJ54" s="62">
        <f t="shared" si="38"/>
        <v>276.01618888357268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3.9544520324076879</v>
      </c>
      <c r="BR54" s="23">
        <f>EXP(-LN(2)/2)*BR53+(1-EXP(-LN(2)/2))/(LN(2)/2)*BL54*BO54*VLOOKUP('Données projet'!$B$11,Paramètres!$A$1:$I$89,3,0)*0.475*44/12</f>
        <v>9.0243219107507388E-3</v>
      </c>
      <c r="BS54" s="24">
        <f t="shared" si="9"/>
        <v>3.9634763543184386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174.00000000000006</v>
      </c>
      <c r="O55" s="14">
        <f>N55*VLOOKUP('Données projet'!$B$9,Paramètres!$A$1:$I$89,3,0)*VLOOKUP('Données projet'!$B$9,Paramètres!$A$1:$I$89,5,0)</f>
        <v>176.43600000000006</v>
      </c>
      <c r="P55" s="14">
        <f t="shared" si="33"/>
        <v>44.528341291050616</v>
      </c>
      <c r="Q55" s="22">
        <f t="shared" si="53"/>
        <v>384.84622774857991</v>
      </c>
      <c r="R55" s="62">
        <f t="shared" si="0"/>
        <v>641.28150721216321</v>
      </c>
      <c r="S55" s="62">
        <f ca="1">AVERAGE(OFFSET($R$3,0,0,'Données projet'!$E$9+1,1))-AVERAGE(OFFSET($H$3,0,0,'Données projet'!$E$9+1,1))</f>
        <v>446.90706503298787</v>
      </c>
      <c r="T55" s="62">
        <f t="shared" si="34"/>
        <v>275.54513370838777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1.6435174369091656</v>
      </c>
      <c r="AB55" s="23">
        <f>EXP(-LN(2)/2)*AB54+(1-EXP(-LN(2)/2))/(LN(2)/2)*V55*Y55*VLOOKUP('Données projet'!$B$9,Paramètres!$A$1:$I$89,3,0)*0.475*44/12</f>
        <v>6.867198966662596E-3</v>
      </c>
      <c r="AC55" s="24">
        <f t="shared" si="3"/>
        <v>1.6503846358758283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IF('Données projet'!$A$62&gt;35,AI54+AH55-AQ54,IF(A55&lt;'Données projet'!$A$62,$AF$205^A55,IF(A55='Données projet'!$A$62,'Données projet'!$B$62,AI54+AH55-AQ54)))</f>
        <v>174.00000000000006</v>
      </c>
      <c r="AJ55" s="14">
        <f>AI55*VLOOKUP('Données projet'!$B$10,Paramètres!$A$1:$I$89,3,0)*VLOOKUP('Données projet'!$B$10,Paramètres!$A$1:$I$89,5,0)</f>
        <v>116.71920000000004</v>
      </c>
      <c r="AK55" s="14">
        <f t="shared" si="35"/>
        <v>30.908576435525916</v>
      </c>
      <c r="AL55" s="22">
        <f t="shared" si="4"/>
        <v>257.11837729187437</v>
      </c>
      <c r="AM55" s="62">
        <f t="shared" si="5"/>
        <v>513.55365675545772</v>
      </c>
      <c r="AN55" s="62">
        <f ca="1">AVERAGE(OFFSET($AM$3,0,0,'Données projet'!$E$10+1,1))-AVERAGE(OFFSET($H$3,0,0,'Données projet'!$E$10+1,1))</f>
        <v>312.88185844251097</v>
      </c>
      <c r="AO55" s="62">
        <f t="shared" si="36"/>
        <v>202.68317767036231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1.3400988331720891</v>
      </c>
      <c r="AW55" s="23">
        <f>EXP(-LN(2)/2)*AW54+(1-EXP(-LN(2)/2))/(LN(2)/2)*AQ55*AT55*VLOOKUP('Données projet'!$B$10,Paramètres!$A$1:$I$89,3,0)*0.475*44/12</f>
        <v>4.9799675155799946E-3</v>
      </c>
      <c r="AX55" s="23">
        <f t="shared" si="6"/>
        <v>1.3450788006876691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4.8</v>
      </c>
      <c r="BD55" s="13">
        <f>IF('Données projet'!$A$88&gt;35,BD54+BC55-BL54,IF(A55&lt;'Données projet'!$A$88,$BA$205^A55,IF(A55='Données projet'!$A$88,'Données projet'!$B$88,BD54+BC55-BL54)))</f>
        <v>171.59999999999991</v>
      </c>
      <c r="BE55" s="14">
        <f>BD55*VLOOKUP('Données projet'!$B$11,Paramètres!$A$1:$I$89,3,0)*VLOOKUP('Données projet'!$B$11,Paramètres!$A$1:$I$89,5,0)</f>
        <v>149.90975999999995</v>
      </c>
      <c r="BF55" s="14">
        <f t="shared" si="37"/>
        <v>38.558077538852132</v>
      </c>
      <c r="BG55" s="22">
        <f t="shared" si="7"/>
        <v>328.24815038016737</v>
      </c>
      <c r="BH55" s="62">
        <f t="shared" si="8"/>
        <v>584.68342984375067</v>
      </c>
      <c r="BI55" s="62">
        <f ca="1">AVERAGE(OFFSET($BH$3,0,0,'Données projet'!$E$11+1,1))-AVERAGE(OFFSET($H$3,0,0,'Données projet'!$E$11+1,1))</f>
        <v>287.22548699835653</v>
      </c>
      <c r="BJ55" s="62">
        <f t="shared" si="38"/>
        <v>276.01618888357268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3.8463173336259056</v>
      </c>
      <c r="BR55" s="23">
        <f>EXP(-LN(2)/2)*BR54+(1-EXP(-LN(2)/2))/(LN(2)/2)*BL55*BO55*VLOOKUP('Données projet'!$B$11,Paramètres!$A$1:$I$89,3,0)*0.475*44/12</f>
        <v>6.3811592187021891E-3</v>
      </c>
      <c r="BS55" s="24">
        <f t="shared" si="9"/>
        <v>3.8526984928446075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182.00000000000006</v>
      </c>
      <c r="O56" s="14">
        <f>N56*VLOOKUP('Données projet'!$B$9,Paramètres!$A$1:$I$89,3,0)*VLOOKUP('Données projet'!$B$9,Paramètres!$A$1:$I$89,5,0)</f>
        <v>184.54800000000006</v>
      </c>
      <c r="P56" s="14">
        <f t="shared" si="33"/>
        <v>46.332558240871698</v>
      </c>
      <c r="Q56" s="22">
        <f t="shared" si="53"/>
        <v>402.11697226951833</v>
      </c>
      <c r="R56" s="62">
        <f t="shared" si="0"/>
        <v>659.19235047605162</v>
      </c>
      <c r="S56" s="62">
        <f ca="1">AVERAGE(OFFSET($R$3,0,0,'Données projet'!$E$9+1,1))-AVERAGE(OFFSET($H$3,0,0,'Données projet'!$E$9+1,1))</f>
        <v>446.90706503298787</v>
      </c>
      <c r="T56" s="62">
        <f t="shared" si="34"/>
        <v>275.54513370838777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1.5985753661680588</v>
      </c>
      <c r="AB56" s="23">
        <f>EXP(-LN(2)/2)*AB55+(1-EXP(-LN(2)/2))/(LN(2)/2)*V56*Y56*VLOOKUP('Données projet'!$B$9,Paramètres!$A$1:$I$89,3,0)*0.475*44/12</f>
        <v>4.8558429570843735E-3</v>
      </c>
      <c r="AC56" s="24">
        <f t="shared" si="3"/>
        <v>1.6034312091251433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IF('Données projet'!$A$62&gt;35,AI55+AH56-AQ55,IF(A56&lt;'Données projet'!$A$62,$AF$205^A56,IF(A56='Données projet'!$A$62,'Données projet'!$B$62,AI55+AH56-AQ55)))</f>
        <v>182.00000000000006</v>
      </c>
      <c r="AJ56" s="14">
        <f>AI56*VLOOKUP('Données projet'!$B$10,Paramètres!$A$1:$I$89,3,0)*VLOOKUP('Données projet'!$B$10,Paramètres!$A$1:$I$89,5,0)</f>
        <v>122.08560000000003</v>
      </c>
      <c r="AK56" s="14">
        <f t="shared" si="35"/>
        <v>32.160942364346717</v>
      </c>
      <c r="AL56" s="22">
        <f t="shared" si="4"/>
        <v>268.64606128457058</v>
      </c>
      <c r="AM56" s="62">
        <f t="shared" si="5"/>
        <v>525.72143949110387</v>
      </c>
      <c r="AN56" s="62">
        <f ca="1">AVERAGE(OFFSET($AM$3,0,0,'Données projet'!$E$10+1,1))-AVERAGE(OFFSET($H$3,0,0,'Données projet'!$E$10+1,1))</f>
        <v>312.88185844251097</v>
      </c>
      <c r="AO56" s="62">
        <f t="shared" si="36"/>
        <v>202.68317767036231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1.3034537601062635</v>
      </c>
      <c r="AW56" s="23">
        <f>EXP(-LN(2)/2)*AW55+(1-EXP(-LN(2)/2))/(LN(2)/2)*AQ56*AT56*VLOOKUP('Données projet'!$B$10,Paramètres!$A$1:$I$89,3,0)*0.475*44/12</f>
        <v>3.521368800355338E-3</v>
      </c>
      <c r="AX56" s="23">
        <f t="shared" si="6"/>
        <v>1.3069751289066187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4.8</v>
      </c>
      <c r="BD56" s="13">
        <f>IF('Données projet'!$A$88&gt;35,BD55+BC56-BL55,IF(A56&lt;'Données projet'!$A$88,$BA$205^A56,IF(A56='Données projet'!$A$88,'Données projet'!$B$88,BD55+BC56-BL55)))</f>
        <v>176.39999999999992</v>
      </c>
      <c r="BE56" s="14">
        <f>BD56*VLOOKUP('Données projet'!$B$11,Paramètres!$A$1:$I$89,3,0)*VLOOKUP('Données projet'!$B$11,Paramètres!$A$1:$I$89,5,0)</f>
        <v>154.10303999999994</v>
      </c>
      <c r="BF56" s="14">
        <f t="shared" si="37"/>
        <v>39.509546668758176</v>
      </c>
      <c r="BG56" s="22">
        <f t="shared" si="7"/>
        <v>337.20858844808708</v>
      </c>
      <c r="BH56" s="62">
        <f t="shared" si="8"/>
        <v>594.28396665462037</v>
      </c>
      <c r="BI56" s="62">
        <f ca="1">AVERAGE(OFFSET($BH$3,0,0,'Données projet'!$E$11+1,1))-AVERAGE(OFFSET($H$3,0,0,'Données projet'!$E$11+1,1))</f>
        <v>287.22548699835653</v>
      </c>
      <c r="BJ56" s="62">
        <f t="shared" si="38"/>
        <v>276.01618888357268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3.7411395838688675</v>
      </c>
      <c r="BR56" s="23">
        <f>EXP(-LN(2)/2)*BR55+(1-EXP(-LN(2)/2))/(LN(2)/2)*BL56*BO56*VLOOKUP('Données projet'!$B$11,Paramètres!$A$1:$I$89,3,0)*0.475*44/12</f>
        <v>4.5121609553753694E-3</v>
      </c>
      <c r="BS56" s="24">
        <f t="shared" si="9"/>
        <v>3.7456517448242428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190.00000000000006</v>
      </c>
      <c r="O57" s="14">
        <f>N57*VLOOKUP('Données projet'!$B$9,Paramètres!$A$1:$I$89,3,0)*VLOOKUP('Données projet'!$B$9,Paramètres!$A$1:$I$89,5,0)</f>
        <v>192.66000000000008</v>
      </c>
      <c r="P57" s="14">
        <f t="shared" si="33"/>
        <v>48.127564387788738</v>
      </c>
      <c r="Q57" s="22">
        <f t="shared" si="53"/>
        <v>419.3716746420655</v>
      </c>
      <c r="R57" s="62">
        <f t="shared" si="0"/>
        <v>677.07604730940488</v>
      </c>
      <c r="S57" s="62">
        <f ca="1">AVERAGE(OFFSET($R$3,0,0,'Données projet'!$E$9+1,1))-AVERAGE(OFFSET($H$3,0,0,'Données projet'!$E$9+1,1))</f>
        <v>446.90706503298787</v>
      </c>
      <c r="T57" s="62">
        <f t="shared" si="34"/>
        <v>275.54513370838777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1.5548622387147684</v>
      </c>
      <c r="AB57" s="23">
        <f>EXP(-LN(2)/2)*AB56+(1-EXP(-LN(2)/2))/(LN(2)/2)*V57*Y57*VLOOKUP('Données projet'!$B$9,Paramètres!$A$1:$I$89,3,0)*0.475*44/12</f>
        <v>3.433599483331298E-3</v>
      </c>
      <c r="AC57" s="24">
        <f t="shared" si="3"/>
        <v>1.5582958381980996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IF('Données projet'!$A$62&gt;35,AI56+AH57-AQ56,IF(A57&lt;'Données projet'!$A$62,$AF$205^A57,IF(A57='Données projet'!$A$62,'Données projet'!$B$62,AI56+AH57-AQ56)))</f>
        <v>190.00000000000006</v>
      </c>
      <c r="AJ57" s="14">
        <f>AI57*VLOOKUP('Données projet'!$B$10,Paramètres!$A$1:$I$89,3,0)*VLOOKUP('Données projet'!$B$10,Paramètres!$A$1:$I$89,5,0)</f>
        <v>127.45200000000003</v>
      </c>
      <c r="AK57" s="14">
        <f t="shared" si="35"/>
        <v>33.406914773953964</v>
      </c>
      <c r="AL57" s="22">
        <f t="shared" si="4"/>
        <v>280.16260989796984</v>
      </c>
      <c r="AM57" s="62">
        <f t="shared" si="5"/>
        <v>537.86698256530917</v>
      </c>
      <c r="AN57" s="62">
        <f ca="1">AVERAGE(OFFSET($AM$3,0,0,'Données projet'!$E$10+1,1))-AVERAGE(OFFSET($H$3,0,0,'Données projet'!$E$10+1,1))</f>
        <v>312.88185844251097</v>
      </c>
      <c r="AO57" s="62">
        <f t="shared" si="36"/>
        <v>202.68317767036231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1.2678107484905035</v>
      </c>
      <c r="AW57" s="23">
        <f>EXP(-LN(2)/2)*AW56+(1-EXP(-LN(2)/2))/(LN(2)/2)*AQ57*AT57*VLOOKUP('Données projet'!$B$10,Paramètres!$A$1:$I$89,3,0)*0.475*44/12</f>
        <v>2.4899837577899973E-3</v>
      </c>
      <c r="AX57" s="23">
        <f t="shared" si="6"/>
        <v>1.2703007322482935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4.8</v>
      </c>
      <c r="BD57" s="13">
        <f>IF('Données projet'!$A$88&gt;35,BD56+BC57-BL56,IF(A57&lt;'Données projet'!$A$88,$BA$205^A57,IF(A57='Données projet'!$A$88,'Données projet'!$B$88,BD56+BC57-BL56)))</f>
        <v>181.19999999999993</v>
      </c>
      <c r="BE57" s="14">
        <f>BD57*VLOOKUP('Données projet'!$B$11,Paramètres!$A$1:$I$89,3,0)*VLOOKUP('Données projet'!$B$11,Paramètres!$A$1:$I$89,5,0)</f>
        <v>158.29631999999995</v>
      </c>
      <c r="BF57" s="14">
        <f t="shared" si="37"/>
        <v>40.458006540983739</v>
      </c>
      <c r="BG57" s="22">
        <f t="shared" si="7"/>
        <v>346.16378539221324</v>
      </c>
      <c r="BH57" s="62">
        <f t="shared" si="8"/>
        <v>603.86815805955257</v>
      </c>
      <c r="BI57" s="62">
        <f ca="1">AVERAGE(OFFSET($BH$3,0,0,'Données projet'!$E$11+1,1))-AVERAGE(OFFSET($H$3,0,0,'Données projet'!$E$11+1,1))</f>
        <v>287.22548699835653</v>
      </c>
      <c r="BJ57" s="62">
        <f t="shared" si="38"/>
        <v>276.01618888357268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3.6388379252099932</v>
      </c>
      <c r="BR57" s="23">
        <f>EXP(-LN(2)/2)*BR56+(1-EXP(-LN(2)/2))/(LN(2)/2)*BL57*BO57*VLOOKUP('Données projet'!$B$11,Paramètres!$A$1:$I$89,3,0)*0.475*44/12</f>
        <v>3.1905796093510946E-3</v>
      </c>
      <c r="BS57" s="24">
        <f t="shared" si="9"/>
        <v>3.6420285048193444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198</v>
      </c>
      <c r="L58" s="13">
        <f>VLOOKUP(A58,'Données projet'!$A$35:$I$55,9,0)</f>
        <v>8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198.00000000000006</v>
      </c>
      <c r="O58" s="14">
        <f>N58*VLOOKUP('Données projet'!$B$9,Paramètres!$A$1:$I$89,3,0)*VLOOKUP('Données projet'!$B$9,Paramètres!$A$1:$I$89,5,0)</f>
        <v>200.77200000000008</v>
      </c>
      <c r="P58" s="14">
        <f t="shared" si="33"/>
        <v>49.913791898945412</v>
      </c>
      <c r="Q58" s="22">
        <f t="shared" si="53"/>
        <v>436.61108755732999</v>
      </c>
      <c r="R58" s="62">
        <f t="shared" si="0"/>
        <v>694.93354303780143</v>
      </c>
      <c r="S58" s="62">
        <f ca="1">AVERAGE(OFFSET($R$3,0,0,'Données projet'!$E$9+1,1))-AVERAGE(OFFSET($H$3,0,0,'Données projet'!$E$9+1,1))</f>
        <v>446.90706503298787</v>
      </c>
      <c r="T58" s="62">
        <f t="shared" si="34"/>
        <v>275.54513370838777</v>
      </c>
      <c r="U58" s="16">
        <f>IF(ISNA(VLOOKUP(A58,'Données projet'!$A$35:$I$55,3,0)),0,VLOOKUP(A58,'Données projet'!$A$35:$I$55,3,0))</f>
        <v>7</v>
      </c>
      <c r="V58" s="16">
        <f>IF(ISNA(VLOOKUP(A58,'Données projet'!$A$35:$I$55,4,0)),0,VLOOKUP(A58,'Données projet'!$A$35:$I$55,4,0))</f>
        <v>21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1.5123444490304616</v>
      </c>
      <c r="AB58" s="23">
        <f>EXP(-LN(2)/2)*AB57+(1-EXP(-LN(2)/2))/(LN(2)/2)*V58*Y58*VLOOKUP('Données projet'!$B$9,Paramètres!$A$1:$I$89,3,0)*0.475*44/12</f>
        <v>2.4279214785421868E-3</v>
      </c>
      <c r="AC58" s="24">
        <f t="shared" si="3"/>
        <v>1.5147723705090037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198</v>
      </c>
      <c r="AG58" s="13">
        <f>VLOOKUP(A58,'Données projet'!$A$61:$I$81,9,0)</f>
        <v>8</v>
      </c>
      <c r="AH58" s="13">
        <f t="array" ref="AH58">INDEX(AG:AG,MIN(IF(ISNUMBER(AG58:AG254),ROW(AG58:AG254),"")))</f>
        <v>8</v>
      </c>
      <c r="AI58" s="14">
        <f>IF('Données projet'!$A$62&gt;35,AI57+AH58-AQ57,IF(A58&lt;'Données projet'!$A$62,$AF$205^A58,IF(A58='Données projet'!$A$62,'Données projet'!$B$62,AI57+AH58-AQ57)))</f>
        <v>198.00000000000006</v>
      </c>
      <c r="AJ58" s="14">
        <f>AI58*VLOOKUP('Données projet'!$B$10,Paramètres!$A$1:$I$89,3,0)*VLOOKUP('Données projet'!$B$10,Paramètres!$A$1:$I$89,5,0)</f>
        <v>132.81840000000005</v>
      </c>
      <c r="AK58" s="14">
        <f t="shared" si="35"/>
        <v>34.646793645681022</v>
      </c>
      <c r="AL58" s="22">
        <f t="shared" si="4"/>
        <v>291.66854559956113</v>
      </c>
      <c r="AM58" s="62">
        <f t="shared" si="5"/>
        <v>549.99100108003245</v>
      </c>
      <c r="AN58" s="62">
        <f ca="1">AVERAGE(OFFSET($AM$3,0,0,'Données projet'!$E$10+1,1))-AVERAGE(OFFSET($H$3,0,0,'Données projet'!$E$10+1,1))</f>
        <v>312.88185844251097</v>
      </c>
      <c r="AO58" s="62">
        <f t="shared" si="36"/>
        <v>202.68317767036231</v>
      </c>
      <c r="AP58" s="16">
        <f>IF(ISNA(VLOOKUP(A58,'Données projet'!$A$61:$I$81,3,0)),0,VLOOKUP(A58,'Données projet'!$A$61:$I$81,3,0))</f>
        <v>7</v>
      </c>
      <c r="AQ58" s="16">
        <f>IF(ISNA(VLOOKUP(A58,'Données projet'!$A$61:$I$81,4,0)),0,VLOOKUP(A58,'Données projet'!$A$61:$I$81,4,0))</f>
        <v>21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1.233142396901761</v>
      </c>
      <c r="AW58" s="23">
        <f>EXP(-LN(2)/2)*AW57+(1-EXP(-LN(2)/2))/(LN(2)/2)*AQ58*AT58*VLOOKUP('Données projet'!$B$10,Paramètres!$A$1:$I$89,3,0)*0.475*44/12</f>
        <v>1.760684400177669E-3</v>
      </c>
      <c r="AX58" s="23">
        <f t="shared" si="6"/>
        <v>1.2349030813019386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186</v>
      </c>
      <c r="BB58" s="13">
        <f>VLOOKUP(A58,'Données projet'!$A$87:$I$107,9,0)</f>
        <v>4.8</v>
      </c>
      <c r="BC58" s="13">
        <f t="array" ref="BC58">INDEX(BB:BB,MIN(IF(ISNUMBER(BB58:BB254),ROW(BB58:BB254),"")))</f>
        <v>4.8</v>
      </c>
      <c r="BD58" s="13">
        <f>IF('Données projet'!$A$88&gt;35,BD57+BC58-BL57,IF(A58&lt;'Données projet'!$A$88,$BA$205^A58,IF(A58='Données projet'!$A$88,'Données projet'!$B$88,BD57+BC58-BL57)))</f>
        <v>185.99999999999994</v>
      </c>
      <c r="BE58" s="14">
        <f>BD58*VLOOKUP('Données projet'!$B$11,Paramètres!$A$1:$I$89,3,0)*VLOOKUP('Données projet'!$B$11,Paramètres!$A$1:$I$89,5,0)</f>
        <v>162.48959999999997</v>
      </c>
      <c r="BF58" s="14">
        <f t="shared" si="37"/>
        <v>41.403546033820696</v>
      </c>
      <c r="BG58" s="22">
        <f t="shared" si="7"/>
        <v>355.11389600890431</v>
      </c>
      <c r="BH58" s="62">
        <f t="shared" si="8"/>
        <v>613.43635148937574</v>
      </c>
      <c r="BI58" s="62">
        <f ca="1">AVERAGE(OFFSET($BH$3,0,0,'Données projet'!$E$11+1,1))-AVERAGE(OFFSET($H$3,0,0,'Données projet'!$E$11+1,1))</f>
        <v>287.22548699835653</v>
      </c>
      <c r="BJ58" s="62">
        <f t="shared" si="38"/>
        <v>276.01618888357268</v>
      </c>
      <c r="BK58" s="16">
        <f>IF(ISNA(VLOOKUP(A58,'Données projet'!$A$87:$I$107,3,0)),0,VLOOKUP(A58,'Données projet'!$A$87:$I$107,3,0))</f>
        <v>9</v>
      </c>
      <c r="BL58" s="16">
        <f>IF(ISNA(VLOOKUP(A58,'Données projet'!$A$87:$I$107,4,0)),0,VLOOKUP(A58,'Données projet'!$A$87:$I$107,4,0))</f>
        <v>11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3.539333710786956</v>
      </c>
      <c r="BR58" s="23">
        <f>EXP(-LN(2)/2)*BR57+(1-EXP(-LN(2)/2))/(LN(2)/2)*BL58*BO58*VLOOKUP('Données projet'!$B$11,Paramètres!$A$1:$I$89,3,0)*0.475*44/12</f>
        <v>2.2560804776876847E-3</v>
      </c>
      <c r="BS58" s="24">
        <f t="shared" si="9"/>
        <v>3.5415897912646437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7.4</v>
      </c>
      <c r="N59" s="14">
        <f>IF('Données projet'!$A$36&gt;35,N58+M59-V58,IF(A59&lt;'Données projet'!$A$36,$K$205^A59,IF(A59='Données projet'!$A$36,'Données projet'!$B$36,N58+M59-V58)))</f>
        <v>184.40000000000006</v>
      </c>
      <c r="O59" s="14">
        <f>N59*VLOOKUP('Données projet'!$B$9,Paramètres!$A$1:$I$89,3,0)*VLOOKUP('Données projet'!$B$9,Paramètres!$A$1:$I$89,5,0)</f>
        <v>186.98160000000007</v>
      </c>
      <c r="P59" s="14">
        <f t="shared" si="33"/>
        <v>46.872006790472248</v>
      </c>
      <c r="Q59" s="22">
        <f t="shared" si="53"/>
        <v>407.29503182673926</v>
      </c>
      <c r="R59" s="62">
        <f t="shared" si="0"/>
        <v>666.22484776536101</v>
      </c>
      <c r="S59" s="62">
        <f ca="1">AVERAGE(OFFSET($R$3,0,0,'Données projet'!$E$9+1,1))-AVERAGE(OFFSET($H$3,0,0,'Données projet'!$E$9+1,1))</f>
        <v>446.90706503298787</v>
      </c>
      <c r="T59" s="62">
        <f t="shared" si="34"/>
        <v>275.54513370838777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1.4709893105409855</v>
      </c>
      <c r="AB59" s="23">
        <f>EXP(-LN(2)/2)*AB58+(1-EXP(-LN(2)/2))/(LN(2)/2)*V59*Y59*VLOOKUP('Données projet'!$B$9,Paramètres!$A$1:$I$89,3,0)*0.475*44/12</f>
        <v>1.716799741665649E-3</v>
      </c>
      <c r="AC59" s="24">
        <f t="shared" si="3"/>
        <v>1.4727061102826511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7.4</v>
      </c>
      <c r="AI59" s="14">
        <f>IF('Données projet'!$A$62&gt;35,AI58+AH59-AQ58,IF(A59&lt;'Données projet'!$A$62,$AF$205^A59,IF(A59='Données projet'!$A$62,'Données projet'!$B$62,AI58+AH59-AQ58)))</f>
        <v>184.40000000000006</v>
      </c>
      <c r="AJ59" s="14">
        <f>AI59*VLOOKUP('Données projet'!$B$10,Paramètres!$A$1:$I$89,3,0)*VLOOKUP('Données projet'!$B$10,Paramètres!$A$1:$I$89,5,0)</f>
        <v>123.69552000000004</v>
      </c>
      <c r="AK59" s="14">
        <f t="shared" si="35"/>
        <v>32.535391226463034</v>
      </c>
      <c r="AL59" s="22">
        <f t="shared" si="4"/>
        <v>272.10217038608988</v>
      </c>
      <c r="AM59" s="62">
        <f t="shared" si="5"/>
        <v>531.03198632471162</v>
      </c>
      <c r="AN59" s="62">
        <f ca="1">AVERAGE(OFFSET($AM$3,0,0,'Données projet'!$E$10+1,1))-AVERAGE(OFFSET($H$3,0,0,'Données projet'!$E$10+1,1))</f>
        <v>312.88185844251097</v>
      </c>
      <c r="AO59" s="62">
        <f t="shared" si="36"/>
        <v>202.68317767036231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1.1994220532103421</v>
      </c>
      <c r="AW59" s="23">
        <f>EXP(-LN(2)/2)*AW58+(1-EXP(-LN(2)/2))/(LN(2)/2)*AQ59*AT59*VLOOKUP('Données projet'!$B$10,Paramètres!$A$1:$I$89,3,0)*0.475*44/12</f>
        <v>1.2449918788949986E-3</v>
      </c>
      <c r="AX59" s="23">
        <f t="shared" si="6"/>
        <v>1.2006670450892372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4</v>
      </c>
      <c r="BD59" s="13">
        <f>IF('Données projet'!$A$88&gt;35,BD58+BC59-BL58,IF(A59&lt;'Données projet'!$A$88,$BA$205^A59,IF(A59='Données projet'!$A$88,'Données projet'!$B$88,BD58+BC59-BL58)))</f>
        <v>178.99999999999994</v>
      </c>
      <c r="BE59" s="14">
        <f>BD59*VLOOKUP('Données projet'!$B$11,Paramètres!$A$1:$I$89,3,0)*VLOOKUP('Données projet'!$B$11,Paramètres!$A$1:$I$89,5,0)</f>
        <v>156.37439999999998</v>
      </c>
      <c r="BF59" s="14">
        <f t="shared" si="37"/>
        <v>40.02366352429317</v>
      </c>
      <c r="BG59" s="22">
        <f t="shared" si="7"/>
        <v>342.05996063814388</v>
      </c>
      <c r="BH59" s="62">
        <f t="shared" si="8"/>
        <v>600.98977657676562</v>
      </c>
      <c r="BI59" s="62">
        <f ca="1">AVERAGE(OFFSET($BH$3,0,0,'Données projet'!$E$11+1,1))-AVERAGE(OFFSET($H$3,0,0,'Données projet'!$E$11+1,1))</f>
        <v>287.22548699835653</v>
      </c>
      <c r="BJ59" s="62">
        <f t="shared" si="38"/>
        <v>276.01618888357268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3.4425504443400161</v>
      </c>
      <c r="BR59" s="23">
        <f>EXP(-LN(2)/2)*BR58+(1-EXP(-LN(2)/2))/(LN(2)/2)*BL59*BO59*VLOOKUP('Données projet'!$B$11,Paramètres!$A$1:$I$89,3,0)*0.475*44/12</f>
        <v>1.5952898046755473E-3</v>
      </c>
      <c r="BS59" s="24">
        <f t="shared" si="9"/>
        <v>3.4441457341446915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7.4</v>
      </c>
      <c r="N60" s="14">
        <f>IF('Données projet'!$A$36&gt;35,N59+M60-V59,IF(A60&lt;'Données projet'!$A$36,$K$205^A60,IF(A60='Données projet'!$A$36,'Données projet'!$B$36,N59+M60-V59)))</f>
        <v>191.80000000000007</v>
      </c>
      <c r="O60" s="14">
        <f>N60*VLOOKUP('Données projet'!$B$9,Paramètres!$A$1:$I$89,3,0)*VLOOKUP('Données projet'!$B$9,Paramètres!$A$1:$I$89,5,0)</f>
        <v>194.48520000000008</v>
      </c>
      <c r="P60" s="14">
        <f t="shared" si="33"/>
        <v>48.530216343846071</v>
      </c>
      <c r="Q60" s="22">
        <f t="shared" si="53"/>
        <v>423.25185013219863</v>
      </c>
      <c r="R60" s="62">
        <f t="shared" si="0"/>
        <v>682.77849018287634</v>
      </c>
      <c r="S60" s="62">
        <f ca="1">AVERAGE(OFFSET($R$3,0,0,'Données projet'!$E$9+1,1))-AVERAGE(OFFSET($H$3,0,0,'Données projet'!$E$9+1,1))</f>
        <v>446.90706503298787</v>
      </c>
      <c r="T60" s="62">
        <f t="shared" si="34"/>
        <v>275.54513370838777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1.4307650304882764</v>
      </c>
      <c r="AB60" s="23">
        <f>EXP(-LN(2)/2)*AB59+(1-EXP(-LN(2)/2))/(LN(2)/2)*V60*Y60*VLOOKUP('Données projet'!$B$9,Paramètres!$A$1:$I$89,3,0)*0.475*44/12</f>
        <v>1.2139607392710934E-3</v>
      </c>
      <c r="AC60" s="24">
        <f t="shared" si="3"/>
        <v>1.4319789912275476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7.4</v>
      </c>
      <c r="AI60" s="14">
        <f>IF('Données projet'!$A$62&gt;35,AI59+AH60-AQ59,IF(A60&lt;'Données projet'!$A$62,$AF$205^A60,IF(A60='Données projet'!$A$62,'Données projet'!$B$62,AI59+AH60-AQ59)))</f>
        <v>191.80000000000007</v>
      </c>
      <c r="AJ60" s="14">
        <f>AI60*VLOOKUP('Données projet'!$B$10,Paramètres!$A$1:$I$89,3,0)*VLOOKUP('Données projet'!$B$10,Paramètres!$A$1:$I$89,5,0)</f>
        <v>128.65944000000005</v>
      </c>
      <c r="AK60" s="14">
        <f t="shared" si="35"/>
        <v>33.686408651333402</v>
      </c>
      <c r="AL60" s="22">
        <f t="shared" si="4"/>
        <v>282.75235306773908</v>
      </c>
      <c r="AM60" s="62">
        <f t="shared" si="5"/>
        <v>542.27899311841679</v>
      </c>
      <c r="AN60" s="62">
        <f ca="1">AVERAGE(OFFSET($AM$3,0,0,'Données projet'!$E$10+1,1))-AVERAGE(OFFSET($H$3,0,0,'Données projet'!$E$10+1,1))</f>
        <v>312.88185844251097</v>
      </c>
      <c r="AO60" s="62">
        <f t="shared" si="36"/>
        <v>202.68317767036231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1.1666237940904409</v>
      </c>
      <c r="AW60" s="23">
        <f>EXP(-LN(2)/2)*AW59+(1-EXP(-LN(2)/2))/(LN(2)/2)*AQ60*AT60*VLOOKUP('Données projet'!$B$10,Paramètres!$A$1:$I$89,3,0)*0.475*44/12</f>
        <v>8.8034220008883449E-4</v>
      </c>
      <c r="AX60" s="23">
        <f t="shared" si="6"/>
        <v>1.1675041362905298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4</v>
      </c>
      <c r="BD60" s="13">
        <f>IF('Données projet'!$A$88&gt;35,BD59+BC60-BL59,IF(A60&lt;'Données projet'!$A$88,$BA$205^A60,IF(A60='Données projet'!$A$88,'Données projet'!$B$88,BD59+BC60-BL59)))</f>
        <v>182.99999999999994</v>
      </c>
      <c r="BE60" s="14">
        <f>BD60*VLOOKUP('Données projet'!$B$11,Paramètres!$A$1:$I$89,3,0)*VLOOKUP('Données projet'!$B$11,Paramètres!$A$1:$I$89,5,0)</f>
        <v>159.86879999999996</v>
      </c>
      <c r="BF60" s="14">
        <f t="shared" si="37"/>
        <v>40.812921467768035</v>
      </c>
      <c r="BG60" s="22">
        <f t="shared" si="7"/>
        <v>349.52066488969587</v>
      </c>
      <c r="BH60" s="62">
        <f t="shared" si="8"/>
        <v>609.04730494037358</v>
      </c>
      <c r="BI60" s="62">
        <f ca="1">AVERAGE(OFFSET($BH$3,0,0,'Données projet'!$E$11+1,1))-AVERAGE(OFFSET($H$3,0,0,'Données projet'!$E$11+1,1))</f>
        <v>287.22548699835653</v>
      </c>
      <c r="BJ60" s="62">
        <f t="shared" si="38"/>
        <v>276.01618888357268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3.3484137214036784</v>
      </c>
      <c r="BR60" s="23">
        <f>EXP(-LN(2)/2)*BR59+(1-EXP(-LN(2)/2))/(LN(2)/2)*BL60*BO60*VLOOKUP('Données projet'!$B$11,Paramètres!$A$1:$I$89,3,0)*0.475*44/12</f>
        <v>1.1280402388438423E-3</v>
      </c>
      <c r="BS60" s="24">
        <f t="shared" si="9"/>
        <v>3.3495417616425223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7.4</v>
      </c>
      <c r="N61" s="14">
        <f>IF('Données projet'!$A$36&gt;35,N60+M61-V60,IF(A61&lt;'Données projet'!$A$36,$K$205^A61,IF(A61='Données projet'!$A$36,'Données projet'!$B$36,N60+M61-V60)))</f>
        <v>199.20000000000007</v>
      </c>
      <c r="O61" s="14">
        <f>N61*VLOOKUP('Données projet'!$B$9,Paramètres!$A$1:$I$89,3,0)*VLOOKUP('Données projet'!$B$9,Paramètres!$A$1:$I$89,5,0)</f>
        <v>201.98880000000008</v>
      </c>
      <c r="P61" s="14">
        <f t="shared" si="33"/>
        <v>50.18099374666096</v>
      </c>
      <c r="Q61" s="22">
        <f t="shared" si="53"/>
        <v>439.19572410876793</v>
      </c>
      <c r="R61" s="62">
        <f t="shared" si="0"/>
        <v>699.3088347074563</v>
      </c>
      <c r="S61" s="62">
        <f ca="1">AVERAGE(OFFSET($R$3,0,0,'Données projet'!$E$9+1,1))-AVERAGE(OFFSET($H$3,0,0,'Données projet'!$E$9+1,1))</f>
        <v>446.90706503298787</v>
      </c>
      <c r="T61" s="62">
        <f t="shared" si="34"/>
        <v>275.54513370838777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1.3916406854889116</v>
      </c>
      <c r="AB61" s="23">
        <f>EXP(-LN(2)/2)*AB60+(1-EXP(-LN(2)/2))/(LN(2)/2)*V61*Y61*VLOOKUP('Données projet'!$B$9,Paramètres!$A$1:$I$89,3,0)*0.475*44/12</f>
        <v>8.583998708328245E-4</v>
      </c>
      <c r="AC61" s="24">
        <f t="shared" si="3"/>
        <v>1.3924990853597445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7.4</v>
      </c>
      <c r="AI61" s="14">
        <f>IF('Données projet'!$A$62&gt;35,AI60+AH61-AQ60,IF(A61&lt;'Données projet'!$A$62,$AF$205^A61,IF(A61='Données projet'!$A$62,'Données projet'!$B$62,AI60+AH61-AQ60)))</f>
        <v>199.20000000000007</v>
      </c>
      <c r="AJ61" s="14">
        <f>AI61*VLOOKUP('Données projet'!$B$10,Paramètres!$A$1:$I$89,3,0)*VLOOKUP('Données projet'!$B$10,Paramètres!$A$1:$I$89,5,0)</f>
        <v>133.62336000000005</v>
      </c>
      <c r="AK61" s="14">
        <f t="shared" si="35"/>
        <v>34.832267177691705</v>
      </c>
      <c r="AL61" s="22">
        <f t="shared" si="4"/>
        <v>293.39355066781309</v>
      </c>
      <c r="AM61" s="62">
        <f t="shared" si="5"/>
        <v>553.50666126650151</v>
      </c>
      <c r="AN61" s="62">
        <f ca="1">AVERAGE(OFFSET($AM$3,0,0,'Données projet'!$E$10+1,1))-AVERAGE(OFFSET($H$3,0,0,'Données projet'!$E$10+1,1))</f>
        <v>312.88185844251097</v>
      </c>
      <c r="AO61" s="62">
        <f t="shared" si="36"/>
        <v>202.68317767036231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1.1347224050909588</v>
      </c>
      <c r="AW61" s="23">
        <f>EXP(-LN(2)/2)*AW60+(1-EXP(-LN(2)/2))/(LN(2)/2)*AQ61*AT61*VLOOKUP('Données projet'!$B$10,Paramètres!$A$1:$I$89,3,0)*0.475*44/12</f>
        <v>6.2249593944749932E-4</v>
      </c>
      <c r="AX61" s="23">
        <f t="shared" si="6"/>
        <v>1.1353449010304062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4</v>
      </c>
      <c r="BD61" s="13">
        <f>IF('Données projet'!$A$88&gt;35,BD60+BC61-BL60,IF(A61&lt;'Données projet'!$A$88,$BA$205^A61,IF(A61='Données projet'!$A$88,'Données projet'!$B$88,BD60+BC61-BL60)))</f>
        <v>186.99999999999994</v>
      </c>
      <c r="BE61" s="14">
        <f>BD61*VLOOKUP('Données projet'!$B$11,Paramètres!$A$1:$I$89,3,0)*VLOOKUP('Données projet'!$B$11,Paramètres!$A$1:$I$89,5,0)</f>
        <v>163.36319999999998</v>
      </c>
      <c r="BF61" s="14">
        <f t="shared" si="37"/>
        <v>41.600173715581626</v>
      </c>
      <c r="BG61" s="22">
        <f t="shared" si="7"/>
        <v>356.97787588797127</v>
      </c>
      <c r="BH61" s="62">
        <f t="shared" si="8"/>
        <v>617.09098648665963</v>
      </c>
      <c r="BI61" s="62">
        <f ca="1">AVERAGE(OFFSET($BH$3,0,0,'Données projet'!$E$11+1,1))-AVERAGE(OFFSET($H$3,0,0,'Données projet'!$E$11+1,1))</f>
        <v>287.22548699835653</v>
      </c>
      <c r="BJ61" s="62">
        <f t="shared" si="38"/>
        <v>276.01618888357268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3.2568511721064701</v>
      </c>
      <c r="BR61" s="23">
        <f>EXP(-LN(2)/2)*BR60+(1-EXP(-LN(2)/2))/(LN(2)/2)*BL61*BO61*VLOOKUP('Données projet'!$B$11,Paramètres!$A$1:$I$89,3,0)*0.475*44/12</f>
        <v>7.9764490233777364E-4</v>
      </c>
      <c r="BS61" s="24">
        <f t="shared" si="9"/>
        <v>3.2576488170088078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7.4</v>
      </c>
      <c r="N62" s="14">
        <f>IF('Données projet'!$A$36&gt;35,N61+M62-V61,IF(A62&lt;'Données projet'!$A$36,$K$205^A62,IF(A62='Données projet'!$A$36,'Données projet'!$B$36,N61+M62-V61)))</f>
        <v>206.60000000000008</v>
      </c>
      <c r="O62" s="14">
        <f>N62*VLOOKUP('Données projet'!$B$9,Paramètres!$A$1:$I$89,3,0)*VLOOKUP('Données projet'!$B$9,Paramètres!$A$1:$I$89,5,0)</f>
        <v>209.49240000000009</v>
      </c>
      <c r="P62" s="14">
        <f t="shared" si="33"/>
        <v>51.824646708770558</v>
      </c>
      <c r="Q62" s="22">
        <f t="shared" si="53"/>
        <v>455.12718968444216</v>
      </c>
      <c r="R62" s="62">
        <f t="shared" si="0"/>
        <v>715.81659687828494</v>
      </c>
      <c r="S62" s="62">
        <f ca="1">AVERAGE(OFFSET($R$3,0,0,'Données projet'!$E$9+1,1))-AVERAGE(OFFSET($H$3,0,0,'Données projet'!$E$9+1,1))</f>
        <v>446.90706503298787</v>
      </c>
      <c r="T62" s="62">
        <f t="shared" si="34"/>
        <v>275.54513370838777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1.3535861977610144</v>
      </c>
      <c r="AB62" s="23">
        <f>EXP(-LN(2)/2)*AB61+(1-EXP(-LN(2)/2))/(LN(2)/2)*V62*Y62*VLOOKUP('Données projet'!$B$9,Paramètres!$A$1:$I$89,3,0)*0.475*44/12</f>
        <v>6.0698036963554669E-4</v>
      </c>
      <c r="AC62" s="24">
        <f t="shared" si="3"/>
        <v>1.35419317813065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7.4</v>
      </c>
      <c r="AI62" s="14">
        <f>IF('Données projet'!$A$62&gt;35,AI61+AH62-AQ61,IF(A62&lt;'Données projet'!$A$62,$AF$205^A62,IF(A62='Données projet'!$A$62,'Données projet'!$B$62,AI61+AH62-AQ61)))</f>
        <v>206.60000000000008</v>
      </c>
      <c r="AJ62" s="14">
        <f>AI62*VLOOKUP('Données projet'!$B$10,Paramètres!$A$1:$I$89,3,0)*VLOOKUP('Données projet'!$B$10,Paramètres!$A$1:$I$89,5,0)</f>
        <v>138.58728000000005</v>
      </c>
      <c r="AK62" s="14">
        <f t="shared" si="35"/>
        <v>35.973180397000306</v>
      </c>
      <c r="AL62" s="22">
        <f t="shared" si="4"/>
        <v>304.02613519144228</v>
      </c>
      <c r="AM62" s="62">
        <f t="shared" si="5"/>
        <v>564.71554238528506</v>
      </c>
      <c r="AN62" s="62">
        <f ca="1">AVERAGE(OFFSET($AM$3,0,0,'Données projet'!$E$10+1,1))-AVERAGE(OFFSET($H$3,0,0,'Données projet'!$E$10+1,1))</f>
        <v>312.88185844251097</v>
      </c>
      <c r="AO62" s="62">
        <f t="shared" si="36"/>
        <v>202.68317767036231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1.1036933612512887</v>
      </c>
      <c r="AW62" s="23">
        <f>EXP(-LN(2)/2)*AW61+(1-EXP(-LN(2)/2))/(LN(2)/2)*AQ62*AT62*VLOOKUP('Données projet'!$B$10,Paramètres!$A$1:$I$89,3,0)*0.475*44/12</f>
        <v>4.4017110004441725E-4</v>
      </c>
      <c r="AX62" s="23">
        <f t="shared" si="6"/>
        <v>1.104133532351333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4</v>
      </c>
      <c r="BD62" s="13">
        <f>IF('Données projet'!$A$88&gt;35,BD61+BC62-BL61,IF(A62&lt;'Données projet'!$A$88,$BA$205^A62,IF(A62='Données projet'!$A$88,'Données projet'!$B$88,BD61+BC62-BL61)))</f>
        <v>190.99999999999994</v>
      </c>
      <c r="BE62" s="14">
        <f>BD62*VLOOKUP('Données projet'!$B$11,Paramètres!$A$1:$I$89,3,0)*VLOOKUP('Données projet'!$B$11,Paramètres!$A$1:$I$89,5,0)</f>
        <v>166.85759999999996</v>
      </c>
      <c r="BF62" s="14">
        <f t="shared" si="37"/>
        <v>42.385468111966098</v>
      </c>
      <c r="BG62" s="22">
        <f t="shared" si="7"/>
        <v>364.43167696167421</v>
      </c>
      <c r="BH62" s="62">
        <f t="shared" si="8"/>
        <v>625.121084155517</v>
      </c>
      <c r="BI62" s="62">
        <f ca="1">AVERAGE(OFFSET($BH$3,0,0,'Données projet'!$E$11+1,1))-AVERAGE(OFFSET($H$3,0,0,'Données projet'!$E$11+1,1))</f>
        <v>287.22548699835653</v>
      </c>
      <c r="BJ62" s="62">
        <f t="shared" si="38"/>
        <v>276.01618888357268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3.1677924055348594</v>
      </c>
      <c r="BR62" s="23">
        <f>EXP(-LN(2)/2)*BR61+(1-EXP(-LN(2)/2))/(LN(2)/2)*BL62*BO62*VLOOKUP('Données projet'!$B$11,Paramètres!$A$1:$I$89,3,0)*0.475*44/12</f>
        <v>5.6402011942192117E-4</v>
      </c>
      <c r="BS62" s="24">
        <f t="shared" si="9"/>
        <v>3.1683564256542813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214</v>
      </c>
      <c r="L63" s="13">
        <f>VLOOKUP(A63,'Données projet'!$A$35:$I$55,9,0)</f>
        <v>7.4</v>
      </c>
      <c r="M63" s="13">
        <f t="array" ref="M63">INDEX(L:L,MIN(IF(ISNUMBER(L63:L259),ROW(L63:L259),"")))</f>
        <v>7.4</v>
      </c>
      <c r="N63" s="14">
        <f>IF('Données projet'!$A$36&gt;35,N62+M63-V62,IF(A63&lt;'Données projet'!$A$36,$K$205^A63,IF(A63='Données projet'!$A$36,'Données projet'!$B$36,N62+M63-V62)))</f>
        <v>214.00000000000009</v>
      </c>
      <c r="O63" s="14">
        <f>N63*VLOOKUP('Données projet'!$B$9,Paramètres!$A$1:$I$89,3,0)*VLOOKUP('Données projet'!$B$9,Paramètres!$A$1:$I$89,5,0)</f>
        <v>216.99600000000009</v>
      </c>
      <c r="P63" s="14">
        <f t="shared" si="33"/>
        <v>53.461459647386917</v>
      </c>
      <c r="Q63" s="22">
        <f t="shared" si="53"/>
        <v>471.04674221919907</v>
      </c>
      <c r="R63" s="62">
        <f t="shared" si="0"/>
        <v>732.30244855067656</v>
      </c>
      <c r="S63" s="62">
        <f ca="1">AVERAGE(OFFSET($R$3,0,0,'Données projet'!$E$9+1,1))-AVERAGE(OFFSET($H$3,0,0,'Données projet'!$E$9+1,1))</f>
        <v>446.90706503298787</v>
      </c>
      <c r="T63" s="62">
        <f t="shared" si="34"/>
        <v>275.54513370838777</v>
      </c>
      <c r="U63" s="16">
        <f>IF(ISNA(VLOOKUP(A63,'Données projet'!$A$35:$I$55,3,0)),0,VLOOKUP(A63,'Données projet'!$A$35:$I$55,3,0))</f>
        <v>8</v>
      </c>
      <c r="V63" s="16">
        <f>IF(ISNA(VLOOKUP(A63,'Données projet'!$A$35:$I$55,4,0)),0,VLOOKUP(A63,'Données projet'!$A$35:$I$55,4,0))</f>
        <v>21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1.3165723120012349</v>
      </c>
      <c r="AB63" s="23">
        <f>EXP(-LN(2)/2)*AB62+(1-EXP(-LN(2)/2))/(LN(2)/2)*V63*Y63*VLOOKUP('Données projet'!$B$9,Paramètres!$A$1:$I$89,3,0)*0.475*44/12</f>
        <v>4.2919993541641225E-4</v>
      </c>
      <c r="AC63" s="24">
        <f t="shared" si="3"/>
        <v>1.3170015119366514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214</v>
      </c>
      <c r="AG63" s="13">
        <f>VLOOKUP(A63,'Données projet'!$A$61:$I$81,9,0)</f>
        <v>7.4</v>
      </c>
      <c r="AH63" s="13">
        <f t="array" ref="AH63">INDEX(AG:AG,MIN(IF(ISNUMBER(AG63:AG259),ROW(AG63:AG259),"")))</f>
        <v>7.4</v>
      </c>
      <c r="AI63" s="14">
        <f>IF('Données projet'!$A$62&gt;35,AI62+AH63-AQ62,IF(A63&lt;'Données projet'!$A$62,$AF$205^A63,IF(A63='Données projet'!$A$62,'Données projet'!$B$62,AI62+AH63-AQ62)))</f>
        <v>214.00000000000009</v>
      </c>
      <c r="AJ63" s="14">
        <f>AI63*VLOOKUP('Données projet'!$B$10,Paramètres!$A$1:$I$89,3,0)*VLOOKUP('Données projet'!$B$10,Paramètres!$A$1:$I$89,5,0)</f>
        <v>143.55120000000005</v>
      </c>
      <c r="AK63" s="14">
        <f t="shared" si="35"/>
        <v>37.109345732537925</v>
      </c>
      <c r="AL63" s="22">
        <f t="shared" si="4"/>
        <v>314.65045048417028</v>
      </c>
      <c r="AM63" s="62">
        <f t="shared" si="5"/>
        <v>575.90615681564782</v>
      </c>
      <c r="AN63" s="62">
        <f ca="1">AVERAGE(OFFSET($AM$3,0,0,'Données projet'!$E$10+1,1))-AVERAGE(OFFSET($H$3,0,0,'Données projet'!$E$10+1,1))</f>
        <v>312.88185844251097</v>
      </c>
      <c r="AO63" s="62">
        <f t="shared" si="36"/>
        <v>202.68317767036231</v>
      </c>
      <c r="AP63" s="16">
        <f>IF(ISNA(VLOOKUP(A63,'Données projet'!$A$61:$I$81,3,0)),0,VLOOKUP(A63,'Données projet'!$A$61:$I$81,3,0))</f>
        <v>8</v>
      </c>
      <c r="AQ63" s="16">
        <f>IF(ISNA(VLOOKUP(A63,'Données projet'!$A$61:$I$81,4,0)),0,VLOOKUP(A63,'Données projet'!$A$61:$I$81,4,0))</f>
        <v>21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1.0735128082471608</v>
      </c>
      <c r="AW63" s="23">
        <f>EXP(-LN(2)/2)*AW62+(1-EXP(-LN(2)/2))/(LN(2)/2)*AQ63*AT63*VLOOKUP('Données projet'!$B$10,Paramètres!$A$1:$I$89,3,0)*0.475*44/12</f>
        <v>3.1124796972374966E-4</v>
      </c>
      <c r="AX63" s="23">
        <f t="shared" si="6"/>
        <v>1.0738240562168846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195</v>
      </c>
      <c r="BB63" s="13">
        <f>VLOOKUP(A63,'Données projet'!$A$87:$I$107,9,0)</f>
        <v>4</v>
      </c>
      <c r="BC63" s="13">
        <f t="array" ref="BC63">INDEX(BB:BB,MIN(IF(ISNUMBER(BB63:BB259),ROW(BB63:BB259),"")))</f>
        <v>4</v>
      </c>
      <c r="BD63" s="13">
        <f>IF('Données projet'!$A$88&gt;35,BD62+BC63-BL62,IF(A63&lt;'Données projet'!$A$88,$BA$205^A63,IF(A63='Données projet'!$A$88,'Données projet'!$B$88,BD62+BC63-BL62)))</f>
        <v>194.99999999999994</v>
      </c>
      <c r="BE63" s="14">
        <f>BD63*VLOOKUP('Données projet'!$B$11,Paramètres!$A$1:$I$89,3,0)*VLOOKUP('Données projet'!$B$11,Paramètres!$A$1:$I$89,5,0)</f>
        <v>170.35199999999998</v>
      </c>
      <c r="BF63" s="14">
        <f t="shared" si="37"/>
        <v>43.168850382694451</v>
      </c>
      <c r="BG63" s="22">
        <f t="shared" si="7"/>
        <v>371.88214774985937</v>
      </c>
      <c r="BH63" s="62">
        <f t="shared" si="8"/>
        <v>633.13785408133685</v>
      </c>
      <c r="BI63" s="62">
        <f ca="1">AVERAGE(OFFSET($BH$3,0,0,'Données projet'!$E$11+1,1))-AVERAGE(OFFSET($H$3,0,0,'Données projet'!$E$11+1,1))</f>
        <v>287.22548699835653</v>
      </c>
      <c r="BJ63" s="62">
        <f t="shared" si="38"/>
        <v>276.01618888357268</v>
      </c>
      <c r="BK63" s="16">
        <f>IF(ISNA(VLOOKUP(A63,'Données projet'!$A$87:$I$107,3,0)),0,VLOOKUP(A63,'Données projet'!$A$87:$I$107,3,0))</f>
        <v>10</v>
      </c>
      <c r="BL63" s="16">
        <f>IF(ISNA(VLOOKUP(A63,'Données projet'!$A$87:$I$107,4,0)),0,VLOOKUP(A63,'Données projet'!$A$87:$I$107,4,0))</f>
        <v>9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3.081168955618546</v>
      </c>
      <c r="BR63" s="23">
        <f>EXP(-LN(2)/2)*BR62+(1-EXP(-LN(2)/2))/(LN(2)/2)*BL63*BO63*VLOOKUP('Données projet'!$B$11,Paramètres!$A$1:$I$89,3,0)*0.475*44/12</f>
        <v>3.9882245116888682E-4</v>
      </c>
      <c r="BS63" s="24">
        <f t="shared" si="9"/>
        <v>3.081567778069715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7.2</v>
      </c>
      <c r="N64" s="14">
        <f>IF('Données projet'!$A$36&gt;35,N63+M64-V63,IF(A64&lt;'Données projet'!$A$36,$K$205^A64,IF(A64='Données projet'!$A$36,'Données projet'!$B$36,N63+M64-V63)))</f>
        <v>200.20000000000007</v>
      </c>
      <c r="O64" s="14">
        <f>N64*VLOOKUP('Données projet'!$B$9,Paramètres!$A$1:$I$89,3,0)*VLOOKUP('Données projet'!$B$9,Paramètres!$A$1:$I$89,5,0)</f>
        <v>203.00280000000009</v>
      </c>
      <c r="P64" s="14">
        <f t="shared" si="33"/>
        <v>50.403518824343074</v>
      </c>
      <c r="Q64" s="22">
        <f t="shared" si="53"/>
        <v>441.34933861906433</v>
      </c>
      <c r="R64" s="62">
        <f t="shared" si="0"/>
        <v>703.16152006419361</v>
      </c>
      <c r="S64" s="62">
        <f ca="1">AVERAGE(OFFSET($R$3,0,0,'Données projet'!$E$9+1,1))-AVERAGE(OFFSET($H$3,0,0,'Données projet'!$E$9+1,1))</f>
        <v>446.90706503298787</v>
      </c>
      <c r="T64" s="62">
        <f t="shared" si="34"/>
        <v>275.54513370838777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1.2805705728940324</v>
      </c>
      <c r="AB64" s="23">
        <f>EXP(-LN(2)/2)*AB63+(1-EXP(-LN(2)/2))/(LN(2)/2)*V64*Y64*VLOOKUP('Données projet'!$B$9,Paramètres!$A$1:$I$89,3,0)*0.475*44/12</f>
        <v>3.0349018481777335E-4</v>
      </c>
      <c r="AC64" s="24">
        <f t="shared" si="3"/>
        <v>1.2808740630788502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7.2</v>
      </c>
      <c r="AI64" s="14">
        <f>IF('Données projet'!$A$62&gt;35,AI63+AH64-AQ63,IF(A64&lt;'Données projet'!$A$62,$AF$205^A64,IF(A64='Données projet'!$A$62,'Données projet'!$B$62,AI63+AH64-AQ63)))</f>
        <v>200.20000000000007</v>
      </c>
      <c r="AJ64" s="14">
        <f>AI64*VLOOKUP('Données projet'!$B$10,Paramètres!$A$1:$I$89,3,0)*VLOOKUP('Données projet'!$B$10,Paramètres!$A$1:$I$89,5,0)</f>
        <v>134.29416000000003</v>
      </c>
      <c r="AK64" s="14">
        <f t="shared" si="35"/>
        <v>34.98672910402766</v>
      </c>
      <c r="AL64" s="22">
        <f t="shared" si="4"/>
        <v>294.83088185618158</v>
      </c>
      <c r="AM64" s="62">
        <f t="shared" si="5"/>
        <v>556.64306330131092</v>
      </c>
      <c r="AN64" s="62">
        <f ca="1">AVERAGE(OFFSET($AM$3,0,0,'Données projet'!$E$10+1,1))-AVERAGE(OFFSET($H$3,0,0,'Données projet'!$E$10+1,1))</f>
        <v>312.88185844251097</v>
      </c>
      <c r="AO64" s="62">
        <f t="shared" si="36"/>
        <v>202.68317767036231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1.0441575440520572</v>
      </c>
      <c r="AW64" s="23">
        <f>EXP(-LN(2)/2)*AW63+(1-EXP(-LN(2)/2))/(LN(2)/2)*AQ64*AT64*VLOOKUP('Données projet'!$B$10,Paramètres!$A$1:$I$89,3,0)*0.475*44/12</f>
        <v>2.2008555002220862E-4</v>
      </c>
      <c r="AX64" s="23">
        <f t="shared" si="6"/>
        <v>1.0443776296020795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3.4</v>
      </c>
      <c r="BD64" s="13">
        <f>IF('Données projet'!$A$88&gt;35,BD63+BC64-BL63,IF(A64&lt;'Données projet'!$A$88,$BA$205^A64,IF(A64='Données projet'!$A$88,'Données projet'!$B$88,BD63+BC64-BL63)))</f>
        <v>189.39999999999995</v>
      </c>
      <c r="BE64" s="14">
        <f>BD64*VLOOKUP('Données projet'!$B$11,Paramètres!$A$1:$I$89,3,0)*VLOOKUP('Données projet'!$B$11,Paramètres!$A$1:$I$89,5,0)</f>
        <v>165.45983999999999</v>
      </c>
      <c r="BF64" s="14">
        <f t="shared" si="37"/>
        <v>42.071582323311688</v>
      </c>
      <c r="BG64" s="22">
        <f t="shared" si="7"/>
        <v>361.45056054643447</v>
      </c>
      <c r="BH64" s="62">
        <f t="shared" si="8"/>
        <v>623.26274199156387</v>
      </c>
      <c r="BI64" s="62">
        <f ca="1">AVERAGE(OFFSET($BH$3,0,0,'Données projet'!$E$11+1,1))-AVERAGE(OFFSET($H$3,0,0,'Données projet'!$E$11+1,1))</f>
        <v>287.22548699835653</v>
      </c>
      <c r="BJ64" s="62">
        <f t="shared" si="38"/>
        <v>276.01618888357268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2.9969142284955237</v>
      </c>
      <c r="BR64" s="23">
        <f>EXP(-LN(2)/2)*BR63+(1-EXP(-LN(2)/2))/(LN(2)/2)*BL64*BO64*VLOOKUP('Données projet'!$B$11,Paramètres!$A$1:$I$89,3,0)*0.475*44/12</f>
        <v>2.8201005971096059E-4</v>
      </c>
      <c r="BS64" s="24">
        <f t="shared" si="9"/>
        <v>2.9971962385552349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7.2</v>
      </c>
      <c r="N65" s="14">
        <f>IF('Données projet'!$A$36&gt;35,N64+M65-V64,IF(A65&lt;'Données projet'!$A$36,$K$205^A65,IF(A65='Données projet'!$A$36,'Données projet'!$B$36,N64+M65-V64)))</f>
        <v>207.40000000000006</v>
      </c>
      <c r="O65" s="14">
        <f>N65*VLOOKUP('Données projet'!$B$9,Paramètres!$A$1:$I$89,3,0)*VLOOKUP('Données projet'!$B$9,Paramètres!$A$1:$I$89,5,0)</f>
        <v>210.3036000000001</v>
      </c>
      <c r="P65" s="14">
        <f t="shared" si="33"/>
        <v>52.001924357524501</v>
      </c>
      <c r="Q65" s="22">
        <f t="shared" si="53"/>
        <v>456.84878825602203</v>
      </c>
      <c r="R65" s="62">
        <f t="shared" si="0"/>
        <v>719.2077912156733</v>
      </c>
      <c r="S65" s="62">
        <f ca="1">AVERAGE(OFFSET($R$3,0,0,'Données projet'!$E$9+1,1))-AVERAGE(OFFSET($H$3,0,0,'Données projet'!$E$9+1,1))</f>
        <v>446.90706503298787</v>
      </c>
      <c r="T65" s="62">
        <f t="shared" si="34"/>
        <v>275.54513370838777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1.2455533032359654</v>
      </c>
      <c r="AB65" s="23">
        <f>EXP(-LN(2)/2)*AB64+(1-EXP(-LN(2)/2))/(LN(2)/2)*V65*Y65*VLOOKUP('Données projet'!$B$9,Paramètres!$A$1:$I$89,3,0)*0.475*44/12</f>
        <v>2.1459996770820613E-4</v>
      </c>
      <c r="AC65" s="24">
        <f t="shared" si="3"/>
        <v>1.2457679032036735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7.2</v>
      </c>
      <c r="AI65" s="14">
        <f>IF('Données projet'!$A$62&gt;35,AI64+AH65-AQ64,IF(A65&lt;'Données projet'!$A$62,$AF$205^A65,IF(A65='Données projet'!$A$62,'Données projet'!$B$62,AI64+AH65-AQ64)))</f>
        <v>207.40000000000006</v>
      </c>
      <c r="AJ65" s="14">
        <f>AI65*VLOOKUP('Données projet'!$B$10,Paramètres!$A$1:$I$89,3,0)*VLOOKUP('Données projet'!$B$10,Paramètres!$A$1:$I$89,5,0)</f>
        <v>139.12392000000006</v>
      </c>
      <c r="AK65" s="14">
        <f t="shared" si="35"/>
        <v>36.096234604679083</v>
      </c>
      <c r="AL65" s="22">
        <f t="shared" si="4"/>
        <v>305.17510260314947</v>
      </c>
      <c r="AM65" s="62">
        <f t="shared" si="5"/>
        <v>567.53410556280073</v>
      </c>
      <c r="AN65" s="62">
        <f ca="1">AVERAGE(OFFSET($AM$3,0,0,'Données projet'!$E$10+1,1))-AVERAGE(OFFSET($H$3,0,0,'Données projet'!$E$10+1,1))</f>
        <v>312.88185844251097</v>
      </c>
      <c r="AO65" s="62">
        <f t="shared" si="36"/>
        <v>202.68317767036231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1.015605001100095</v>
      </c>
      <c r="AW65" s="23">
        <f>EXP(-LN(2)/2)*AW64+(1-EXP(-LN(2)/2))/(LN(2)/2)*AQ65*AT65*VLOOKUP('Données projet'!$B$10,Paramètres!$A$1:$I$89,3,0)*0.475*44/12</f>
        <v>1.5562398486187483E-4</v>
      </c>
      <c r="AX65" s="23">
        <f t="shared" si="6"/>
        <v>1.0157606250849569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3.4</v>
      </c>
      <c r="BD65" s="13">
        <f>IF('Données projet'!$A$88&gt;35,BD64+BC65-BL64,IF(A65&lt;'Données projet'!$A$88,$BA$205^A65,IF(A65='Données projet'!$A$88,'Données projet'!$B$88,BD64+BC65-BL64)))</f>
        <v>192.79999999999995</v>
      </c>
      <c r="BE65" s="14">
        <f>BD65*VLOOKUP('Données projet'!$B$11,Paramètres!$A$1:$I$89,3,0)*VLOOKUP('Données projet'!$B$11,Paramètres!$A$1:$I$89,5,0)</f>
        <v>168.43007999999998</v>
      </c>
      <c r="BF65" s="14">
        <f t="shared" si="37"/>
        <v>42.738224098484984</v>
      </c>
      <c r="BG65" s="22">
        <f t="shared" si="7"/>
        <v>367.78479630486135</v>
      </c>
      <c r="BH65" s="62">
        <f t="shared" si="8"/>
        <v>630.14379926451261</v>
      </c>
      <c r="BI65" s="62">
        <f ca="1">AVERAGE(OFFSET($BH$3,0,0,'Données projet'!$E$11+1,1))-AVERAGE(OFFSET($H$3,0,0,'Données projet'!$E$11+1,1))</f>
        <v>287.22548699835653</v>
      </c>
      <c r="BJ65" s="62">
        <f t="shared" si="38"/>
        <v>276.01618888357268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2.914963451316444</v>
      </c>
      <c r="BR65" s="23">
        <f>EXP(-LN(2)/2)*BR64+(1-EXP(-LN(2)/2))/(LN(2)/2)*BL65*BO65*VLOOKUP('Données projet'!$B$11,Paramètres!$A$1:$I$89,3,0)*0.475*44/12</f>
        <v>1.9941122558444341E-4</v>
      </c>
      <c r="BS65" s="24">
        <f t="shared" si="9"/>
        <v>2.9151628625420285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7.2</v>
      </c>
      <c r="N66" s="14">
        <f>IF('Données projet'!$A$36&gt;35,N65+M66-V65,IF(A66&lt;'Données projet'!$A$36,$K$205^A66,IF(A66='Données projet'!$A$36,'Données projet'!$B$36,N65+M66-V65)))</f>
        <v>214.60000000000005</v>
      </c>
      <c r="O66" s="14">
        <f>N66*VLOOKUP('Données projet'!$B$9,Paramètres!$A$1:$I$89,3,0)*VLOOKUP('Données projet'!$B$9,Paramètres!$A$1:$I$89,5,0)</f>
        <v>217.60440000000006</v>
      </c>
      <c r="P66" s="14">
        <f t="shared" si="33"/>
        <v>53.593882578706406</v>
      </c>
      <c r="Q66" s="22">
        <f t="shared" si="53"/>
        <v>472.33700882458038</v>
      </c>
      <c r="R66" s="62">
        <f t="shared" si="0"/>
        <v>735.23334716798649</v>
      </c>
      <c r="S66" s="62">
        <f ca="1">AVERAGE(OFFSET($R$3,0,0,'Données projet'!$E$9+1,1))-AVERAGE(OFFSET($H$3,0,0,'Données projet'!$E$9+1,1))</f>
        <v>446.90706503298787</v>
      </c>
      <c r="T66" s="62">
        <f t="shared" si="34"/>
        <v>275.54513370838777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1.2114935826581765</v>
      </c>
      <c r="AB66" s="23">
        <f>EXP(-LN(2)/2)*AB65+(1-EXP(-LN(2)/2))/(LN(2)/2)*V66*Y66*VLOOKUP('Données projet'!$B$9,Paramètres!$A$1:$I$89,3,0)*0.475*44/12</f>
        <v>1.5174509240888667E-4</v>
      </c>
      <c r="AC66" s="24">
        <f t="shared" si="3"/>
        <v>1.2116453277505854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7.2</v>
      </c>
      <c r="AI66" s="14">
        <f>IF('Données projet'!$A$62&gt;35,AI65+AH66-AQ65,IF(A66&lt;'Données projet'!$A$62,$AF$205^A66,IF(A66='Données projet'!$A$62,'Données projet'!$B$62,AI65+AH66-AQ65)))</f>
        <v>214.60000000000005</v>
      </c>
      <c r="AJ66" s="14">
        <f>AI66*VLOOKUP('Données projet'!$B$10,Paramètres!$A$1:$I$89,3,0)*VLOOKUP('Données projet'!$B$10,Paramètres!$A$1:$I$89,5,0)</f>
        <v>143.95368000000005</v>
      </c>
      <c r="AK66" s="14">
        <f t="shared" si="35"/>
        <v>37.201264815437355</v>
      </c>
      <c r="AL66" s="22">
        <f t="shared" si="4"/>
        <v>315.51152888688677</v>
      </c>
      <c r="AM66" s="62">
        <f t="shared" si="5"/>
        <v>578.40786723029282</v>
      </c>
      <c r="AN66" s="62">
        <f ca="1">AVERAGE(OFFSET($AM$3,0,0,'Données projet'!$E$10+1,1))-AVERAGE(OFFSET($H$3,0,0,'Données projet'!$E$10+1,1))</f>
        <v>312.88185844251097</v>
      </c>
      <c r="AO66" s="62">
        <f t="shared" si="36"/>
        <v>202.68317767036231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0.98783322893666714</v>
      </c>
      <c r="AW66" s="23">
        <f>EXP(-LN(2)/2)*AW65+(1-EXP(-LN(2)/2))/(LN(2)/2)*AQ66*AT66*VLOOKUP('Données projet'!$B$10,Paramètres!$A$1:$I$89,3,0)*0.475*44/12</f>
        <v>1.1004277501110431E-4</v>
      </c>
      <c r="AX66" s="23">
        <f t="shared" si="6"/>
        <v>0.98794327171167828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3.4</v>
      </c>
      <c r="BD66" s="13">
        <f>IF('Données projet'!$A$88&gt;35,BD65+BC66-BL65,IF(A66&lt;'Données projet'!$A$88,$BA$205^A66,IF(A66='Données projet'!$A$88,'Données projet'!$B$88,BD65+BC66-BL65)))</f>
        <v>196.19999999999996</v>
      </c>
      <c r="BE66" s="14">
        <f>BD66*VLOOKUP('Données projet'!$B$11,Paramètres!$A$1:$I$89,3,0)*VLOOKUP('Données projet'!$B$11,Paramètres!$A$1:$I$89,5,0)</f>
        <v>171.40031999999999</v>
      </c>
      <c r="BF66" s="14">
        <f t="shared" si="37"/>
        <v>43.403498788621114</v>
      </c>
      <c r="BG66" s="22">
        <f t="shared" si="7"/>
        <v>374.11665105684841</v>
      </c>
      <c r="BH66" s="62">
        <f t="shared" si="8"/>
        <v>637.01298940025458</v>
      </c>
      <c r="BI66" s="62">
        <f ca="1">AVERAGE(OFFSET($BH$3,0,0,'Données projet'!$E$11+1,1))-AVERAGE(OFFSET($H$3,0,0,'Données projet'!$E$11+1,1))</f>
        <v>287.22548699835653</v>
      </c>
      <c r="BJ66" s="62">
        <f t="shared" si="38"/>
        <v>276.01618888357268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2.83525362244893</v>
      </c>
      <c r="BR66" s="23">
        <f>EXP(-LN(2)/2)*BR65+(1-EXP(-LN(2)/2))/(LN(2)/2)*BL66*BO66*VLOOKUP('Données projet'!$B$11,Paramètres!$A$1:$I$89,3,0)*0.475*44/12</f>
        <v>1.4100502985548029E-4</v>
      </c>
      <c r="BS66" s="24">
        <f t="shared" si="9"/>
        <v>2.8353946274787853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7.2</v>
      </c>
      <c r="N67" s="14">
        <f>IF('Données projet'!$A$36&gt;35,N66+M67-V66,IF(A67&lt;'Données projet'!$A$36,$K$205^A67,IF(A67='Données projet'!$A$36,'Données projet'!$B$36,N66+M67-V66)))</f>
        <v>221.80000000000004</v>
      </c>
      <c r="O67" s="14">
        <f>N67*VLOOKUP('Données projet'!$B$9,Paramètres!$A$1:$I$89,3,0)*VLOOKUP('Données projet'!$B$9,Paramètres!$A$1:$I$89,5,0)</f>
        <v>224.90520000000006</v>
      </c>
      <c r="P67" s="14">
        <f t="shared" si="33"/>
        <v>55.17963460003309</v>
      </c>
      <c r="Q67" s="22">
        <f t="shared" ref="Q67:Q98" si="54">(O67+P67)*0.475*44/12</f>
        <v>487.81442026172436</v>
      </c>
      <c r="R67" s="62">
        <f t="shared" ref="R67:R130" si="55">Q67+(I67+J67)*44/12</f>
        <v>751.23877242127912</v>
      </c>
      <c r="S67" s="62">
        <f ca="1">AVERAGE(OFFSET($R$3,0,0,'Données projet'!$E$9+1,1))-AVERAGE(OFFSET($H$3,0,0,'Données projet'!$E$9+1,1))</f>
        <v>446.90706503298787</v>
      </c>
      <c r="T67" s="62">
        <f t="shared" si="34"/>
        <v>275.54513370838777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1.1783652269307101</v>
      </c>
      <c r="AB67" s="23">
        <f>EXP(-LN(2)/2)*AB66+(1-EXP(-LN(2)/2))/(LN(2)/2)*V67*Y67*VLOOKUP('Données projet'!$B$9,Paramètres!$A$1:$I$89,3,0)*0.475*44/12</f>
        <v>1.0729998385410306E-4</v>
      </c>
      <c r="AC67" s="24">
        <f t="shared" si="3"/>
        <v>1.1784725269145642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7.2</v>
      </c>
      <c r="AI67" s="14">
        <f>IF('Données projet'!$A$62&gt;35,AI66+AH67-AQ66,IF(A67&lt;'Données projet'!$A$62,$AF$205^A67,IF(A67='Données projet'!$A$62,'Données projet'!$B$62,AI66+AH67-AQ66)))</f>
        <v>221.80000000000004</v>
      </c>
      <c r="AJ67" s="14">
        <f>AI67*VLOOKUP('Données projet'!$B$10,Paramètres!$A$1:$I$89,3,0)*VLOOKUP('Données projet'!$B$10,Paramètres!$A$1:$I$89,5,0)</f>
        <v>148.78344000000001</v>
      </c>
      <c r="AK67" s="14">
        <f t="shared" si="35"/>
        <v>38.301987100118879</v>
      </c>
      <c r="AL67" s="22">
        <f t="shared" si="4"/>
        <v>325.84045219937371</v>
      </c>
      <c r="AM67" s="62">
        <f t="shared" si="5"/>
        <v>589.26480435892847</v>
      </c>
      <c r="AN67" s="62">
        <f ca="1">AVERAGE(OFFSET($AM$3,0,0,'Données projet'!$E$10+1,1))-AVERAGE(OFFSET($H$3,0,0,'Données projet'!$E$10+1,1))</f>
        <v>312.88185844251097</v>
      </c>
      <c r="AO67" s="62">
        <f t="shared" si="36"/>
        <v>202.68317767036231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0.96082087734350219</v>
      </c>
      <c r="AW67" s="23">
        <f>EXP(-LN(2)/2)*AW66+(1-EXP(-LN(2)/2))/(LN(2)/2)*AQ67*AT67*VLOOKUP('Données projet'!$B$10,Paramètres!$A$1:$I$89,3,0)*0.475*44/12</f>
        <v>7.7811992430937415E-5</v>
      </c>
      <c r="AX67" s="23">
        <f t="shared" si="6"/>
        <v>0.96089868933593314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3.4</v>
      </c>
      <c r="BD67" s="13">
        <f>IF('Données projet'!$A$88&gt;35,BD66+BC67-BL66,IF(A67&lt;'Données projet'!$A$88,$BA$205^A67,IF(A67='Données projet'!$A$88,'Données projet'!$B$88,BD66+BC67-BL66)))</f>
        <v>199.59999999999997</v>
      </c>
      <c r="BE67" s="14">
        <f>BD67*VLOOKUP('Données projet'!$B$11,Paramètres!$A$1:$I$89,3,0)*VLOOKUP('Données projet'!$B$11,Paramètres!$A$1:$I$89,5,0)</f>
        <v>174.37056000000001</v>
      </c>
      <c r="BF67" s="14">
        <f t="shared" si="37"/>
        <v>44.06743281787746</v>
      </c>
      <c r="BG67" s="22">
        <f t="shared" si="7"/>
        <v>380.4461708244699</v>
      </c>
      <c r="BH67" s="62">
        <f t="shared" si="8"/>
        <v>643.87052298402466</v>
      </c>
      <c r="BI67" s="62">
        <f ca="1">AVERAGE(OFFSET($BH$3,0,0,'Données projet'!$E$11+1,1))-AVERAGE(OFFSET($H$3,0,0,'Données projet'!$E$11+1,1))</f>
        <v>287.22548699835653</v>
      </c>
      <c r="BJ67" s="62">
        <f t="shared" si="38"/>
        <v>276.01618888357268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2.7577234630435559</v>
      </c>
      <c r="BR67" s="23">
        <f>EXP(-LN(2)/2)*BR66+(1-EXP(-LN(2)/2))/(LN(2)/2)*BL67*BO67*VLOOKUP('Données projet'!$B$11,Paramètres!$A$1:$I$89,3,0)*0.475*44/12</f>
        <v>9.9705612792221705E-5</v>
      </c>
      <c r="BS67" s="24">
        <f t="shared" si="9"/>
        <v>2.7578231686563481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229</v>
      </c>
      <c r="L68" s="13">
        <f>VLOOKUP(A68,'Données projet'!$A$35:$I$55,9,0)</f>
        <v>7.2</v>
      </c>
      <c r="M68" s="13">
        <f t="array" ref="M68">INDEX(L:L,MIN(IF(ISNUMBER(L68:L264),ROW(L68:L264),"")))</f>
        <v>7.2</v>
      </c>
      <c r="N68" s="14">
        <f>IF('Données projet'!$A$36&gt;35,N67+M68-V67,IF(A68&lt;'Données projet'!$A$36,$K$205^A68,IF(A68='Données projet'!$A$36,'Données projet'!$B$36,N67+M68-V67)))</f>
        <v>229.00000000000003</v>
      </c>
      <c r="O68" s="14">
        <f>N68*VLOOKUP('Données projet'!$B$9,Paramètres!$A$1:$I$89,3,0)*VLOOKUP('Données projet'!$B$9,Paramètres!$A$1:$I$89,5,0)</f>
        <v>232.20600000000005</v>
      </c>
      <c r="P68" s="14">
        <f t="shared" si="33"/>
        <v>56.759404991217572</v>
      </c>
      <c r="Q68" s="22">
        <f t="shared" si="54"/>
        <v>503.28141369303734</v>
      </c>
      <c r="R68" s="62">
        <f t="shared" si="55"/>
        <v>767.22461980949254</v>
      </c>
      <c r="S68" s="62">
        <f ca="1">AVERAGE(OFFSET($R$3,0,0,'Données projet'!$E$9+1,1))-AVERAGE(OFFSET($H$3,0,0,'Données projet'!$E$9+1,1))</f>
        <v>446.90706503298787</v>
      </c>
      <c r="T68" s="62">
        <f t="shared" si="34"/>
        <v>275.54513370838777</v>
      </c>
      <c r="U68" s="16">
        <f>IF(ISNA(VLOOKUP(A68,'Données projet'!$A$35:$I$55,3,0)),0,VLOOKUP(A68,'Données projet'!$A$35:$I$55,3,0))</f>
        <v>9</v>
      </c>
      <c r="V68" s="16">
        <f>IF(ISNA(VLOOKUP(A68,'Données projet'!$A$35:$I$55,4,0)),0,VLOOKUP(A68,'Données projet'!$A$35:$I$55,4,0))</f>
        <v>21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1.1461427678327558</v>
      </c>
      <c r="AB68" s="23">
        <f>EXP(-LN(2)/2)*AB67+(1-EXP(-LN(2)/2))/(LN(2)/2)*V68*Y68*VLOOKUP('Données projet'!$B$9,Paramètres!$A$1:$I$89,3,0)*0.475*44/12</f>
        <v>7.5872546204443336E-5</v>
      </c>
      <c r="AC68" s="24">
        <f t="shared" ref="AC68:AC131" si="57">SUM(Z68:AB68)</f>
        <v>1.1462186403789603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229</v>
      </c>
      <c r="AG68" s="13">
        <f>VLOOKUP(A68,'Données projet'!$A$61:$I$81,9,0)</f>
        <v>7.2</v>
      </c>
      <c r="AH68" s="13">
        <f t="array" ref="AH68">INDEX(AG:AG,MIN(IF(ISNUMBER(AG68:AG264),ROW(AG68:AG264),"")))</f>
        <v>7.2</v>
      </c>
      <c r="AI68" s="14">
        <f>IF('Données projet'!$A$62&gt;35,AI67+AH68-AQ67,IF(A68&lt;'Données projet'!$A$62,$AF$205^A68,IF(A68='Données projet'!$A$62,'Données projet'!$B$62,AI67+AH68-AQ67)))</f>
        <v>229.00000000000003</v>
      </c>
      <c r="AJ68" s="14">
        <f>AI68*VLOOKUP('Données projet'!$B$10,Paramètres!$A$1:$I$89,3,0)*VLOOKUP('Données projet'!$B$10,Paramètres!$A$1:$I$89,5,0)</f>
        <v>153.61320000000003</v>
      </c>
      <c r="AK68" s="14">
        <f t="shared" si="35"/>
        <v>39.398557339898318</v>
      </c>
      <c r="AL68" s="22">
        <f t="shared" ref="AL68:AL131" si="58">(AJ68+AK68)*0.475*44/12</f>
        <v>336.16214403365626</v>
      </c>
      <c r="AM68" s="62">
        <f t="shared" ref="AM68:AM131" si="59">AL68+(AD68+AE68)*44/12</f>
        <v>600.10535015011146</v>
      </c>
      <c r="AN68" s="62">
        <f ca="1">AVERAGE(OFFSET($AM$3,0,0,'Données projet'!$E$10+1,1))-AVERAGE(OFFSET($H$3,0,0,'Données projet'!$E$10+1,1))</f>
        <v>312.88185844251097</v>
      </c>
      <c r="AO68" s="62">
        <f t="shared" si="36"/>
        <v>202.68317767036231</v>
      </c>
      <c r="AP68" s="16">
        <f>IF(ISNA(VLOOKUP(A68,'Données projet'!$A$61:$I$81,3,0)),0,VLOOKUP(A68,'Données projet'!$A$61:$I$81,3,0))</f>
        <v>9</v>
      </c>
      <c r="AQ68" s="16">
        <f>IF(ISNA(VLOOKUP(A68,'Données projet'!$A$61:$I$81,4,0)),0,VLOOKUP(A68,'Données projet'!$A$61:$I$81,4,0))</f>
        <v>21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0.93454717992517011</v>
      </c>
      <c r="AW68" s="23">
        <f>EXP(-LN(2)/2)*AW67+(1-EXP(-LN(2)/2))/(LN(2)/2)*AQ68*AT68*VLOOKUP('Données projet'!$B$10,Paramètres!$A$1:$I$89,3,0)*0.475*44/12</f>
        <v>5.5021387505552156E-5</v>
      </c>
      <c r="AX68" s="23">
        <f t="shared" ref="AX68:AX131" si="60">SUM(AU68:AW68)</f>
        <v>0.93460220131267568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203</v>
      </c>
      <c r="BB68" s="13">
        <f>VLOOKUP(A68,'Données projet'!$A$87:$I$107,9,0)</f>
        <v>3.4</v>
      </c>
      <c r="BC68" s="13">
        <f t="array" ref="BC68">INDEX(BB:BB,MIN(IF(ISNUMBER(BB68:BB264),ROW(BB68:BB264),"")))</f>
        <v>3.4</v>
      </c>
      <c r="BD68" s="13">
        <f>IF('Données projet'!$A$88&gt;35,BD67+BC68-BL67,IF(A68&lt;'Données projet'!$A$88,$BA$205^A68,IF(A68='Données projet'!$A$88,'Données projet'!$B$88,BD67+BC68-BL67)))</f>
        <v>202.99999999999997</v>
      </c>
      <c r="BE68" s="14">
        <f>BD68*VLOOKUP('Données projet'!$B$11,Paramètres!$A$1:$I$89,3,0)*VLOOKUP('Données projet'!$B$11,Paramètres!$A$1:$I$89,5,0)</f>
        <v>177.3408</v>
      </c>
      <c r="BF68" s="14">
        <f t="shared" si="37"/>
        <v>44.730051658603102</v>
      </c>
      <c r="BG68" s="22">
        <f t="shared" ref="BG68:BG131" si="61">(BE68+BF68)*0.475*44/12</f>
        <v>386.77339997206701</v>
      </c>
      <c r="BH68" s="62">
        <f t="shared" ref="BH68:BH131" si="62">BG68+(AY68+AZ68)*44/12</f>
        <v>650.71660608852221</v>
      </c>
      <c r="BI68" s="62">
        <f ca="1">AVERAGE(OFFSET($BH$3,0,0,'Données projet'!$E$11+1,1))-AVERAGE(OFFSET($H$3,0,0,'Données projet'!$E$11+1,1))</f>
        <v>287.22548699835653</v>
      </c>
      <c r="BJ68" s="62">
        <f t="shared" si="38"/>
        <v>276.01618888357268</v>
      </c>
      <c r="BK68" s="16">
        <f>IF(ISNA(VLOOKUP(A68,'Données projet'!$A$87:$I$107,3,0)),0,VLOOKUP(A68,'Données projet'!$A$87:$I$107,3,0))</f>
        <v>11</v>
      </c>
      <c r="BL68" s="16">
        <f>IF(ISNA(VLOOKUP(A68,'Données projet'!$A$87:$I$107,4,0)),0,VLOOKUP(A68,'Données projet'!$A$87:$I$107,4,0))</f>
        <v>8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2.6823133699242558</v>
      </c>
      <c r="BR68" s="23">
        <f>EXP(-LN(2)/2)*BR67+(1-EXP(-LN(2)/2))/(LN(2)/2)*BL68*BO68*VLOOKUP('Données projet'!$B$11,Paramètres!$A$1:$I$89,3,0)*0.475*44/12</f>
        <v>7.0502514927740147E-5</v>
      </c>
      <c r="BS68" s="24">
        <f t="shared" ref="BS68:BS131" si="63">SUM(BP68:BR68)</f>
        <v>2.6823838724391837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6.8</v>
      </c>
      <c r="N69" s="14">
        <f>IF('Données projet'!$A$36&gt;35,N68+M69-V68,IF(A69&lt;'Données projet'!$A$36,$K$205^A69,IF(A69='Données projet'!$A$36,'Données projet'!$B$36,N68+M69-V68)))</f>
        <v>214.80000000000004</v>
      </c>
      <c r="O69" s="14">
        <f>N69*VLOOKUP('Données projet'!$B$9,Paramètres!$A$1:$I$89,3,0)*VLOOKUP('Données projet'!$B$9,Paramètres!$A$1:$I$89,5,0)</f>
        <v>217.80720000000005</v>
      </c>
      <c r="P69" s="14">
        <f t="shared" ref="P69:P132" si="87">EXP(-1.0587+0.8836*LN(O69)+0.284)</f>
        <v>53.638013973813976</v>
      </c>
      <c r="Q69" s="22">
        <f t="shared" si="54"/>
        <v>472.76708100439265</v>
      </c>
      <c r="R69" s="62">
        <f t="shared" si="55"/>
        <v>737.22014012157979</v>
      </c>
      <c r="S69" s="62">
        <f ca="1">AVERAGE(OFFSET($R$3,0,0,'Données projet'!$E$9+1,1))-AVERAGE(OFFSET($H$3,0,0,'Données projet'!$E$9+1,1))</f>
        <v>446.90706503298787</v>
      </c>
      <c r="T69" s="62">
        <f t="shared" ref="T69:T132" si="88">$T$3</f>
        <v>275.54513370838777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1.1148014335733405</v>
      </c>
      <c r="AB69" s="23">
        <f>EXP(-LN(2)/2)*AB68+(1-EXP(-LN(2)/2))/(LN(2)/2)*V69*Y69*VLOOKUP('Données projet'!$B$9,Paramètres!$A$1:$I$89,3,0)*0.475*44/12</f>
        <v>5.3649991927051531E-5</v>
      </c>
      <c r="AC69" s="24">
        <f t="shared" si="57"/>
        <v>1.1148550835652675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6.8</v>
      </c>
      <c r="AI69" s="14">
        <f>IF('Données projet'!$A$62&gt;35,AI68+AH69-AQ68,IF(A69&lt;'Données projet'!$A$62,$AF$205^A69,IF(A69='Données projet'!$A$62,'Données projet'!$B$62,AI68+AH69-AQ68)))</f>
        <v>214.80000000000004</v>
      </c>
      <c r="AJ69" s="14">
        <f>AI69*VLOOKUP('Données projet'!$B$10,Paramètres!$A$1:$I$89,3,0)*VLOOKUP('Données projet'!$B$10,Paramètres!$A$1:$I$89,5,0)</f>
        <v>144.08784000000003</v>
      </c>
      <c r="AK69" s="14">
        <f t="shared" ref="AK69:AK132" si="89">EXP(-1.0587+0.8836*LN(AJ69)+0.284)</f>
        <v>37.231897858558654</v>
      </c>
      <c r="AL69" s="22">
        <f t="shared" si="58"/>
        <v>315.79854343698963</v>
      </c>
      <c r="AM69" s="62">
        <f t="shared" si="59"/>
        <v>580.25160255417677</v>
      </c>
      <c r="AN69" s="62">
        <f ca="1">AVERAGE(OFFSET($AM$3,0,0,'Données projet'!$E$10+1,1))-AVERAGE(OFFSET($H$3,0,0,'Données projet'!$E$10+1,1))</f>
        <v>312.88185844251097</v>
      </c>
      <c r="AO69" s="62">
        <f t="shared" ref="AO69:AO132" si="90">$AO$3</f>
        <v>202.68317767036231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0.90899193814441603</v>
      </c>
      <c r="AW69" s="23">
        <f>EXP(-LN(2)/2)*AW68+(1-EXP(-LN(2)/2))/(LN(2)/2)*AQ69*AT69*VLOOKUP('Données projet'!$B$10,Paramètres!$A$1:$I$89,3,0)*0.475*44/12</f>
        <v>3.8905996215468708E-5</v>
      </c>
      <c r="AX69" s="23">
        <f t="shared" si="60"/>
        <v>0.90903084414063151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3</v>
      </c>
      <c r="BD69" s="13">
        <f>IF('Données projet'!$A$88&gt;35,BD68+BC69-BL68,IF(A69&lt;'Données projet'!$A$88,$BA$205^A69,IF(A69='Données projet'!$A$88,'Données projet'!$B$88,BD68+BC69-BL68)))</f>
        <v>197.99999999999997</v>
      </c>
      <c r="BE69" s="14">
        <f>BD69*VLOOKUP('Données projet'!$B$11,Paramètres!$A$1:$I$89,3,0)*VLOOKUP('Données projet'!$B$11,Paramètres!$A$1:$I$89,5,0)</f>
        <v>172.97280000000001</v>
      </c>
      <c r="BF69" s="14">
        <f t="shared" ref="BF69:BF132" si="91">EXP(-1.0587+0.8836*LN(BE69)+0.284)</f>
        <v>43.75515863819728</v>
      </c>
      <c r="BG69" s="22">
        <f t="shared" si="61"/>
        <v>377.46786129486026</v>
      </c>
      <c r="BH69" s="62">
        <f t="shared" si="62"/>
        <v>641.92092041204728</v>
      </c>
      <c r="BI69" s="62">
        <f ca="1">AVERAGE(OFFSET($BH$3,0,0,'Données projet'!$E$11+1,1))-AVERAGE(OFFSET($H$3,0,0,'Données projet'!$E$11+1,1))</f>
        <v>287.22548699835653</v>
      </c>
      <c r="BJ69" s="62">
        <f t="shared" ref="BJ69:BJ132" si="92">$BJ$3</f>
        <v>276.01618888357268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2.6089653697669473</v>
      </c>
      <c r="BR69" s="23">
        <f>EXP(-LN(2)/2)*BR68+(1-EXP(-LN(2)/2))/(LN(2)/2)*BL69*BO69*VLOOKUP('Données projet'!$B$11,Paramètres!$A$1:$I$89,3,0)*0.475*44/12</f>
        <v>4.9852806396110853E-5</v>
      </c>
      <c r="BS69" s="24">
        <f t="shared" si="63"/>
        <v>2.6090152225733432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6.8</v>
      </c>
      <c r="N70" s="14">
        <f>IF('Données projet'!$A$36&gt;35,N69+M70-V69,IF(A70&lt;'Données projet'!$A$36,$K$205^A70,IF(A70='Données projet'!$A$36,'Données projet'!$B$36,N69+M70-V69)))</f>
        <v>221.60000000000005</v>
      </c>
      <c r="O70" s="14">
        <f>N70*VLOOKUP('Données projet'!$B$9,Paramètres!$A$1:$I$89,3,0)*VLOOKUP('Données projet'!$B$9,Paramètres!$A$1:$I$89,5,0)</f>
        <v>224.7024000000001</v>
      </c>
      <c r="P70" s="14">
        <f t="shared" si="87"/>
        <v>55.135667706678312</v>
      </c>
      <c r="Q70" s="22">
        <f t="shared" si="54"/>
        <v>487.38463458913157</v>
      </c>
      <c r="R70" s="62">
        <f t="shared" si="55"/>
        <v>752.33870189734853</v>
      </c>
      <c r="S70" s="62">
        <f ca="1">AVERAGE(OFFSET($R$3,0,0,'Données projet'!$E$9+1,1))-AVERAGE(OFFSET($H$3,0,0,'Données projet'!$E$9+1,1))</f>
        <v>446.90706503298787</v>
      </c>
      <c r="T70" s="62">
        <f t="shared" si="88"/>
        <v>275.54513370838777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1.0843171297474181</v>
      </c>
      <c r="AB70" s="23">
        <f>EXP(-LN(2)/2)*AB69+(1-EXP(-LN(2)/2))/(LN(2)/2)*V70*Y70*VLOOKUP('Données projet'!$B$9,Paramètres!$A$1:$I$89,3,0)*0.475*44/12</f>
        <v>3.7936273102221668E-5</v>
      </c>
      <c r="AC70" s="24">
        <f t="shared" si="57"/>
        <v>1.0843550660205203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6.8</v>
      </c>
      <c r="AI70" s="14">
        <f>IF('Données projet'!$A$62&gt;35,AI69+AH70-AQ69,IF(A70&lt;'Données projet'!$A$62,$AF$205^A70,IF(A70='Données projet'!$A$62,'Données projet'!$B$62,AI69+AH70-AQ69)))</f>
        <v>221.60000000000005</v>
      </c>
      <c r="AJ70" s="14">
        <f>AI70*VLOOKUP('Données projet'!$B$10,Paramètres!$A$1:$I$89,3,0)*VLOOKUP('Données projet'!$B$10,Paramètres!$A$1:$I$89,5,0)</f>
        <v>148.64928000000003</v>
      </c>
      <c r="AK70" s="14">
        <f t="shared" si="89"/>
        <v>38.271468243038484</v>
      </c>
      <c r="AL70" s="22">
        <f t="shared" si="58"/>
        <v>325.55363652329214</v>
      </c>
      <c r="AM70" s="62">
        <f t="shared" si="59"/>
        <v>590.50770383150905</v>
      </c>
      <c r="AN70" s="62">
        <f ca="1">AVERAGE(OFFSET($AM$3,0,0,'Données projet'!$E$10+1,1))-AVERAGE(OFFSET($H$3,0,0,'Données projet'!$E$10+1,1))</f>
        <v>312.88185844251097</v>
      </c>
      <c r="AO70" s="62">
        <f t="shared" si="90"/>
        <v>202.68317767036231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0.88413550579404843</v>
      </c>
      <c r="AW70" s="23">
        <f>EXP(-LN(2)/2)*AW69+(1-EXP(-LN(2)/2))/(LN(2)/2)*AQ70*AT70*VLOOKUP('Données projet'!$B$10,Paramètres!$A$1:$I$89,3,0)*0.475*44/12</f>
        <v>2.7510693752776078E-5</v>
      </c>
      <c r="AX70" s="23">
        <f t="shared" si="60"/>
        <v>0.88416301648780116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3</v>
      </c>
      <c r="BD70" s="13">
        <f>IF('Données projet'!$A$88&gt;35,BD69+BC70-BL69,IF(A70&lt;'Données projet'!$A$88,$BA$205^A70,IF(A70='Données projet'!$A$88,'Données projet'!$B$88,BD69+BC70-BL69)))</f>
        <v>200.99999999999997</v>
      </c>
      <c r="BE70" s="14">
        <f>BD70*VLOOKUP('Données projet'!$B$11,Paramètres!$A$1:$I$89,3,0)*VLOOKUP('Données projet'!$B$11,Paramètres!$A$1:$I$89,5,0)</f>
        <v>175.59359999999998</v>
      </c>
      <c r="BF70" s="14">
        <f t="shared" si="91"/>
        <v>44.340433728638573</v>
      </c>
      <c r="BG70" s="22">
        <f t="shared" si="61"/>
        <v>383.05177541071208</v>
      </c>
      <c r="BH70" s="62">
        <f t="shared" si="62"/>
        <v>648.00584271892899</v>
      </c>
      <c r="BI70" s="62">
        <f ca="1">AVERAGE(OFFSET($BH$3,0,0,'Données projet'!$E$11+1,1))-AVERAGE(OFFSET($H$3,0,0,'Données projet'!$E$11+1,1))</f>
        <v>287.22548699835653</v>
      </c>
      <c r="BJ70" s="62">
        <f t="shared" si="92"/>
        <v>276.01618888357268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2.5376230745311443</v>
      </c>
      <c r="BR70" s="23">
        <f>EXP(-LN(2)/2)*BR69+(1-EXP(-LN(2)/2))/(LN(2)/2)*BL70*BO70*VLOOKUP('Données projet'!$B$11,Paramètres!$A$1:$I$89,3,0)*0.475*44/12</f>
        <v>3.5251257463870073E-5</v>
      </c>
      <c r="BS70" s="24">
        <f t="shared" si="63"/>
        <v>2.5376583257886081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6.8</v>
      </c>
      <c r="N71" s="14">
        <f>IF('Données projet'!$A$36&gt;35,N70+M71-V70,IF(A71&lt;'Données projet'!$A$36,$K$205^A71,IF(A71='Données projet'!$A$36,'Données projet'!$B$36,N70+M71-V70)))</f>
        <v>228.40000000000006</v>
      </c>
      <c r="O71" s="14">
        <f>N71*VLOOKUP('Données projet'!$B$9,Paramètres!$A$1:$I$89,3,0)*VLOOKUP('Données projet'!$B$9,Paramètres!$A$1:$I$89,5,0)</f>
        <v>231.59760000000006</v>
      </c>
      <c r="P71" s="14">
        <f t="shared" si="87"/>
        <v>56.627980714948151</v>
      </c>
      <c r="Q71" s="22">
        <f t="shared" si="54"/>
        <v>501.99288641186803</v>
      </c>
      <c r="R71" s="62">
        <f t="shared" si="55"/>
        <v>767.43927053908692</v>
      </c>
      <c r="S71" s="62">
        <f ca="1">AVERAGE(OFFSET($R$3,0,0,'Données projet'!$E$9+1,1))-AVERAGE(OFFSET($H$3,0,0,'Données projet'!$E$9+1,1))</f>
        <v>446.90706503298787</v>
      </c>
      <c r="T71" s="62">
        <f t="shared" si="88"/>
        <v>275.54513370838777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1.0546664208127154</v>
      </c>
      <c r="AB71" s="23">
        <f>EXP(-LN(2)/2)*AB70+(1-EXP(-LN(2)/2))/(LN(2)/2)*V71*Y71*VLOOKUP('Données projet'!$B$9,Paramètres!$A$1:$I$89,3,0)*0.475*44/12</f>
        <v>2.6824995963525766E-5</v>
      </c>
      <c r="AC71" s="24">
        <f t="shared" si="57"/>
        <v>1.0546932458086791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6.8</v>
      </c>
      <c r="AI71" s="14">
        <f>IF('Données projet'!$A$62&gt;35,AI70+AH71-AQ70,IF(A71&lt;'Données projet'!$A$62,$AF$205^A71,IF(A71='Données projet'!$A$62,'Données projet'!$B$62,AI70+AH71-AQ70)))</f>
        <v>228.40000000000006</v>
      </c>
      <c r="AJ71" s="14">
        <f>AI71*VLOOKUP('Données projet'!$B$10,Paramètres!$A$1:$I$89,3,0)*VLOOKUP('Données projet'!$B$10,Paramètres!$A$1:$I$89,5,0)</f>
        <v>153.21072000000007</v>
      </c>
      <c r="AK71" s="14">
        <f t="shared" si="89"/>
        <v>39.307331456095334</v>
      </c>
      <c r="AL71" s="22">
        <f t="shared" si="58"/>
        <v>335.30227295269947</v>
      </c>
      <c r="AM71" s="62">
        <f t="shared" si="59"/>
        <v>600.7486570799183</v>
      </c>
      <c r="AN71" s="62">
        <f ca="1">AVERAGE(OFFSET($AM$3,0,0,'Données projet'!$E$10+1,1))-AVERAGE(OFFSET($H$3,0,0,'Données projet'!$E$10+1,1))</f>
        <v>312.88185844251097</v>
      </c>
      <c r="AO71" s="62">
        <f t="shared" si="90"/>
        <v>202.68317767036231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0.85995877389344466</v>
      </c>
      <c r="AW71" s="23">
        <f>EXP(-LN(2)/2)*AW70+(1-EXP(-LN(2)/2))/(LN(2)/2)*AQ71*AT71*VLOOKUP('Données projet'!$B$10,Paramètres!$A$1:$I$89,3,0)*0.475*44/12</f>
        <v>1.9452998107734354E-5</v>
      </c>
      <c r="AX71" s="23">
        <f t="shared" si="60"/>
        <v>0.85997822689155234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3</v>
      </c>
      <c r="BD71" s="13">
        <f>IF('Données projet'!$A$88&gt;35,BD70+BC71-BL70,IF(A71&lt;'Données projet'!$A$88,$BA$205^A71,IF(A71='Données projet'!$A$88,'Données projet'!$B$88,BD70+BC71-BL70)))</f>
        <v>203.99999999999997</v>
      </c>
      <c r="BE71" s="14">
        <f>BD71*VLOOKUP('Données projet'!$B$11,Paramètres!$A$1:$I$89,3,0)*VLOOKUP('Données projet'!$B$11,Paramètres!$A$1:$I$89,5,0)</f>
        <v>178.21440000000001</v>
      </c>
      <c r="BF71" s="14">
        <f t="shared" si="91"/>
        <v>44.924692855664368</v>
      </c>
      <c r="BG71" s="22">
        <f t="shared" si="61"/>
        <v>388.63392005694874</v>
      </c>
      <c r="BH71" s="62">
        <f t="shared" si="62"/>
        <v>654.08030418416752</v>
      </c>
      <c r="BI71" s="62">
        <f ca="1">AVERAGE(OFFSET($BH$3,0,0,'Données projet'!$E$11+1,1))-AVERAGE(OFFSET($H$3,0,0,'Données projet'!$E$11+1,1))</f>
        <v>287.22548699835653</v>
      </c>
      <c r="BJ71" s="62">
        <f t="shared" si="92"/>
        <v>276.01618888357268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2.4682316381102924</v>
      </c>
      <c r="BR71" s="23">
        <f>EXP(-LN(2)/2)*BR70+(1-EXP(-LN(2)/2))/(LN(2)/2)*BL71*BO71*VLOOKUP('Données projet'!$B$11,Paramètres!$A$1:$I$89,3,0)*0.475*44/12</f>
        <v>2.4926403198055426E-5</v>
      </c>
      <c r="BS71" s="24">
        <f t="shared" si="63"/>
        <v>2.4682565645134904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6.8</v>
      </c>
      <c r="N72" s="14">
        <f>IF('Données projet'!$A$36&gt;35,N71+M72-V71,IF(A72&lt;'Données projet'!$A$36,$K$205^A72,IF(A72='Données projet'!$A$36,'Données projet'!$B$36,N71+M72-V71)))</f>
        <v>235.20000000000007</v>
      </c>
      <c r="O72" s="14">
        <f>N72*VLOOKUP('Données projet'!$B$9,Paramètres!$A$1:$I$89,3,0)*VLOOKUP('Données projet'!$B$9,Paramètres!$A$1:$I$89,5,0)</f>
        <v>238.4928000000001</v>
      </c>
      <c r="P72" s="14">
        <f t="shared" si="87"/>
        <v>58.115130258576592</v>
      </c>
      <c r="Q72" s="22">
        <f t="shared" si="54"/>
        <v>516.59214520035437</v>
      </c>
      <c r="R72" s="62">
        <f t="shared" si="55"/>
        <v>782.52230555042092</v>
      </c>
      <c r="S72" s="62">
        <f ca="1">AVERAGE(OFFSET($R$3,0,0,'Données projet'!$E$9+1,1))-AVERAGE(OFFSET($H$3,0,0,'Données projet'!$E$9+1,1))</f>
        <v>446.90706503298787</v>
      </c>
      <c r="T72" s="62">
        <f t="shared" si="88"/>
        <v>275.54513370838777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1.0258265120730952</v>
      </c>
      <c r="AB72" s="23">
        <f>EXP(-LN(2)/2)*AB71+(1-EXP(-LN(2)/2))/(LN(2)/2)*V72*Y72*VLOOKUP('Données projet'!$B$9,Paramètres!$A$1:$I$89,3,0)*0.475*44/12</f>
        <v>1.8968136551110834E-5</v>
      </c>
      <c r="AC72" s="24">
        <f t="shared" si="57"/>
        <v>1.0258454802096462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6.8</v>
      </c>
      <c r="AI72" s="14">
        <f>IF('Données projet'!$A$62&gt;35,AI71+AH72-AQ71,IF(A72&lt;'Données projet'!$A$62,$AF$205^A72,IF(A72='Données projet'!$A$62,'Données projet'!$B$62,AI71+AH72-AQ71)))</f>
        <v>235.20000000000007</v>
      </c>
      <c r="AJ72" s="14">
        <f>AI72*VLOOKUP('Données projet'!$B$10,Paramètres!$A$1:$I$89,3,0)*VLOOKUP('Données projet'!$B$10,Paramètres!$A$1:$I$89,5,0)</f>
        <v>157.77216000000004</v>
      </c>
      <c r="AK72" s="14">
        <f t="shared" si="89"/>
        <v>40.339610539653599</v>
      </c>
      <c r="AL72" s="22">
        <f t="shared" si="58"/>
        <v>345.04466702323003</v>
      </c>
      <c r="AM72" s="62">
        <f t="shared" si="59"/>
        <v>610.97482737329665</v>
      </c>
      <c r="AN72" s="62">
        <f ca="1">AVERAGE(OFFSET($AM$3,0,0,'Données projet'!$E$10+1,1))-AVERAGE(OFFSET($H$3,0,0,'Données projet'!$E$10+1,1))</f>
        <v>312.88185844251097</v>
      </c>
      <c r="AO72" s="62">
        <f t="shared" si="90"/>
        <v>202.68317767036231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0.83644315599806196</v>
      </c>
      <c r="AW72" s="23">
        <f>EXP(-LN(2)/2)*AW71+(1-EXP(-LN(2)/2))/(LN(2)/2)*AQ72*AT72*VLOOKUP('Données projet'!$B$10,Paramètres!$A$1:$I$89,3,0)*0.475*44/12</f>
        <v>1.3755346876388039E-5</v>
      </c>
      <c r="AX72" s="23">
        <f t="shared" si="60"/>
        <v>0.83645691134493838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3</v>
      </c>
      <c r="BD72" s="13">
        <f>IF('Données projet'!$A$88&gt;35,BD71+BC72-BL71,IF(A72&lt;'Données projet'!$A$88,$BA$205^A72,IF(A72='Données projet'!$A$88,'Données projet'!$B$88,BD71+BC72-BL71)))</f>
        <v>206.99999999999997</v>
      </c>
      <c r="BE72" s="14">
        <f>BD72*VLOOKUP('Données projet'!$B$11,Paramètres!$A$1:$I$89,3,0)*VLOOKUP('Données projet'!$B$11,Paramètres!$A$1:$I$89,5,0)</f>
        <v>180.83520000000001</v>
      </c>
      <c r="BF72" s="14">
        <f t="shared" si="91"/>
        <v>45.507952685945142</v>
      </c>
      <c r="BG72" s="22">
        <f t="shared" si="61"/>
        <v>394.21432426135442</v>
      </c>
      <c r="BH72" s="62">
        <f t="shared" si="62"/>
        <v>660.14448461142092</v>
      </c>
      <c r="BI72" s="62">
        <f ca="1">AVERAGE(OFFSET($BH$3,0,0,'Données projet'!$E$11+1,1))-AVERAGE(OFFSET($H$3,0,0,'Données projet'!$E$11+1,1))</f>
        <v>287.22548699835653</v>
      </c>
      <c r="BJ72" s="62">
        <f t="shared" si="92"/>
        <v>276.01618888357268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2.4007377141675059</v>
      </c>
      <c r="BR72" s="23">
        <f>EXP(-LN(2)/2)*BR71+(1-EXP(-LN(2)/2))/(LN(2)/2)*BL72*BO72*VLOOKUP('Données projet'!$B$11,Paramètres!$A$1:$I$89,3,0)*0.475*44/12</f>
        <v>1.7625628731935037E-5</v>
      </c>
      <c r="BS72" s="24">
        <f t="shared" si="63"/>
        <v>2.400755339796238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242</v>
      </c>
      <c r="L73" s="13">
        <f>VLOOKUP(A73,'Données projet'!$A$35:$I$55,9,0)</f>
        <v>6.8</v>
      </c>
      <c r="M73" s="13">
        <f t="array" ref="M73">INDEX(L:L,MIN(IF(ISNUMBER(L73:L269),ROW(L73:L269),"")))</f>
        <v>6.8</v>
      </c>
      <c r="N73" s="14">
        <f>IF('Données projet'!$A$36&gt;35,N72+M73-V72,IF(A73&lt;'Données projet'!$A$36,$K$205^A73,IF(A73='Données projet'!$A$36,'Données projet'!$B$36,N72+M73-V72)))</f>
        <v>242.00000000000009</v>
      </c>
      <c r="O73" s="14">
        <f>N73*VLOOKUP('Données projet'!$B$9,Paramètres!$A$1:$I$89,3,0)*VLOOKUP('Données projet'!$B$9,Paramètres!$A$1:$I$89,5,0)</f>
        <v>245.38800000000012</v>
      </c>
      <c r="P73" s="14">
        <f t="shared" si="87"/>
        <v>59.597282764919569</v>
      </c>
      <c r="Q73" s="22">
        <f t="shared" si="54"/>
        <v>531.18270081556841</v>
      </c>
      <c r="R73" s="62">
        <f t="shared" si="55"/>
        <v>797.58824495257795</v>
      </c>
      <c r="S73" s="62">
        <f ca="1">AVERAGE(OFFSET($R$3,0,0,'Données projet'!$E$9+1,1))-AVERAGE(OFFSET($H$3,0,0,'Données projet'!$E$9+1,1))</f>
        <v>446.90706503298787</v>
      </c>
      <c r="T73" s="62">
        <f t="shared" si="88"/>
        <v>275.54513370838777</v>
      </c>
      <c r="U73" s="16">
        <f>IF(ISNA(VLOOKUP(A73,'Données projet'!$A$35:$I$55,3,0)),0,VLOOKUP(A73,'Données projet'!$A$35:$I$55,3,0))</f>
        <v>10</v>
      </c>
      <c r="V73" s="16">
        <f>IF(ISNA(VLOOKUP(A73,'Données projet'!$A$35:$I$55,4,0)),0,VLOOKUP(A73,'Données projet'!$A$35:$I$55,4,0))</f>
        <v>21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0.99777523215458463</v>
      </c>
      <c r="AB73" s="23">
        <f>EXP(-LN(2)/2)*AB72+(1-EXP(-LN(2)/2))/(LN(2)/2)*V73*Y73*VLOOKUP('Données projet'!$B$9,Paramètres!$A$1:$I$89,3,0)*0.475*44/12</f>
        <v>1.3412497981762883E-5</v>
      </c>
      <c r="AC73" s="24">
        <f t="shared" si="57"/>
        <v>0.99778864465256645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242</v>
      </c>
      <c r="AG73" s="13">
        <f>VLOOKUP(A73,'Données projet'!$A$61:$I$81,9,0)</f>
        <v>6.8</v>
      </c>
      <c r="AH73" s="13">
        <f t="array" ref="AH73">INDEX(AG:AG,MIN(IF(ISNUMBER(AG73:AG269),ROW(AG73:AG269),"")))</f>
        <v>6.8</v>
      </c>
      <c r="AI73" s="14">
        <f>IF('Données projet'!$A$62&gt;35,AI72+AH73-AQ72,IF(A73&lt;'Données projet'!$A$62,$AF$205^A73,IF(A73='Données projet'!$A$62,'Données projet'!$B$62,AI72+AH73-AQ72)))</f>
        <v>242.00000000000009</v>
      </c>
      <c r="AJ73" s="14">
        <f>AI73*VLOOKUP('Données projet'!$B$10,Paramètres!$A$1:$I$89,3,0)*VLOOKUP('Données projet'!$B$10,Paramètres!$A$1:$I$89,5,0)</f>
        <v>162.33360000000005</v>
      </c>
      <c r="AK73" s="14">
        <f t="shared" si="89"/>
        <v>41.368421016378349</v>
      </c>
      <c r="AL73" s="22">
        <f t="shared" si="58"/>
        <v>354.78101993685908</v>
      </c>
      <c r="AM73" s="62">
        <f t="shared" si="59"/>
        <v>621.18656407386857</v>
      </c>
      <c r="AN73" s="62">
        <f ca="1">AVERAGE(OFFSET($AM$3,0,0,'Données projet'!$E$10+1,1))-AVERAGE(OFFSET($H$3,0,0,'Données projet'!$E$10+1,1))</f>
        <v>312.88185844251097</v>
      </c>
      <c r="AO73" s="62">
        <f t="shared" si="90"/>
        <v>202.68317767036231</v>
      </c>
      <c r="AP73" s="16">
        <f>IF(ISNA(VLOOKUP(A73,'Données projet'!$A$61:$I$81,3,0)),0,VLOOKUP(A73,'Données projet'!$A$61:$I$81,3,0))</f>
        <v>10</v>
      </c>
      <c r="AQ73" s="16">
        <f>IF(ISNA(VLOOKUP(A73,'Données projet'!$A$61:$I$81,4,0)),0,VLOOKUP(A73,'Données projet'!$A$61:$I$81,4,0))</f>
        <v>21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0.81357057391066112</v>
      </c>
      <c r="AW73" s="23">
        <f>EXP(-LN(2)/2)*AW72+(1-EXP(-LN(2)/2))/(LN(2)/2)*AQ73*AT73*VLOOKUP('Données projet'!$B$10,Paramètres!$A$1:$I$89,3,0)*0.475*44/12</f>
        <v>9.7264990538671769E-6</v>
      </c>
      <c r="AX73" s="23">
        <f t="shared" si="60"/>
        <v>0.81358030040971496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210</v>
      </c>
      <c r="BB73" s="13">
        <f>VLOOKUP(A73,'Données projet'!$A$87:$I$107,9,0)</f>
        <v>3</v>
      </c>
      <c r="BC73" s="13">
        <f t="array" ref="BC73">INDEX(BB:BB,MIN(IF(ISNUMBER(BB73:BB269),ROW(BB73:BB269),"")))</f>
        <v>3</v>
      </c>
      <c r="BD73" s="13">
        <f>IF('Données projet'!$A$88&gt;35,BD72+BC73-BL72,IF(A73&lt;'Données projet'!$A$88,$BA$205^A73,IF(A73='Données projet'!$A$88,'Données projet'!$B$88,BD72+BC73-BL72)))</f>
        <v>209.99999999999997</v>
      </c>
      <c r="BE73" s="14">
        <f>BD73*VLOOKUP('Données projet'!$B$11,Paramètres!$A$1:$I$89,3,0)*VLOOKUP('Données projet'!$B$11,Paramètres!$A$1:$I$89,5,0)</f>
        <v>183.45599999999999</v>
      </c>
      <c r="BF73" s="14">
        <f t="shared" si="91"/>
        <v>46.090229375321144</v>
      </c>
      <c r="BG73" s="22">
        <f t="shared" si="61"/>
        <v>399.79301616201764</v>
      </c>
      <c r="BH73" s="62">
        <f t="shared" si="62"/>
        <v>666.19856029902712</v>
      </c>
      <c r="BI73" s="62">
        <f ca="1">AVERAGE(OFFSET($BH$3,0,0,'Données projet'!$E$11+1,1))-AVERAGE(OFFSET($H$3,0,0,'Données projet'!$E$11+1,1))</f>
        <v>287.22548699835653</v>
      </c>
      <c r="BJ73" s="62">
        <f t="shared" si="92"/>
        <v>276.01618888357268</v>
      </c>
      <c r="BK73" s="16">
        <f>IF(ISNA(VLOOKUP(A73,'Données projet'!$A$87:$I$107,3,0)),0,VLOOKUP(A73,'Données projet'!$A$87:$I$107,3,0))</f>
        <v>12</v>
      </c>
      <c r="BL73" s="16">
        <f>IF(ISNA(VLOOKUP(A73,'Données projet'!$A$87:$I$107,4,0)),0,VLOOKUP(A73,'Données projet'!$A$87:$I$107,4,0))</f>
        <v>6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2.335089415124286</v>
      </c>
      <c r="BR73" s="23">
        <f>EXP(-LN(2)/2)*BR72+(1-EXP(-LN(2)/2))/(LN(2)/2)*BL73*BO73*VLOOKUP('Données projet'!$B$11,Paramètres!$A$1:$I$89,3,0)*0.475*44/12</f>
        <v>1.2463201599027713E-5</v>
      </c>
      <c r="BS73" s="24">
        <f t="shared" si="63"/>
        <v>2.3351018783258852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6.4</v>
      </c>
      <c r="N74" s="14">
        <f>IF('Données projet'!$A$36&gt;35,N73+M74-V73,IF(A74&lt;'Données projet'!$A$36,$K$205^A74,IF(A74='Données projet'!$A$36,'Données projet'!$B$36,N73+M74-V73)))</f>
        <v>227.40000000000009</v>
      </c>
      <c r="O74" s="14">
        <f>N74*VLOOKUP('Données projet'!$B$9,Paramètres!$A$1:$I$89,3,0)*VLOOKUP('Données projet'!$B$9,Paramètres!$A$1:$I$89,5,0)</f>
        <v>230.5836000000001</v>
      </c>
      <c r="P74" s="14">
        <f t="shared" si="87"/>
        <v>56.408850878328018</v>
      </c>
      <c r="Q74" s="22">
        <f t="shared" si="54"/>
        <v>499.84518527975473</v>
      </c>
      <c r="R74" s="62">
        <f t="shared" si="55"/>
        <v>766.71786635780268</v>
      </c>
      <c r="S74" s="62">
        <f ca="1">AVERAGE(OFFSET($R$3,0,0,'Données projet'!$E$9+1,1))-AVERAGE(OFFSET($H$3,0,0,'Données projet'!$E$9+1,1))</f>
        <v>446.90706503298787</v>
      </c>
      <c r="T74" s="62">
        <f t="shared" si="88"/>
        <v>275.54513370838777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0.9704910159605985</v>
      </c>
      <c r="AB74" s="23">
        <f>EXP(-LN(2)/2)*AB73+(1-EXP(-LN(2)/2))/(LN(2)/2)*V74*Y74*VLOOKUP('Données projet'!$B$9,Paramètres!$A$1:$I$89,3,0)*0.475*44/12</f>
        <v>9.4840682755554171E-6</v>
      </c>
      <c r="AC74" s="24">
        <f t="shared" si="57"/>
        <v>0.970500500028874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6.4</v>
      </c>
      <c r="AI74" s="14">
        <f>IF('Données projet'!$A$62&gt;35,AI73+AH74-AQ73,IF(A74&lt;'Données projet'!$A$62,$AF$205^A74,IF(A74='Données projet'!$A$62,'Données projet'!$B$62,AI73+AH74-AQ73)))</f>
        <v>227.40000000000009</v>
      </c>
      <c r="AJ74" s="14">
        <f>AI74*VLOOKUP('Données projet'!$B$10,Paramètres!$A$1:$I$89,3,0)*VLOOKUP('Données projet'!$B$10,Paramètres!$A$1:$I$89,5,0)</f>
        <v>152.53992000000008</v>
      </c>
      <c r="AK74" s="14">
        <f t="shared" si="89"/>
        <v>39.155226277503367</v>
      </c>
      <c r="AL74" s="22">
        <f t="shared" si="58"/>
        <v>333.86904643331849</v>
      </c>
      <c r="AM74" s="62">
        <f t="shared" si="59"/>
        <v>600.74172751136643</v>
      </c>
      <c r="AN74" s="62">
        <f ca="1">AVERAGE(OFFSET($AM$3,0,0,'Données projet'!$E$10+1,1))-AVERAGE(OFFSET($H$3,0,0,'Données projet'!$E$10+1,1))</f>
        <v>312.88185844251097</v>
      </c>
      <c r="AO74" s="62">
        <f t="shared" si="90"/>
        <v>202.68317767036231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0.79132344378325703</v>
      </c>
      <c r="AW74" s="23">
        <f>EXP(-LN(2)/2)*AW73+(1-EXP(-LN(2)/2))/(LN(2)/2)*AQ74*AT74*VLOOKUP('Données projet'!$B$10,Paramètres!$A$1:$I$89,3,0)*0.475*44/12</f>
        <v>6.8776734381940195E-6</v>
      </c>
      <c r="AX74" s="23">
        <f t="shared" si="60"/>
        <v>0.79133032145669524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2.6</v>
      </c>
      <c r="BD74" s="13">
        <f>IF('Données projet'!$A$88&gt;35,BD73+BC74-BL73,IF(A74&lt;'Données projet'!$A$88,$BA$205^A74,IF(A74='Données projet'!$A$88,'Données projet'!$B$88,BD73+BC74-BL73)))</f>
        <v>206.59999999999997</v>
      </c>
      <c r="BE74" s="14">
        <f>BD74*VLOOKUP('Données projet'!$B$11,Paramètres!$A$1:$I$89,3,0)*VLOOKUP('Données projet'!$B$11,Paramètres!$A$1:$I$89,5,0)</f>
        <v>180.48576</v>
      </c>
      <c r="BF74" s="14">
        <f t="shared" si="91"/>
        <v>45.430241859839441</v>
      </c>
      <c r="BG74" s="22">
        <f t="shared" si="61"/>
        <v>393.47036990588703</v>
      </c>
      <c r="BH74" s="62">
        <f t="shared" si="62"/>
        <v>660.34305098393497</v>
      </c>
      <c r="BI74" s="62">
        <f ca="1">AVERAGE(OFFSET($BH$3,0,0,'Données projet'!$E$11+1,1))-AVERAGE(OFFSET($H$3,0,0,'Données projet'!$E$11+1,1))</f>
        <v>287.22548699835653</v>
      </c>
      <c r="BJ74" s="62">
        <f t="shared" si="92"/>
        <v>276.01618888357268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2.2712362722706971</v>
      </c>
      <c r="BR74" s="23">
        <f>EXP(-LN(2)/2)*BR73+(1-EXP(-LN(2)/2))/(LN(2)/2)*BL74*BO74*VLOOKUP('Données projet'!$B$11,Paramètres!$A$1:$I$89,3,0)*0.475*44/12</f>
        <v>8.8128143659675184E-6</v>
      </c>
      <c r="BS74" s="24">
        <f t="shared" si="63"/>
        <v>2.271245085085063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6.4</v>
      </c>
      <c r="N75" s="14">
        <f>IF('Données projet'!$A$36&gt;35,N74+M75-V74,IF(A75&lt;'Données projet'!$A$36,$K$205^A75,IF(A75='Données projet'!$A$36,'Données projet'!$B$36,N74+M75-V74)))</f>
        <v>233.8000000000001</v>
      </c>
      <c r="O75" s="14">
        <f>N75*VLOOKUP('Données projet'!$B$9,Paramètres!$A$1:$I$89,3,0)*VLOOKUP('Données projet'!$B$9,Paramètres!$A$1:$I$89,5,0)</f>
        <v>237.0732000000001</v>
      </c>
      <c r="P75" s="14">
        <f t="shared" si="87"/>
        <v>57.809366223361302</v>
      </c>
      <c r="Q75" s="22">
        <f t="shared" si="54"/>
        <v>513.58713617235435</v>
      </c>
      <c r="R75" s="62">
        <f t="shared" si="55"/>
        <v>780.9188504098754</v>
      </c>
      <c r="S75" s="62">
        <f ca="1">AVERAGE(OFFSET($R$3,0,0,'Données projet'!$E$9+1,1))-AVERAGE(OFFSET($H$3,0,0,'Données projet'!$E$9+1,1))</f>
        <v>446.90706503298787</v>
      </c>
      <c r="T75" s="62">
        <f t="shared" si="88"/>
        <v>275.54513370838777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0.94395288809325151</v>
      </c>
      <c r="AB75" s="23">
        <f>EXP(-LN(2)/2)*AB74+(1-EXP(-LN(2)/2))/(LN(2)/2)*V75*Y75*VLOOKUP('Données projet'!$B$9,Paramètres!$A$1:$I$89,3,0)*0.475*44/12</f>
        <v>6.7062489908814414E-6</v>
      </c>
      <c r="AC75" s="24">
        <f t="shared" si="57"/>
        <v>0.94395959434224241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6.4</v>
      </c>
      <c r="AI75" s="14">
        <f>IF('Données projet'!$A$62&gt;35,AI74+AH75-AQ74,IF(A75&lt;'Données projet'!$A$62,$AF$205^A75,IF(A75='Données projet'!$A$62,'Données projet'!$B$62,AI74+AH75-AQ74)))</f>
        <v>233.8000000000001</v>
      </c>
      <c r="AJ75" s="14">
        <f>AI75*VLOOKUP('Données projet'!$B$10,Paramètres!$A$1:$I$89,3,0)*VLOOKUP('Données projet'!$B$10,Paramètres!$A$1:$I$89,5,0)</f>
        <v>156.83304000000007</v>
      </c>
      <c r="AK75" s="14">
        <f t="shared" si="89"/>
        <v>40.12736973346879</v>
      </c>
      <c r="AL75" s="22">
        <f t="shared" si="58"/>
        <v>343.03938028579159</v>
      </c>
      <c r="AM75" s="62">
        <f t="shared" si="59"/>
        <v>610.37109452331265</v>
      </c>
      <c r="AN75" s="62">
        <f ca="1">AVERAGE(OFFSET($AM$3,0,0,'Données projet'!$E$10+1,1))-AVERAGE(OFFSET($H$3,0,0,'Données projet'!$E$10+1,1))</f>
        <v>312.88185844251097</v>
      </c>
      <c r="AO75" s="62">
        <f t="shared" si="90"/>
        <v>202.68317767036231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0.7696846625991125</v>
      </c>
      <c r="AW75" s="23">
        <f>EXP(-LN(2)/2)*AW74+(1-EXP(-LN(2)/2))/(LN(2)/2)*AQ75*AT75*VLOOKUP('Données projet'!$B$10,Paramètres!$A$1:$I$89,3,0)*0.475*44/12</f>
        <v>4.8632495269335884E-6</v>
      </c>
      <c r="AX75" s="23">
        <f t="shared" si="60"/>
        <v>0.76968952584863948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2.6</v>
      </c>
      <c r="BD75" s="13">
        <f>IF('Données projet'!$A$88&gt;35,BD74+BC75-BL74,IF(A75&lt;'Données projet'!$A$88,$BA$205^A75,IF(A75='Données projet'!$A$88,'Données projet'!$B$88,BD74+BC75-BL74)))</f>
        <v>209.19999999999996</v>
      </c>
      <c r="BE75" s="14">
        <f>BD75*VLOOKUP('Données projet'!$B$11,Paramètres!$A$1:$I$89,3,0)*VLOOKUP('Données projet'!$B$11,Paramètres!$A$1:$I$89,5,0)</f>
        <v>182.75711999999999</v>
      </c>
      <c r="BF75" s="14">
        <f t="shared" si="91"/>
        <v>45.935050827172049</v>
      </c>
      <c r="BG75" s="22">
        <f t="shared" si="61"/>
        <v>398.30553085732464</v>
      </c>
      <c r="BH75" s="62">
        <f t="shared" si="62"/>
        <v>665.63724509484575</v>
      </c>
      <c r="BI75" s="62">
        <f ca="1">AVERAGE(OFFSET($BH$3,0,0,'Données projet'!$E$11+1,1))-AVERAGE(OFFSET($H$3,0,0,'Données projet'!$E$11+1,1))</f>
        <v>287.22548699835653</v>
      </c>
      <c r="BJ75" s="62">
        <f t="shared" si="92"/>
        <v>276.01618888357268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2.2091291969663303</v>
      </c>
      <c r="BR75" s="23">
        <f>EXP(-LN(2)/2)*BR74+(1-EXP(-LN(2)/2))/(LN(2)/2)*BL75*BO75*VLOOKUP('Données projet'!$B$11,Paramètres!$A$1:$I$89,3,0)*0.475*44/12</f>
        <v>6.2316007995138566E-6</v>
      </c>
      <c r="BS75" s="24">
        <f t="shared" si="63"/>
        <v>2.2091354285671296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6.4</v>
      </c>
      <c r="N76" s="14">
        <f>IF('Données projet'!$A$36&gt;35,N75+M76-V75,IF(A76&lt;'Données projet'!$A$36,$K$205^A76,IF(A76='Données projet'!$A$36,'Données projet'!$B$36,N75+M76-V75)))</f>
        <v>240.2000000000001</v>
      </c>
      <c r="O76" s="14">
        <f>N76*VLOOKUP('Données projet'!$B$9,Paramètres!$A$1:$I$89,3,0)*VLOOKUP('Données projet'!$B$9,Paramètres!$A$1:$I$89,5,0)</f>
        <v>243.56280000000012</v>
      </c>
      <c r="P76" s="14">
        <f t="shared" si="87"/>
        <v>59.205425601852873</v>
      </c>
      <c r="Q76" s="22">
        <f t="shared" si="54"/>
        <v>527.32132625656061</v>
      </c>
      <c r="R76" s="62">
        <f t="shared" si="55"/>
        <v>795.10411045448245</v>
      </c>
      <c r="S76" s="62">
        <f ca="1">AVERAGE(OFFSET($R$3,0,0,'Données projet'!$E$9+1,1))-AVERAGE(OFFSET($H$3,0,0,'Données projet'!$E$9+1,1))</f>
        <v>446.90706503298787</v>
      </c>
      <c r="T76" s="62">
        <f t="shared" si="88"/>
        <v>275.54513370838777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0.91814044672801665</v>
      </c>
      <c r="AB76" s="23">
        <f>EXP(-LN(2)/2)*AB75+(1-EXP(-LN(2)/2))/(LN(2)/2)*V76*Y76*VLOOKUP('Données projet'!$B$9,Paramètres!$A$1:$I$89,3,0)*0.475*44/12</f>
        <v>4.7420341377777085E-6</v>
      </c>
      <c r="AC76" s="24">
        <f t="shared" si="57"/>
        <v>0.91814518876215445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6.4</v>
      </c>
      <c r="AI76" s="14">
        <f>IF('Données projet'!$A$62&gt;35,AI75+AH76-AQ75,IF(A76&lt;'Données projet'!$A$62,$AF$205^A76,IF(A76='Données projet'!$A$62,'Données projet'!$B$62,AI75+AH76-AQ75)))</f>
        <v>240.2000000000001</v>
      </c>
      <c r="AJ76" s="14">
        <f>AI76*VLOOKUP('Données projet'!$B$10,Paramètres!$A$1:$I$89,3,0)*VLOOKUP('Données projet'!$B$10,Paramètres!$A$1:$I$89,5,0)</f>
        <v>161.12616000000008</v>
      </c>
      <c r="AK76" s="14">
        <f t="shared" si="89"/>
        <v>41.096420157480694</v>
      </c>
      <c r="AL76" s="22">
        <f t="shared" si="58"/>
        <v>352.2043271076123</v>
      </c>
      <c r="AM76" s="62">
        <f t="shared" si="59"/>
        <v>619.98711130553409</v>
      </c>
      <c r="AN76" s="62">
        <f ca="1">AVERAGE(OFFSET($AM$3,0,0,'Données projet'!$E$10+1,1))-AVERAGE(OFFSET($H$3,0,0,'Données projet'!$E$10+1,1))</f>
        <v>312.88185844251097</v>
      </c>
      <c r="AO76" s="62">
        <f t="shared" si="90"/>
        <v>202.68317767036231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0.74863759502438254</v>
      </c>
      <c r="AW76" s="23">
        <f>EXP(-LN(2)/2)*AW75+(1-EXP(-LN(2)/2))/(LN(2)/2)*AQ76*AT76*VLOOKUP('Données projet'!$B$10,Paramètres!$A$1:$I$89,3,0)*0.475*44/12</f>
        <v>3.4388367190970097E-6</v>
      </c>
      <c r="AX76" s="23">
        <f t="shared" si="60"/>
        <v>0.74864103386110159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2.6</v>
      </c>
      <c r="BD76" s="13">
        <f>IF('Données projet'!$A$88&gt;35,BD75+BC76-BL75,IF(A76&lt;'Données projet'!$A$88,$BA$205^A76,IF(A76='Données projet'!$A$88,'Données projet'!$B$88,BD75+BC76-BL75)))</f>
        <v>211.79999999999995</v>
      </c>
      <c r="BE76" s="14">
        <f>BD76*VLOOKUP('Données projet'!$B$11,Paramètres!$A$1:$I$89,3,0)*VLOOKUP('Données projet'!$B$11,Paramètres!$A$1:$I$89,5,0)</f>
        <v>185.02848</v>
      </c>
      <c r="BF76" s="14">
        <f t="shared" si="91"/>
        <v>46.43913001874585</v>
      </c>
      <c r="BG76" s="22">
        <f t="shared" si="61"/>
        <v>403.13942078264904</v>
      </c>
      <c r="BH76" s="62">
        <f t="shared" si="62"/>
        <v>670.92220498057077</v>
      </c>
      <c r="BI76" s="62">
        <f ca="1">AVERAGE(OFFSET($BH$3,0,0,'Données projet'!$E$11+1,1))-AVERAGE(OFFSET($H$3,0,0,'Données projet'!$E$11+1,1))</f>
        <v>287.22548699835653</v>
      </c>
      <c r="BJ76" s="62">
        <f t="shared" si="92"/>
        <v>276.01618888357268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2.1487204429022304</v>
      </c>
      <c r="BR76" s="23">
        <f>EXP(-LN(2)/2)*BR75+(1-EXP(-LN(2)/2))/(LN(2)/2)*BL76*BO76*VLOOKUP('Données projet'!$B$11,Paramètres!$A$1:$I$89,3,0)*0.475*44/12</f>
        <v>4.4064071829837592E-6</v>
      </c>
      <c r="BS76" s="24">
        <f t="shared" si="63"/>
        <v>2.1487248493094135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6.4</v>
      </c>
      <c r="N77" s="14">
        <f>IF('Données projet'!$A$36&gt;35,N76+M77-V76,IF(A77&lt;'Données projet'!$A$36,$K$205^A77,IF(A77='Données projet'!$A$36,'Données projet'!$B$36,N76+M77-V76)))</f>
        <v>246.60000000000011</v>
      </c>
      <c r="O77" s="14">
        <f>N77*VLOOKUP('Données projet'!$B$9,Paramètres!$A$1:$I$89,3,0)*VLOOKUP('Données projet'!$B$9,Paramètres!$A$1:$I$89,5,0)</f>
        <v>250.05240000000012</v>
      </c>
      <c r="P77" s="14">
        <f t="shared" si="87"/>
        <v>60.597161386823522</v>
      </c>
      <c r="Q77" s="22">
        <f t="shared" si="54"/>
        <v>541.04798608205112</v>
      </c>
      <c r="R77" s="62">
        <f t="shared" si="55"/>
        <v>809.27401518500199</v>
      </c>
      <c r="S77" s="62">
        <f ca="1">AVERAGE(OFFSET($R$3,0,0,'Données projet'!$E$9+1,1))-AVERAGE(OFFSET($H$3,0,0,'Données projet'!$E$9+1,1))</f>
        <v>446.90706503298787</v>
      </c>
      <c r="T77" s="62">
        <f t="shared" si="88"/>
        <v>275.54513370838777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0.89303384792933138</v>
      </c>
      <c r="AB77" s="23">
        <f>EXP(-LN(2)/2)*AB76+(1-EXP(-LN(2)/2))/(LN(2)/2)*V77*Y77*VLOOKUP('Données projet'!$B$9,Paramètres!$A$1:$I$89,3,0)*0.475*44/12</f>
        <v>3.3531244954407207E-6</v>
      </c>
      <c r="AC77" s="24">
        <f t="shared" si="57"/>
        <v>0.89303720105382678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6.4</v>
      </c>
      <c r="AI77" s="14">
        <f>IF('Données projet'!$A$62&gt;35,AI76+AH77-AQ76,IF(A77&lt;'Données projet'!$A$62,$AF$205^A77,IF(A77='Données projet'!$A$62,'Données projet'!$B$62,AI76+AH77-AQ76)))</f>
        <v>246.60000000000011</v>
      </c>
      <c r="AJ77" s="14">
        <f>AI77*VLOOKUP('Données projet'!$B$10,Paramètres!$A$1:$I$89,3,0)*VLOOKUP('Données projet'!$B$10,Paramètres!$A$1:$I$89,5,0)</f>
        <v>165.41928000000007</v>
      </c>
      <c r="AK77" s="14">
        <f t="shared" si="89"/>
        <v>42.062469433977455</v>
      </c>
      <c r="AL77" s="22">
        <f t="shared" si="58"/>
        <v>361.36404693084415</v>
      </c>
      <c r="AM77" s="62">
        <f t="shared" si="59"/>
        <v>629.59007603379496</v>
      </c>
      <c r="AN77" s="62">
        <f ca="1">AVERAGE(OFFSET($AM$3,0,0,'Données projet'!$E$10+1,1))-AVERAGE(OFFSET($H$3,0,0,'Données projet'!$E$10+1,1))</f>
        <v>312.88185844251097</v>
      </c>
      <c r="AO77" s="62">
        <f t="shared" si="90"/>
        <v>202.68317767036231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0.72816606061930067</v>
      </c>
      <c r="AW77" s="23">
        <f>EXP(-LN(2)/2)*AW76+(1-EXP(-LN(2)/2))/(LN(2)/2)*AQ77*AT77*VLOOKUP('Données projet'!$B$10,Paramètres!$A$1:$I$89,3,0)*0.475*44/12</f>
        <v>2.4316247634667942E-6</v>
      </c>
      <c r="AX77" s="23">
        <f t="shared" si="60"/>
        <v>0.7281684922440641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2.6</v>
      </c>
      <c r="BD77" s="13">
        <f>IF('Données projet'!$A$88&gt;35,BD76+BC77-BL76,IF(A77&lt;'Données projet'!$A$88,$BA$205^A77,IF(A77='Données projet'!$A$88,'Données projet'!$B$88,BD76+BC77-BL76)))</f>
        <v>214.39999999999995</v>
      </c>
      <c r="BE77" s="14">
        <f>BD77*VLOOKUP('Données projet'!$B$11,Paramètres!$A$1:$I$89,3,0)*VLOOKUP('Données projet'!$B$11,Paramètres!$A$1:$I$89,5,0)</f>
        <v>187.29983999999996</v>
      </c>
      <c r="BF77" s="14">
        <f t="shared" si="91"/>
        <v>46.942489429228111</v>
      </c>
      <c r="BG77" s="22">
        <f t="shared" si="61"/>
        <v>407.97205708923889</v>
      </c>
      <c r="BH77" s="62">
        <f t="shared" si="62"/>
        <v>676.19808619218975</v>
      </c>
      <c r="BI77" s="62">
        <f ca="1">AVERAGE(OFFSET($BH$3,0,0,'Données projet'!$E$11+1,1))-AVERAGE(OFFSET($H$3,0,0,'Données projet'!$E$11+1,1))</f>
        <v>287.22548699835653</v>
      </c>
      <c r="BJ77" s="62">
        <f t="shared" si="92"/>
        <v>276.01618888357268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2.0899635693947718</v>
      </c>
      <c r="BR77" s="23">
        <f>EXP(-LN(2)/2)*BR76+(1-EXP(-LN(2)/2))/(LN(2)/2)*BL77*BO77*VLOOKUP('Données projet'!$B$11,Paramètres!$A$1:$I$89,3,0)*0.475*44/12</f>
        <v>3.1158003997569283E-6</v>
      </c>
      <c r="BS77" s="24">
        <f t="shared" si="63"/>
        <v>2.0899666851951717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253</v>
      </c>
      <c r="L78" s="13">
        <f>VLOOKUP(A78,'Données projet'!$A$35:$I$55,9,0)</f>
        <v>6.4</v>
      </c>
      <c r="M78" s="13">
        <f t="array" ref="M78">INDEX(L:L,MIN(IF(ISNUMBER(L78:L274),ROW(L78:L274),"")))</f>
        <v>6.4</v>
      </c>
      <c r="N78" s="14">
        <f>IF('Données projet'!$A$36&gt;35,N77+M78-V77,IF(A78&lt;'Données projet'!$A$36,$K$205^A78,IF(A78='Données projet'!$A$36,'Données projet'!$B$36,N77+M78-V77)))</f>
        <v>253.00000000000011</v>
      </c>
      <c r="O78" s="14">
        <f>N78*VLOOKUP('Données projet'!$B$9,Paramètres!$A$1:$I$89,3,0)*VLOOKUP('Données projet'!$B$9,Paramètres!$A$1:$I$89,5,0)</f>
        <v>256.54200000000014</v>
      </c>
      <c r="P78" s="14">
        <f t="shared" si="87"/>
        <v>61.984698688972557</v>
      </c>
      <c r="Q78" s="22">
        <f t="shared" si="54"/>
        <v>554.76733354996077</v>
      </c>
      <c r="R78" s="62">
        <f t="shared" si="55"/>
        <v>823.42891824978551</v>
      </c>
      <c r="S78" s="62">
        <f ca="1">AVERAGE(OFFSET($R$3,0,0,'Données projet'!$E$9+1,1))-AVERAGE(OFFSET($H$3,0,0,'Données projet'!$E$9+1,1))</f>
        <v>446.90706503298787</v>
      </c>
      <c r="T78" s="62">
        <f t="shared" si="88"/>
        <v>275.54513370838777</v>
      </c>
      <c r="U78" s="16">
        <f>IF(ISNA(VLOOKUP(A78,'Données projet'!$A$35:$I$55,3,0)),0,VLOOKUP(A78,'Données projet'!$A$35:$I$55,3,0))</f>
        <v>11</v>
      </c>
      <c r="V78" s="16">
        <f>IF(ISNA(VLOOKUP(A78,'Données projet'!$A$35:$I$55,4,0)),0,VLOOKUP(A78,'Données projet'!$A$35:$I$55,4,0))</f>
        <v>21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0.86861379039509479</v>
      </c>
      <c r="AB78" s="23">
        <f>EXP(-LN(2)/2)*AB77+(1-EXP(-LN(2)/2))/(LN(2)/2)*V78*Y78*VLOOKUP('Données projet'!$B$9,Paramètres!$A$1:$I$89,3,0)*0.475*44/12</f>
        <v>2.3710170688888543E-6</v>
      </c>
      <c r="AC78" s="24">
        <f t="shared" si="57"/>
        <v>0.86861616141216369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253</v>
      </c>
      <c r="AG78" s="13">
        <f>VLOOKUP(A78,'Données projet'!$A$61:$I$81,9,0)</f>
        <v>6.4</v>
      </c>
      <c r="AH78" s="13">
        <f t="array" ref="AH78">INDEX(AG:AG,MIN(IF(ISNUMBER(AG78:AG274),ROW(AG78:AG274),"")))</f>
        <v>6.4</v>
      </c>
      <c r="AI78" s="14">
        <f>IF('Données projet'!$A$62&gt;35,AI77+AH78-AQ77,IF(A78&lt;'Données projet'!$A$62,$AF$205^A78,IF(A78='Données projet'!$A$62,'Données projet'!$B$62,AI77+AH78-AQ77)))</f>
        <v>253.00000000000011</v>
      </c>
      <c r="AJ78" s="14">
        <f>AI78*VLOOKUP('Données projet'!$B$10,Paramètres!$A$1:$I$89,3,0)*VLOOKUP('Données projet'!$B$10,Paramètres!$A$1:$I$89,5,0)</f>
        <v>169.71240000000009</v>
      </c>
      <c r="AK78" s="14">
        <f t="shared" si="89"/>
        <v>43.025604406382953</v>
      </c>
      <c r="AL78" s="22">
        <f t="shared" si="58"/>
        <v>370.51869100778373</v>
      </c>
      <c r="AM78" s="62">
        <f t="shared" si="59"/>
        <v>639.18027570760853</v>
      </c>
      <c r="AN78" s="62">
        <f ca="1">AVERAGE(OFFSET($AM$3,0,0,'Données projet'!$E$10+1,1))-AVERAGE(OFFSET($H$3,0,0,'Données projet'!$E$10+1,1))</f>
        <v>312.88185844251097</v>
      </c>
      <c r="AO78" s="62">
        <f t="shared" si="90"/>
        <v>202.68317767036231</v>
      </c>
      <c r="AP78" s="16">
        <f>IF(ISNA(VLOOKUP(A78,'Données projet'!$A$61:$I$81,3,0)),0,VLOOKUP(A78,'Données projet'!$A$61:$I$81,3,0))</f>
        <v>11</v>
      </c>
      <c r="AQ78" s="16">
        <f>IF(ISNA(VLOOKUP(A78,'Données projet'!$A$61:$I$81,4,0)),0,VLOOKUP(A78,'Données projet'!$A$61:$I$81,4,0))</f>
        <v>21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0.70825432139907696</v>
      </c>
      <c r="AW78" s="23">
        <f>EXP(-LN(2)/2)*AW77+(1-EXP(-LN(2)/2))/(LN(2)/2)*AQ78*AT78*VLOOKUP('Données projet'!$B$10,Paramètres!$A$1:$I$89,3,0)*0.475*44/12</f>
        <v>1.7194183595485049E-6</v>
      </c>
      <c r="AX78" s="23">
        <f t="shared" si="60"/>
        <v>0.70825604081743654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217</v>
      </c>
      <c r="BB78" s="13">
        <f>VLOOKUP(A78,'Données projet'!$A$87:$I$107,9,0)</f>
        <v>2.6</v>
      </c>
      <c r="BC78" s="13">
        <f t="array" ref="BC78">INDEX(BB:BB,MIN(IF(ISNUMBER(BB78:BB274),ROW(BB78:BB274),"")))</f>
        <v>2.6</v>
      </c>
      <c r="BD78" s="13">
        <f>IF('Données projet'!$A$88&gt;35,BD77+BC78-BL77,IF(A78&lt;'Données projet'!$A$88,$BA$205^A78,IF(A78='Données projet'!$A$88,'Données projet'!$B$88,BD77+BC78-BL77)))</f>
        <v>216.99999999999994</v>
      </c>
      <c r="BE78" s="14">
        <f>BD78*VLOOKUP('Données projet'!$B$11,Paramètres!$A$1:$I$89,3,0)*VLOOKUP('Données projet'!$B$11,Paramètres!$A$1:$I$89,5,0)</f>
        <v>189.57119999999998</v>
      </c>
      <c r="BF78" s="14">
        <f t="shared" si="91"/>
        <v>47.44513879693244</v>
      </c>
      <c r="BG78" s="22">
        <f t="shared" si="61"/>
        <v>412.80345673799064</v>
      </c>
      <c r="BH78" s="62">
        <f t="shared" si="62"/>
        <v>681.46504143781544</v>
      </c>
      <c r="BI78" s="62">
        <f ca="1">AVERAGE(OFFSET($BH$3,0,0,'Données projet'!$E$11+1,1))-AVERAGE(OFFSET($H$3,0,0,'Données projet'!$E$11+1,1))</f>
        <v>287.22548699835653</v>
      </c>
      <c r="BJ78" s="62">
        <f t="shared" si="92"/>
        <v>276.01618888357268</v>
      </c>
      <c r="BK78" s="16">
        <f>IF(ISNA(VLOOKUP(A78,'Données projet'!$A$87:$I$107,3,0)),0,VLOOKUP(A78,'Données projet'!$A$87:$I$107,3,0))</f>
        <v>13</v>
      </c>
      <c r="BL78" s="16">
        <f>IF(ISNA(VLOOKUP(A78,'Données projet'!$A$87:$I$107,4,0)),0,VLOOKUP(A78,'Données projet'!$A$87:$I$107,4,0))</f>
        <v>7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2.0328134056832643</v>
      </c>
      <c r="BR78" s="23">
        <f>EXP(-LN(2)/2)*BR77+(1-EXP(-LN(2)/2))/(LN(2)/2)*BL78*BO78*VLOOKUP('Données projet'!$B$11,Paramètres!$A$1:$I$89,3,0)*0.475*44/12</f>
        <v>2.2032035914918796E-6</v>
      </c>
      <c r="BS78" s="24">
        <f t="shared" si="63"/>
        <v>2.0328156088868559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6</v>
      </c>
      <c r="N79" s="14">
        <f>IF('Données projet'!$A$36&gt;35,N78+M79-V78,IF(A79&lt;'Données projet'!$A$36,$K$205^A79,IF(A79='Données projet'!$A$36,'Données projet'!$B$36,N78+M79-V78)))</f>
        <v>238.00000000000011</v>
      </c>
      <c r="O79" s="14">
        <f>N79*VLOOKUP('Données projet'!$B$9,Paramètres!$A$1:$I$89,3,0)*VLOOKUP('Données projet'!$B$9,Paramètres!$A$1:$I$89,5,0)</f>
        <v>241.33200000000014</v>
      </c>
      <c r="P79" s="14">
        <f t="shared" si="87"/>
        <v>58.726024391301159</v>
      </c>
      <c r="Q79" s="22">
        <f t="shared" si="54"/>
        <v>522.60105914818303</v>
      </c>
      <c r="R79" s="62">
        <f t="shared" si="55"/>
        <v>791.69064352903251</v>
      </c>
      <c r="S79" s="62">
        <f ca="1">AVERAGE(OFFSET($R$3,0,0,'Données projet'!$E$9+1,1))-AVERAGE(OFFSET($H$3,0,0,'Données projet'!$E$9+1,1))</f>
        <v>446.90706503298787</v>
      </c>
      <c r="T79" s="62">
        <f t="shared" si="88"/>
        <v>275.54513370838777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0.84486150061832688</v>
      </c>
      <c r="AB79" s="23">
        <f>EXP(-LN(2)/2)*AB78+(1-EXP(-LN(2)/2))/(LN(2)/2)*V79*Y79*VLOOKUP('Données projet'!$B$9,Paramètres!$A$1:$I$89,3,0)*0.475*44/12</f>
        <v>1.6765622477203604E-6</v>
      </c>
      <c r="AC79" s="24">
        <f t="shared" si="57"/>
        <v>0.84486317718057458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6</v>
      </c>
      <c r="AI79" s="14">
        <f>IF('Données projet'!$A$62&gt;35,AI78+AH79-AQ78,IF(A79&lt;'Données projet'!$A$62,$AF$205^A79,IF(A79='Données projet'!$A$62,'Données projet'!$B$62,AI78+AH79-AQ78)))</f>
        <v>238.00000000000011</v>
      </c>
      <c r="AJ79" s="14">
        <f>AI79*VLOOKUP('Données projet'!$B$10,Paramètres!$A$1:$I$89,3,0)*VLOOKUP('Données projet'!$B$10,Paramètres!$A$1:$I$89,5,0)</f>
        <v>159.65040000000008</v>
      </c>
      <c r="AK79" s="14">
        <f t="shared" si="89"/>
        <v>40.763652115150741</v>
      </c>
      <c r="AL79" s="22">
        <f t="shared" si="58"/>
        <v>349.05447410055427</v>
      </c>
      <c r="AM79" s="62">
        <f t="shared" si="59"/>
        <v>618.1440584814037</v>
      </c>
      <c r="AN79" s="62">
        <f ca="1">AVERAGE(OFFSET($AM$3,0,0,'Données projet'!$E$10+1,1))-AVERAGE(OFFSET($H$3,0,0,'Données projet'!$E$10+1,1))</f>
        <v>312.88185844251097</v>
      </c>
      <c r="AO79" s="62">
        <f t="shared" si="90"/>
        <v>202.68317767036231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0.68888706973494318</v>
      </c>
      <c r="AW79" s="23">
        <f>EXP(-LN(2)/2)*AW78+(1-EXP(-LN(2)/2))/(LN(2)/2)*AQ79*AT79*VLOOKUP('Données projet'!$B$10,Paramètres!$A$1:$I$89,3,0)*0.475*44/12</f>
        <v>1.2158123817333971E-6</v>
      </c>
      <c r="AX79" s="23">
        <f t="shared" si="60"/>
        <v>0.68888828554732495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2.2000000000000002</v>
      </c>
      <c r="BD79" s="13">
        <f>IF('Données projet'!$A$88&gt;35,BD78+BC79-BL78,IF(A79&lt;'Données projet'!$A$88,$BA$205^A79,IF(A79='Données projet'!$A$88,'Données projet'!$B$88,BD78+BC79-BL78)))</f>
        <v>212.19999999999993</v>
      </c>
      <c r="BE79" s="14">
        <f>BD79*VLOOKUP('Données projet'!$B$11,Paramètres!$A$1:$I$89,3,0)*VLOOKUP('Données projet'!$B$11,Paramètres!$A$1:$I$89,5,0)</f>
        <v>185.37791999999996</v>
      </c>
      <c r="BF79" s="14">
        <f t="shared" si="91"/>
        <v>46.516616531004161</v>
      </c>
      <c r="BG79" s="22">
        <f t="shared" si="61"/>
        <v>403.88298445816548</v>
      </c>
      <c r="BH79" s="62">
        <f t="shared" si="62"/>
        <v>672.97256883901491</v>
      </c>
      <c r="BI79" s="62">
        <f ca="1">AVERAGE(OFFSET($BH$3,0,0,'Données projet'!$E$11+1,1))-AVERAGE(OFFSET($H$3,0,0,'Données projet'!$E$11+1,1))</f>
        <v>287.22548699835653</v>
      </c>
      <c r="BJ79" s="62">
        <f t="shared" si="92"/>
        <v>276.01618888357268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1.9772260162038444</v>
      </c>
      <c r="BR79" s="23">
        <f>EXP(-LN(2)/2)*BR78+(1-EXP(-LN(2)/2))/(LN(2)/2)*BL79*BO79*VLOOKUP('Données projet'!$B$11,Paramètres!$A$1:$I$89,3,0)*0.475*44/12</f>
        <v>1.5579001998784641E-6</v>
      </c>
      <c r="BS79" s="24">
        <f t="shared" si="63"/>
        <v>1.9772275741040444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6</v>
      </c>
      <c r="N80" s="14">
        <f>IF('Données projet'!$A$36&gt;35,N79+M80-V79,IF(A80&lt;'Données projet'!$A$36,$K$205^A80,IF(A80='Données projet'!$A$36,'Données projet'!$B$36,N79+M80-V79)))</f>
        <v>244.00000000000011</v>
      </c>
      <c r="O80" s="14">
        <f>N80*VLOOKUP('Données projet'!$B$9,Paramètres!$A$1:$I$89,3,0)*VLOOKUP('Données projet'!$B$9,Paramètres!$A$1:$I$89,5,0)</f>
        <v>247.41600000000014</v>
      </c>
      <c r="P80" s="14">
        <f t="shared" si="87"/>
        <v>60.032282000540242</v>
      </c>
      <c r="Q80" s="22">
        <f t="shared" si="54"/>
        <v>535.47242448427448</v>
      </c>
      <c r="R80" s="62">
        <f t="shared" si="55"/>
        <v>804.98258370854683</v>
      </c>
      <c r="S80" s="62">
        <f ca="1">AVERAGE(OFFSET($R$3,0,0,'Données projet'!$E$9+1,1))-AVERAGE(OFFSET($H$3,0,0,'Données projet'!$E$9+1,1))</f>
        <v>446.90706503298787</v>
      </c>
      <c r="T80" s="62">
        <f t="shared" si="88"/>
        <v>275.54513370838777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0.82175871845458337</v>
      </c>
      <c r="AB80" s="23">
        <f>EXP(-LN(2)/2)*AB79+(1-EXP(-LN(2)/2))/(LN(2)/2)*V80*Y80*VLOOKUP('Données projet'!$B$9,Paramètres!$A$1:$I$89,3,0)*0.475*44/12</f>
        <v>1.1855085344444271E-6</v>
      </c>
      <c r="AC80" s="24">
        <f t="shared" si="57"/>
        <v>0.82175990396311782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6</v>
      </c>
      <c r="AI80" s="14">
        <f>IF('Données projet'!$A$62&gt;35,AI79+AH80-AQ79,IF(A80&lt;'Données projet'!$A$62,$AF$205^A80,IF(A80='Données projet'!$A$62,'Données projet'!$B$62,AI79+AH80-AQ79)))</f>
        <v>244.00000000000011</v>
      </c>
      <c r="AJ80" s="14">
        <f>AI80*VLOOKUP('Données projet'!$B$10,Paramètres!$A$1:$I$89,3,0)*VLOOKUP('Données projet'!$B$10,Paramètres!$A$1:$I$89,5,0)</f>
        <v>163.67520000000007</v>
      </c>
      <c r="AK80" s="14">
        <f t="shared" si="89"/>
        <v>41.670368197291623</v>
      </c>
      <c r="AL80" s="22">
        <f t="shared" si="58"/>
        <v>357.64353127694972</v>
      </c>
      <c r="AM80" s="62">
        <f t="shared" si="59"/>
        <v>627.15369050122194</v>
      </c>
      <c r="AN80" s="62">
        <f ca="1">AVERAGE(OFFSET($AM$3,0,0,'Données projet'!$E$10+1,1))-AVERAGE(OFFSET($H$3,0,0,'Données projet'!$E$10+1,1))</f>
        <v>312.88185844251097</v>
      </c>
      <c r="AO80" s="62">
        <f t="shared" si="90"/>
        <v>202.68317767036231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0.67004941658604467</v>
      </c>
      <c r="AW80" s="23">
        <f>EXP(-LN(2)/2)*AW79+(1-EXP(-LN(2)/2))/(LN(2)/2)*AQ80*AT80*VLOOKUP('Données projet'!$B$10,Paramètres!$A$1:$I$89,3,0)*0.475*44/12</f>
        <v>8.5970917977425244E-7</v>
      </c>
      <c r="AX80" s="23">
        <f t="shared" si="60"/>
        <v>0.6700502762952244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2.2000000000000002</v>
      </c>
      <c r="BD80" s="13">
        <f>IF('Données projet'!$A$88&gt;35,BD79+BC80-BL79,IF(A80&lt;'Données projet'!$A$88,$BA$205^A80,IF(A80='Données projet'!$A$88,'Données projet'!$B$88,BD79+BC80-BL79)))</f>
        <v>214.39999999999992</v>
      </c>
      <c r="BE80" s="14">
        <f>BD80*VLOOKUP('Données projet'!$B$11,Paramètres!$A$1:$I$89,3,0)*VLOOKUP('Données projet'!$B$11,Paramètres!$A$1:$I$89,5,0)</f>
        <v>187.29983999999996</v>
      </c>
      <c r="BF80" s="14">
        <f t="shared" si="91"/>
        <v>46.942489429228111</v>
      </c>
      <c r="BG80" s="22">
        <f t="shared" si="61"/>
        <v>407.97205708923889</v>
      </c>
      <c r="BH80" s="62">
        <f t="shared" si="62"/>
        <v>677.48221631351112</v>
      </c>
      <c r="BI80" s="62">
        <f ca="1">AVERAGE(OFFSET($BH$3,0,0,'Données projet'!$E$11+1,1))-AVERAGE(OFFSET($H$3,0,0,'Données projet'!$E$11+1,1))</f>
        <v>287.22548699835653</v>
      </c>
      <c r="BJ80" s="62">
        <f t="shared" si="92"/>
        <v>276.01618888357268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1.923158666812953</v>
      </c>
      <c r="BR80" s="23">
        <f>EXP(-LN(2)/2)*BR79+(1-EXP(-LN(2)/2))/(LN(2)/2)*BL80*BO80*VLOOKUP('Données projet'!$B$11,Paramètres!$A$1:$I$89,3,0)*0.475*44/12</f>
        <v>1.1016017957459398E-6</v>
      </c>
      <c r="BS80" s="24">
        <f t="shared" si="63"/>
        <v>1.9231597684147488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6</v>
      </c>
      <c r="N81" s="14">
        <f>IF('Données projet'!$A$36&gt;35,N80+M81-V80,IF(A81&lt;'Données projet'!$A$36,$K$205^A81,IF(A81='Données projet'!$A$36,'Données projet'!$B$36,N80+M81-V80)))</f>
        <v>250.00000000000011</v>
      </c>
      <c r="O81" s="14">
        <f>N81*VLOOKUP('Données projet'!$B$9,Paramètres!$A$1:$I$89,3,0)*VLOOKUP('Données projet'!$B$9,Paramètres!$A$1:$I$89,5,0)</f>
        <v>253.50000000000014</v>
      </c>
      <c r="P81" s="14">
        <f t="shared" si="87"/>
        <v>61.334805663162555</v>
      </c>
      <c r="Q81" s="22">
        <f t="shared" si="54"/>
        <v>548.33728653000833</v>
      </c>
      <c r="R81" s="62">
        <f t="shared" si="55"/>
        <v>818.26072456443455</v>
      </c>
      <c r="S81" s="62">
        <f ca="1">AVERAGE(OFFSET($R$3,0,0,'Données projet'!$E$9+1,1))-AVERAGE(OFFSET($H$3,0,0,'Données projet'!$E$9+1,1))</f>
        <v>446.90706503298787</v>
      </c>
      <c r="T81" s="62">
        <f t="shared" si="88"/>
        <v>275.54513370838777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0.79928768308402998</v>
      </c>
      <c r="AB81" s="23">
        <f>EXP(-LN(2)/2)*AB80+(1-EXP(-LN(2)/2))/(LN(2)/2)*V81*Y81*VLOOKUP('Données projet'!$B$9,Paramètres!$A$1:$I$89,3,0)*0.475*44/12</f>
        <v>8.3828112386018018E-7</v>
      </c>
      <c r="AC81" s="24">
        <f t="shared" si="57"/>
        <v>0.79928852136515383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6</v>
      </c>
      <c r="AI81" s="14">
        <f>IF('Données projet'!$A$62&gt;35,AI80+AH81-AQ80,IF(A81&lt;'Données projet'!$A$62,$AF$205^A81,IF(A81='Données projet'!$A$62,'Données projet'!$B$62,AI80+AH81-AQ80)))</f>
        <v>250.00000000000011</v>
      </c>
      <c r="AJ81" s="14">
        <f>AI81*VLOOKUP('Données projet'!$B$10,Paramètres!$A$1:$I$89,3,0)*VLOOKUP('Données projet'!$B$10,Paramètres!$A$1:$I$89,5,0)</f>
        <v>167.70000000000007</v>
      </c>
      <c r="AK81" s="14">
        <f t="shared" si="89"/>
        <v>42.574492425097432</v>
      </c>
      <c r="AL81" s="22">
        <f t="shared" si="58"/>
        <v>366.22807430704478</v>
      </c>
      <c r="AM81" s="62">
        <f t="shared" si="59"/>
        <v>636.15151234147106</v>
      </c>
      <c r="AN81" s="62">
        <f ca="1">AVERAGE(OFFSET($AM$3,0,0,'Données projet'!$E$10+1,1))-AVERAGE(OFFSET($H$3,0,0,'Données projet'!$E$10+1,1))</f>
        <v>312.88185844251097</v>
      </c>
      <c r="AO81" s="62">
        <f t="shared" si="90"/>
        <v>202.68317767036231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0.65172688005313184</v>
      </c>
      <c r="AW81" s="23">
        <f>EXP(-LN(2)/2)*AW80+(1-EXP(-LN(2)/2))/(LN(2)/2)*AQ81*AT81*VLOOKUP('Données projet'!$B$10,Paramètres!$A$1:$I$89,3,0)*0.475*44/12</f>
        <v>6.0790619086669856E-7</v>
      </c>
      <c r="AX81" s="23">
        <f t="shared" si="60"/>
        <v>0.65172748795932267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2.2000000000000002</v>
      </c>
      <c r="BD81" s="13">
        <f>IF('Données projet'!$A$88&gt;35,BD80+BC81-BL80,IF(A81&lt;'Données projet'!$A$88,$BA$205^A81,IF(A81='Données projet'!$A$88,'Données projet'!$B$88,BD80+BC81-BL80)))</f>
        <v>216.59999999999991</v>
      </c>
      <c r="BE81" s="14">
        <f>BD81*VLOOKUP('Données projet'!$B$11,Paramètres!$A$1:$I$89,3,0)*VLOOKUP('Données projet'!$B$11,Paramètres!$A$1:$I$89,5,0)</f>
        <v>189.22175999999996</v>
      </c>
      <c r="BF81" s="14">
        <f t="shared" si="91"/>
        <v>47.367853957810034</v>
      </c>
      <c r="BG81" s="22">
        <f t="shared" si="61"/>
        <v>412.06024430985235</v>
      </c>
      <c r="BH81" s="62">
        <f t="shared" si="62"/>
        <v>681.98368234427858</v>
      </c>
      <c r="BI81" s="62">
        <f ca="1">AVERAGE(OFFSET($BH$3,0,0,'Données projet'!$E$11+1,1))-AVERAGE(OFFSET($H$3,0,0,'Données projet'!$E$11+1,1))</f>
        <v>287.22548699835653</v>
      </c>
      <c r="BJ81" s="62">
        <f t="shared" si="92"/>
        <v>276.01618888357268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1.870569791934434</v>
      </c>
      <c r="BR81" s="23">
        <f>EXP(-LN(2)/2)*BR80+(1-EXP(-LN(2)/2))/(LN(2)/2)*BL81*BO81*VLOOKUP('Données projet'!$B$11,Paramètres!$A$1:$I$89,3,0)*0.475*44/12</f>
        <v>7.7895009993923207E-7</v>
      </c>
      <c r="BS81" s="24">
        <f t="shared" si="63"/>
        <v>1.8705705708845339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6</v>
      </c>
      <c r="N82" s="14">
        <f>IF('Données projet'!$A$36&gt;35,N81+M82-V81,IF(A82&lt;'Données projet'!$A$36,$K$205^A82,IF(A82='Données projet'!$A$36,'Données projet'!$B$36,N81+M82-V81)))</f>
        <v>256.00000000000011</v>
      </c>
      <c r="O82" s="14">
        <f>N82*VLOOKUP('Données projet'!$B$9,Paramètres!$A$1:$I$89,3,0)*VLOOKUP('Données projet'!$B$9,Paramètres!$A$1:$I$89,5,0)</f>
        <v>259.58400000000017</v>
      </c>
      <c r="P82" s="14">
        <f t="shared" si="87"/>
        <v>62.63369530482359</v>
      </c>
      <c r="Q82" s="22">
        <f t="shared" si="54"/>
        <v>561.19581932256801</v>
      </c>
      <c r="R82" s="62">
        <f t="shared" si="55"/>
        <v>831.52536670374502</v>
      </c>
      <c r="S82" s="62">
        <f ca="1">AVERAGE(OFFSET($R$3,0,0,'Données projet'!$E$9+1,1))-AVERAGE(OFFSET($H$3,0,0,'Données projet'!$E$9+1,1))</f>
        <v>446.90706503298787</v>
      </c>
      <c r="T82" s="62">
        <f t="shared" si="88"/>
        <v>275.54513370838777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0.77743111935738474</v>
      </c>
      <c r="AB82" s="23">
        <f>EXP(-LN(2)/2)*AB81+(1-EXP(-LN(2)/2))/(LN(2)/2)*V82*Y82*VLOOKUP('Données projet'!$B$9,Paramètres!$A$1:$I$89,3,0)*0.475*44/12</f>
        <v>5.9275426722221357E-7</v>
      </c>
      <c r="AC82" s="24">
        <f t="shared" si="57"/>
        <v>0.77743171211165196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6</v>
      </c>
      <c r="AI82" s="14">
        <f>IF('Données projet'!$A$62&gt;35,AI81+AH82-AQ81,IF(A82&lt;'Données projet'!$A$62,$AF$205^A82,IF(A82='Données projet'!$A$62,'Données projet'!$B$62,AI81+AH82-AQ81)))</f>
        <v>256.00000000000011</v>
      </c>
      <c r="AJ82" s="14">
        <f>AI82*VLOOKUP('Données projet'!$B$10,Paramètres!$A$1:$I$89,3,0)*VLOOKUP('Données projet'!$B$10,Paramètres!$A$1:$I$89,5,0)</f>
        <v>171.72480000000007</v>
      </c>
      <c r="AK82" s="14">
        <f t="shared" si="89"/>
        <v>43.476094160230112</v>
      </c>
      <c r="AL82" s="22">
        <f t="shared" si="58"/>
        <v>374.80822399573418</v>
      </c>
      <c r="AM82" s="62">
        <f t="shared" si="59"/>
        <v>645.13777137691113</v>
      </c>
      <c r="AN82" s="62">
        <f ca="1">AVERAGE(OFFSET($AM$3,0,0,'Données projet'!$E$10+1,1))-AVERAGE(OFFSET($H$3,0,0,'Données projet'!$E$10+1,1))</f>
        <v>312.88185844251097</v>
      </c>
      <c r="AO82" s="62">
        <f t="shared" si="90"/>
        <v>202.68317767036231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0.63390537424525184</v>
      </c>
      <c r="AW82" s="23">
        <f>EXP(-LN(2)/2)*AW81+(1-EXP(-LN(2)/2))/(LN(2)/2)*AQ82*AT82*VLOOKUP('Données projet'!$B$10,Paramètres!$A$1:$I$89,3,0)*0.475*44/12</f>
        <v>4.2985458988712622E-7</v>
      </c>
      <c r="AX82" s="23">
        <f t="shared" si="60"/>
        <v>0.63390580409984176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2.2000000000000002</v>
      </c>
      <c r="BD82" s="13">
        <f>IF('Données projet'!$A$88&gt;35,BD81+BC82-BL81,IF(A82&lt;'Données projet'!$A$88,$BA$205^A82,IF(A82='Données projet'!$A$88,'Données projet'!$B$88,BD81+BC82-BL81)))</f>
        <v>218.7999999999999</v>
      </c>
      <c r="BE82" s="14">
        <f>BD82*VLOOKUP('Données projet'!$B$11,Paramètres!$A$1:$I$89,3,0)*VLOOKUP('Données projet'!$B$11,Paramètres!$A$1:$I$89,5,0)</f>
        <v>191.14367999999993</v>
      </c>
      <c r="BF82" s="14">
        <f t="shared" si="91"/>
        <v>47.792715878069544</v>
      </c>
      <c r="BG82" s="22">
        <f t="shared" si="61"/>
        <v>416.14755615430431</v>
      </c>
      <c r="BH82" s="62">
        <f t="shared" si="62"/>
        <v>686.47710353548132</v>
      </c>
      <c r="BI82" s="62">
        <f ca="1">AVERAGE(OFFSET($BH$3,0,0,'Données projet'!$E$11+1,1))-AVERAGE(OFFSET($H$3,0,0,'Données projet'!$E$11+1,1))</f>
        <v>287.22548699835653</v>
      </c>
      <c r="BJ82" s="62">
        <f t="shared" si="92"/>
        <v>276.01618888357268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1.8194189626049968</v>
      </c>
      <c r="BR82" s="23">
        <f>EXP(-LN(2)/2)*BR81+(1-EXP(-LN(2)/2))/(LN(2)/2)*BL82*BO82*VLOOKUP('Données projet'!$B$11,Paramètres!$A$1:$I$89,3,0)*0.475*44/12</f>
        <v>5.508008978729699E-7</v>
      </c>
      <c r="BS82" s="24">
        <f t="shared" si="63"/>
        <v>1.8194195134058946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262</v>
      </c>
      <c r="L83" s="13">
        <f>VLOOKUP(A83,'Données projet'!$A$35:$I$55,9,0)</f>
        <v>6</v>
      </c>
      <c r="M83" s="13">
        <f t="array" ref="M83">INDEX(L:L,MIN(IF(ISNUMBER(L83:L279),ROW(L83:L279),"")))</f>
        <v>6</v>
      </c>
      <c r="N83" s="14">
        <f>IF('Données projet'!$A$36&gt;35,N82+M83-V82,IF(A83&lt;'Données projet'!$A$36,$K$205^A83,IF(A83='Données projet'!$A$36,'Données projet'!$B$36,N82+M83-V82)))</f>
        <v>262.00000000000011</v>
      </c>
      <c r="O83" s="14">
        <f>N83*VLOOKUP('Données projet'!$B$9,Paramètres!$A$1:$I$89,3,0)*VLOOKUP('Données projet'!$B$9,Paramètres!$A$1:$I$89,5,0)</f>
        <v>265.66800000000012</v>
      </c>
      <c r="P83" s="14">
        <f t="shared" si="87"/>
        <v>63.929045899944406</v>
      </c>
      <c r="Q83" s="22">
        <f t="shared" si="54"/>
        <v>574.04818827573672</v>
      </c>
      <c r="R83" s="62">
        <f t="shared" si="55"/>
        <v>844.77679991442278</v>
      </c>
      <c r="S83" s="62">
        <f ca="1">AVERAGE(OFFSET($R$3,0,0,'Données projet'!$E$9+1,1))-AVERAGE(OFFSET($H$3,0,0,'Données projet'!$E$9+1,1))</f>
        <v>446.90706503298787</v>
      </c>
      <c r="T83" s="62">
        <f t="shared" si="88"/>
        <v>275.54513370838777</v>
      </c>
      <c r="U83" s="16">
        <f>IF(ISNA(VLOOKUP(A83,'Données projet'!$A$35:$I$55,3,0)),0,VLOOKUP(A83,'Données projet'!$A$35:$I$55,3,0))</f>
        <v>12</v>
      </c>
      <c r="V83" s="16">
        <f>IF(ISNA(VLOOKUP(A83,'Données projet'!$A$35:$I$55,4,0)),0,VLOOKUP(A83,'Données projet'!$A$35:$I$55,4,0))</f>
        <v>21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0.75617222451523136</v>
      </c>
      <c r="AB83" s="23">
        <f>EXP(-LN(2)/2)*AB82+(1-EXP(-LN(2)/2))/(LN(2)/2)*V83*Y83*VLOOKUP('Données projet'!$B$9,Paramètres!$A$1:$I$89,3,0)*0.475*44/12</f>
        <v>4.1914056193009009E-7</v>
      </c>
      <c r="AC83" s="24">
        <f t="shared" si="57"/>
        <v>0.75617264365579329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262</v>
      </c>
      <c r="AG83" s="13">
        <f>VLOOKUP(A83,'Données projet'!$A$61:$I$81,9,0)</f>
        <v>6</v>
      </c>
      <c r="AH83" s="13">
        <f t="array" ref="AH83">INDEX(AG:AG,MIN(IF(ISNUMBER(AG83:AG279),ROW(AG83:AG279),"")))</f>
        <v>6</v>
      </c>
      <c r="AI83" s="14">
        <f>IF('Données projet'!$A$62&gt;35,AI82+AH83-AQ82,IF(A83&lt;'Données projet'!$A$62,$AF$205^A83,IF(A83='Données projet'!$A$62,'Données projet'!$B$62,AI82+AH83-AQ82)))</f>
        <v>262.00000000000011</v>
      </c>
      <c r="AJ83" s="14">
        <f>AI83*VLOOKUP('Données projet'!$B$10,Paramètres!$A$1:$I$89,3,0)*VLOOKUP('Données projet'!$B$10,Paramètres!$A$1:$I$89,5,0)</f>
        <v>175.7496000000001</v>
      </c>
      <c r="AK83" s="14">
        <f t="shared" si="89"/>
        <v>44.375239327538246</v>
      </c>
      <c r="AL83" s="22">
        <f t="shared" si="58"/>
        <v>383.38409516212931</v>
      </c>
      <c r="AM83" s="62">
        <f t="shared" si="59"/>
        <v>654.11270680081543</v>
      </c>
      <c r="AN83" s="62">
        <f ca="1">AVERAGE(OFFSET($AM$3,0,0,'Données projet'!$E$10+1,1))-AVERAGE(OFFSET($H$3,0,0,'Données projet'!$E$10+1,1))</f>
        <v>312.88185844251097</v>
      </c>
      <c r="AO83" s="62">
        <f t="shared" si="90"/>
        <v>202.68317767036231</v>
      </c>
      <c r="AP83" s="16">
        <f>IF(ISNA(VLOOKUP(A83,'Données projet'!$A$61:$I$81,3,0)),0,VLOOKUP(A83,'Données projet'!$A$61:$I$81,3,0))</f>
        <v>12</v>
      </c>
      <c r="AQ83" s="16">
        <f>IF(ISNA(VLOOKUP(A83,'Données projet'!$A$61:$I$81,4,0)),0,VLOOKUP(A83,'Données projet'!$A$61:$I$81,4,0))</f>
        <v>21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0.6165711984508806</v>
      </c>
      <c r="AW83" s="23">
        <f>EXP(-LN(2)/2)*AW82+(1-EXP(-LN(2)/2))/(LN(2)/2)*AQ83*AT83*VLOOKUP('Données projet'!$B$10,Paramètres!$A$1:$I$89,3,0)*0.475*44/12</f>
        <v>3.0395309543334928E-7</v>
      </c>
      <c r="AX83" s="23">
        <f t="shared" si="60"/>
        <v>0.61657150240397607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221</v>
      </c>
      <c r="BB83" s="13">
        <f>VLOOKUP(A83,'Données projet'!$A$87:$I$107,9,0)</f>
        <v>2.2000000000000002</v>
      </c>
      <c r="BC83" s="13">
        <f t="array" ref="BC83">INDEX(BB:BB,MIN(IF(ISNUMBER(BB83:BB279),ROW(BB83:BB279),"")))</f>
        <v>2.2000000000000002</v>
      </c>
      <c r="BD83" s="13">
        <f>IF('Données projet'!$A$88&gt;35,BD82+BC83-BL82,IF(A83&lt;'Données projet'!$A$88,$BA$205^A83,IF(A83='Données projet'!$A$88,'Données projet'!$B$88,BD82+BC83-BL82)))</f>
        <v>220.99999999999989</v>
      </c>
      <c r="BE83" s="14">
        <f>BD83*VLOOKUP('Données projet'!$B$11,Paramètres!$A$1:$I$89,3,0)*VLOOKUP('Données projet'!$B$11,Paramètres!$A$1:$I$89,5,0)</f>
        <v>193.06559999999993</v>
      </c>
      <c r="BF83" s="14">
        <f t="shared" si="91"/>
        <v>48.217080828790415</v>
      </c>
      <c r="BG83" s="22">
        <f t="shared" si="61"/>
        <v>420.23400244347653</v>
      </c>
      <c r="BH83" s="62">
        <f t="shared" si="62"/>
        <v>690.96261408216264</v>
      </c>
      <c r="BI83" s="62">
        <f ca="1">AVERAGE(OFFSET($BH$3,0,0,'Données projet'!$E$11+1,1))-AVERAGE(OFFSET($H$3,0,0,'Données projet'!$E$11+1,1))</f>
        <v>287.22548699835653</v>
      </c>
      <c r="BJ83" s="62">
        <f t="shared" si="92"/>
        <v>276.01618888357268</v>
      </c>
      <c r="BK83" s="16">
        <f>IF(ISNA(VLOOKUP(A83,'Données projet'!$A$87:$I$107,3,0)),0,VLOOKUP(A83,'Données projet'!$A$87:$I$107,3,0))</f>
        <v>14</v>
      </c>
      <c r="BL83" s="23">
        <f>IF(ISNA(VLOOKUP(A83,'Données projet'!$A$87:$I$107,4,0)),0,VLOOKUP(A83,'Données projet'!$A$87:$I$107,4,0))</f>
        <v>221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1.7696668553934782</v>
      </c>
      <c r="BR83" s="23">
        <f>EXP(-LN(2)/2)*BR82+(1-EXP(-LN(2)/2))/(LN(2)/2)*BL83*BO83*VLOOKUP('Données projet'!$B$11,Paramètres!$A$1:$I$89,3,0)*0.475*44/12</f>
        <v>3.8947504996961604E-7</v>
      </c>
      <c r="BS83" s="24">
        <f t="shared" si="63"/>
        <v>1.7696672448685282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5.6</v>
      </c>
      <c r="N84" s="14">
        <f>IF('Données projet'!$A$36&gt;35,N83+M84-V83,IF(A84&lt;'Données projet'!$A$36,$K$205^A84,IF(A84='Données projet'!$A$36,'Données projet'!$B$36,N83+M84-V83)))</f>
        <v>246.60000000000014</v>
      </c>
      <c r="O84" s="14">
        <f>N84*VLOOKUP('Données projet'!$B$9,Paramètres!$A$1:$I$89,3,0)*VLOOKUP('Données projet'!$B$9,Paramètres!$A$1:$I$89,5,0)</f>
        <v>250.05240000000018</v>
      </c>
      <c r="P84" s="14">
        <f t="shared" si="87"/>
        <v>60.597161386823522</v>
      </c>
      <c r="Q84" s="22">
        <f t="shared" si="54"/>
        <v>541.04798608205112</v>
      </c>
      <c r="R84" s="62">
        <f t="shared" si="55"/>
        <v>812.1687391055525</v>
      </c>
      <c r="S84" s="62">
        <f ca="1">AVERAGE(OFFSET($R$3,0,0,'Données projet'!$E$9+1,1))-AVERAGE(OFFSET($H$3,0,0,'Données projet'!$E$9+1,1))</f>
        <v>446.90706503298787</v>
      </c>
      <c r="T84" s="62">
        <f t="shared" si="88"/>
        <v>275.54513370838777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0.73549465527049329</v>
      </c>
      <c r="AB84" s="23">
        <f>EXP(-LN(2)/2)*AB83+(1-EXP(-LN(2)/2))/(LN(2)/2)*V84*Y84*VLOOKUP('Données projet'!$B$9,Paramètres!$A$1:$I$89,3,0)*0.475*44/12</f>
        <v>2.9637713361110678E-7</v>
      </c>
      <c r="AC84" s="24">
        <f t="shared" si="57"/>
        <v>0.7354949516476269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5.6</v>
      </c>
      <c r="AI84" s="14">
        <f>IF('Données projet'!$A$62&gt;35,AI83+AH84-AQ83,IF(A84&lt;'Données projet'!$A$62,$AF$205^A84,IF(A84='Données projet'!$A$62,'Données projet'!$B$62,AI83+AH84-AQ83)))</f>
        <v>246.60000000000014</v>
      </c>
      <c r="AJ84" s="14">
        <f>AI84*VLOOKUP('Données projet'!$B$10,Paramètres!$A$1:$I$89,3,0)*VLOOKUP('Données projet'!$B$10,Paramètres!$A$1:$I$89,5,0)</f>
        <v>165.4192800000001</v>
      </c>
      <c r="AK84" s="14">
        <f t="shared" si="89"/>
        <v>42.062469433977455</v>
      </c>
      <c r="AL84" s="22">
        <f t="shared" si="58"/>
        <v>361.36404693084415</v>
      </c>
      <c r="AM84" s="62">
        <f t="shared" si="59"/>
        <v>632.48479995434559</v>
      </c>
      <c r="AN84" s="62">
        <f ca="1">AVERAGE(OFFSET($AM$3,0,0,'Données projet'!$E$10+1,1))-AVERAGE(OFFSET($H$3,0,0,'Données projet'!$E$10+1,1))</f>
        <v>312.88185844251097</v>
      </c>
      <c r="AO84" s="62">
        <f t="shared" si="90"/>
        <v>202.68317767036231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0.59971102660517117</v>
      </c>
      <c r="AW84" s="23">
        <f>EXP(-LN(2)/2)*AW83+(1-EXP(-LN(2)/2))/(LN(2)/2)*AQ84*AT84*VLOOKUP('Données projet'!$B$10,Paramètres!$A$1:$I$89,3,0)*0.475*44/12</f>
        <v>2.1492729494356311E-7</v>
      </c>
      <c r="AX84" s="23">
        <f t="shared" si="60"/>
        <v>0.59971124153246613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-1.1368683772161603E-13</v>
      </c>
      <c r="BE84" s="14">
        <f>BD84*VLOOKUP('Données projet'!$B$11,Paramètres!$A$1:$I$89,3,0)*VLOOKUP('Données projet'!$B$11,Paramètres!$A$1:$I$89,5,0)</f>
        <v>-9.9316821433603781E-14</v>
      </c>
      <c r="BF84" s="14" t="e">
        <f t="shared" si="91"/>
        <v>#NUM!</v>
      </c>
      <c r="BG84" s="22" t="e">
        <f t="shared" si="61"/>
        <v>#NUM!</v>
      </c>
      <c r="BH84" s="62" t="e">
        <f t="shared" si="62"/>
        <v>#NUM!</v>
      </c>
      <c r="BI84" s="62">
        <f ca="1">AVERAGE(OFFSET($BH$3,0,0,'Données projet'!$E$11+1,1))-AVERAGE(OFFSET($H$3,0,0,'Données projet'!$E$11+1,1))</f>
        <v>287.22548699835653</v>
      </c>
      <c r="BJ84" s="62">
        <f t="shared" si="92"/>
        <v>276.01618888357268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1.7212752221700083</v>
      </c>
      <c r="BR84" s="23">
        <f>EXP(-LN(2)/2)*BR83+(1-EXP(-LN(2)/2))/(LN(2)/2)*BL84*BO84*VLOOKUP('Données projet'!$B$11,Paramètres!$A$1:$I$89,3,0)*0.475*44/12</f>
        <v>2.7540044893648495E-7</v>
      </c>
      <c r="BS84" s="24">
        <f t="shared" si="63"/>
        <v>1.7212754975704572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5.6</v>
      </c>
      <c r="N85" s="14">
        <f>IF('Données projet'!$A$36&gt;35,N84+M85-V84,IF(A85&lt;'Données projet'!$A$36,$K$205^A85,IF(A85='Données projet'!$A$36,'Données projet'!$B$36,N84+M85-V84)))</f>
        <v>252.20000000000013</v>
      </c>
      <c r="O85" s="14">
        <f>N85*VLOOKUP('Données projet'!$B$9,Paramètres!$A$1:$I$89,3,0)*VLOOKUP('Données projet'!$B$9,Paramètres!$A$1:$I$89,5,0)</f>
        <v>255.73080000000016</v>
      </c>
      <c r="P85" s="14">
        <f t="shared" si="87"/>
        <v>61.811482021795285</v>
      </c>
      <c r="Q85" s="22">
        <f t="shared" si="54"/>
        <v>553.05280785462708</v>
      </c>
      <c r="R85" s="62">
        <f t="shared" si="55"/>
        <v>824.55889948661411</v>
      </c>
      <c r="S85" s="62">
        <f ca="1">AVERAGE(OFFSET($R$3,0,0,'Données projet'!$E$9+1,1))-AVERAGE(OFFSET($H$3,0,0,'Données projet'!$E$9+1,1))</f>
        <v>446.90706503298787</v>
      </c>
      <c r="T85" s="62">
        <f t="shared" si="88"/>
        <v>275.54513370838777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0.71538251524413876</v>
      </c>
      <c r="AB85" s="23">
        <f>EXP(-LN(2)/2)*AB84+(1-EXP(-LN(2)/2))/(LN(2)/2)*V85*Y85*VLOOKUP('Données projet'!$B$9,Paramètres!$A$1:$I$89,3,0)*0.475*44/12</f>
        <v>2.0957028096504504E-7</v>
      </c>
      <c r="AC85" s="24">
        <f t="shared" si="57"/>
        <v>0.71538272481441978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5.6</v>
      </c>
      <c r="AI85" s="14">
        <f>IF('Données projet'!$A$62&gt;35,AI84+AH85-AQ84,IF(A85&lt;'Données projet'!$A$62,$AF$205^A85,IF(A85='Données projet'!$A$62,'Données projet'!$B$62,AI84+AH85-AQ84)))</f>
        <v>252.20000000000013</v>
      </c>
      <c r="AJ85" s="14">
        <f>AI85*VLOOKUP('Données projet'!$B$10,Paramètres!$A$1:$I$89,3,0)*VLOOKUP('Données projet'!$B$10,Paramètres!$A$1:$I$89,5,0)</f>
        <v>169.17576000000008</v>
      </c>
      <c r="AK85" s="14">
        <f t="shared" si="89"/>
        <v>42.905369058689196</v>
      </c>
      <c r="AL85" s="22">
        <f t="shared" si="58"/>
        <v>369.37463311055041</v>
      </c>
      <c r="AM85" s="62">
        <f t="shared" si="59"/>
        <v>640.8807247425375</v>
      </c>
      <c r="AN85" s="62">
        <f ca="1">AVERAGE(OFFSET($AM$3,0,0,'Données projet'!$E$10+1,1))-AVERAGE(OFFSET($H$3,0,0,'Données projet'!$E$10+1,1))</f>
        <v>312.88185844251097</v>
      </c>
      <c r="AO85" s="62">
        <f t="shared" si="90"/>
        <v>202.68317767036231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0.58331189704522057</v>
      </c>
      <c r="AW85" s="23">
        <f>EXP(-LN(2)/2)*AW84+(1-EXP(-LN(2)/2))/(LN(2)/2)*AQ85*AT85*VLOOKUP('Données projet'!$B$10,Paramètres!$A$1:$I$89,3,0)*0.475*44/12</f>
        <v>1.5197654771667464E-7</v>
      </c>
      <c r="AX85" s="23">
        <f t="shared" si="60"/>
        <v>0.58331204902176825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-1.1368683772161603E-13</v>
      </c>
      <c r="BE85" s="14">
        <f>BD85*VLOOKUP('Données projet'!$B$11,Paramètres!$A$1:$I$89,3,0)*VLOOKUP('Données projet'!$B$11,Paramètres!$A$1:$I$89,5,0)</f>
        <v>-9.9316821433603781E-14</v>
      </c>
      <c r="BF85" s="14" t="e">
        <f t="shared" si="91"/>
        <v>#NUM!</v>
      </c>
      <c r="BG85" s="22" t="e">
        <f t="shared" si="61"/>
        <v>#NUM!</v>
      </c>
      <c r="BH85" s="62" t="e">
        <f t="shared" si="62"/>
        <v>#NUM!</v>
      </c>
      <c r="BI85" s="62">
        <f ca="1">AVERAGE(OFFSET($BH$3,0,0,'Données projet'!$E$11+1,1))-AVERAGE(OFFSET($H$3,0,0,'Données projet'!$E$11+1,1))</f>
        <v>287.22548699835653</v>
      </c>
      <c r="BJ85" s="62">
        <f t="shared" si="92"/>
        <v>276.01618888357268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1.6742068607018394</v>
      </c>
      <c r="BR85" s="23">
        <f>EXP(-LN(2)/2)*BR84+(1-EXP(-LN(2)/2))/(LN(2)/2)*BL85*BO85*VLOOKUP('Données projet'!$B$11,Paramètres!$A$1:$I$89,3,0)*0.475*44/12</f>
        <v>1.9473752498480802E-7</v>
      </c>
      <c r="BS85" s="24">
        <f t="shared" si="63"/>
        <v>1.6742070554393644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5.6</v>
      </c>
      <c r="N86" s="14">
        <f>IF('Données projet'!$A$36&gt;35,N85+M86-V85,IF(A86&lt;'Données projet'!$A$36,$K$205^A86,IF(A86='Données projet'!$A$36,'Données projet'!$B$36,N85+M86-V85)))</f>
        <v>257.80000000000013</v>
      </c>
      <c r="O86" s="14">
        <f>N86*VLOOKUP('Données projet'!$B$9,Paramètres!$A$1:$I$89,3,0)*VLOOKUP('Données projet'!$B$9,Paramètres!$A$1:$I$89,5,0)</f>
        <v>261.40920000000011</v>
      </c>
      <c r="P86" s="14">
        <f t="shared" si="87"/>
        <v>63.022667885185157</v>
      </c>
      <c r="Q86" s="22">
        <f t="shared" si="54"/>
        <v>565.052169900031</v>
      </c>
      <c r="R86" s="62">
        <f t="shared" si="55"/>
        <v>836.93691537713448</v>
      </c>
      <c r="S86" s="62">
        <f ca="1">AVERAGE(OFFSET($R$3,0,0,'Données projet'!$E$9+1,1))-AVERAGE(OFFSET($H$3,0,0,'Données projet'!$E$9+1,1))</f>
        <v>446.90706503298787</v>
      </c>
      <c r="T86" s="62">
        <f t="shared" si="88"/>
        <v>275.54513370838777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0.69582034274445637</v>
      </c>
      <c r="AB86" s="23">
        <f>EXP(-LN(2)/2)*AB85+(1-EXP(-LN(2)/2))/(LN(2)/2)*V86*Y86*VLOOKUP('Données projet'!$B$9,Paramètres!$A$1:$I$89,3,0)*0.475*44/12</f>
        <v>1.4818856680555339E-7</v>
      </c>
      <c r="AC86" s="24">
        <f t="shared" si="57"/>
        <v>0.69582049093302312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5.6</v>
      </c>
      <c r="AI86" s="14">
        <f>IF('Données projet'!$A$62&gt;35,AI85+AH86-AQ85,IF(A86&lt;'Données projet'!$A$62,$AF$205^A86,IF(A86='Données projet'!$A$62,'Données projet'!$B$62,AI85+AH86-AQ85)))</f>
        <v>257.80000000000013</v>
      </c>
      <c r="AJ86" s="14">
        <f>AI86*VLOOKUP('Données projet'!$B$10,Paramètres!$A$1:$I$89,3,0)*VLOOKUP('Données projet'!$B$10,Paramètres!$A$1:$I$89,5,0)</f>
        <v>172.93224000000009</v>
      </c>
      <c r="AK86" s="14">
        <f t="shared" si="89"/>
        <v>43.746092736032601</v>
      </c>
      <c r="AL86" s="22">
        <f t="shared" si="58"/>
        <v>377.38142951525697</v>
      </c>
      <c r="AM86" s="62">
        <f t="shared" si="59"/>
        <v>649.26617499236045</v>
      </c>
      <c r="AN86" s="62">
        <f ca="1">AVERAGE(OFFSET($AM$3,0,0,'Données projet'!$E$10+1,1))-AVERAGE(OFFSET($H$3,0,0,'Données projet'!$E$10+1,1))</f>
        <v>312.88185844251097</v>
      </c>
      <c r="AO86" s="62">
        <f t="shared" si="90"/>
        <v>202.68317767036231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0.5673612025454795</v>
      </c>
      <c r="AW86" s="23">
        <f>EXP(-LN(2)/2)*AW85+(1-EXP(-LN(2)/2))/(LN(2)/2)*AQ86*AT86*VLOOKUP('Données projet'!$B$10,Paramètres!$A$1:$I$89,3,0)*0.475*44/12</f>
        <v>1.0746364747178155E-7</v>
      </c>
      <c r="AX86" s="23">
        <f t="shared" si="60"/>
        <v>0.56736131000912693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-1.1368683772161603E-13</v>
      </c>
      <c r="BE86" s="14">
        <f>BD86*VLOOKUP('Données projet'!$B$11,Paramètres!$A$1:$I$89,3,0)*VLOOKUP('Données projet'!$B$11,Paramètres!$A$1:$I$89,5,0)</f>
        <v>-9.9316821433603781E-14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287.22548699835653</v>
      </c>
      <c r="BJ86" s="62">
        <f t="shared" si="92"/>
        <v>276.01618888357268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1.6284255860532353</v>
      </c>
      <c r="BR86" s="23">
        <f>EXP(-LN(2)/2)*BR85+(1-EXP(-LN(2)/2))/(LN(2)/2)*BL86*BO86*VLOOKUP('Données projet'!$B$11,Paramètres!$A$1:$I$89,3,0)*0.475*44/12</f>
        <v>1.3770022446824247E-7</v>
      </c>
      <c r="BS86" s="24">
        <f t="shared" si="63"/>
        <v>1.6284257237534598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5.6</v>
      </c>
      <c r="N87" s="14">
        <f>IF('Données projet'!$A$36&gt;35,N86+M87-V86,IF(A87&lt;'Données projet'!$A$36,$K$205^A87,IF(A87='Données projet'!$A$36,'Données projet'!$B$36,N86+M87-V86)))</f>
        <v>263.40000000000015</v>
      </c>
      <c r="O87" s="14">
        <f>N87*VLOOKUP('Données projet'!$B$9,Paramètres!$A$1:$I$89,3,0)*VLOOKUP('Données projet'!$B$9,Paramètres!$A$1:$I$89,5,0)</f>
        <v>267.08760000000018</v>
      </c>
      <c r="P87" s="14">
        <f t="shared" si="87"/>
        <v>64.230794913549914</v>
      </c>
      <c r="Q87" s="22">
        <f t="shared" si="54"/>
        <v>577.04620447443301</v>
      </c>
      <c r="R87" s="62">
        <f t="shared" si="55"/>
        <v>849.30303499898332</v>
      </c>
      <c r="S87" s="62">
        <f ca="1">AVERAGE(OFFSET($R$3,0,0,'Données projet'!$E$9+1,1))-AVERAGE(OFFSET($H$3,0,0,'Données projet'!$E$9+1,1))</f>
        <v>446.90706503298787</v>
      </c>
      <c r="T87" s="62">
        <f t="shared" si="88"/>
        <v>275.54513370838777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0.67679309888050765</v>
      </c>
      <c r="AB87" s="23">
        <f>EXP(-LN(2)/2)*AB86+(1-EXP(-LN(2)/2))/(LN(2)/2)*V87*Y87*VLOOKUP('Données projet'!$B$9,Paramètres!$A$1:$I$89,3,0)*0.475*44/12</f>
        <v>1.0478514048252252E-7</v>
      </c>
      <c r="AC87" s="24">
        <f t="shared" si="57"/>
        <v>0.6767932036656481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5.6</v>
      </c>
      <c r="AI87" s="14">
        <f>IF('Données projet'!$A$62&gt;35,AI86+AH87-AQ86,IF(A87&lt;'Données projet'!$A$62,$AF$205^A87,IF(A87='Données projet'!$A$62,'Données projet'!$B$62,AI86+AH87-AQ86)))</f>
        <v>263.40000000000015</v>
      </c>
      <c r="AJ87" s="14">
        <f>AI87*VLOOKUP('Données projet'!$B$10,Paramètres!$A$1:$I$89,3,0)*VLOOKUP('Données projet'!$B$10,Paramètres!$A$1:$I$89,5,0)</f>
        <v>176.6887200000001</v>
      </c>
      <c r="AK87" s="14">
        <f t="shared" si="89"/>
        <v>44.584693176052589</v>
      </c>
      <c r="AL87" s="22">
        <f t="shared" si="58"/>
        <v>385.3845279482918</v>
      </c>
      <c r="AM87" s="62">
        <f t="shared" si="59"/>
        <v>657.64135847284206</v>
      </c>
      <c r="AN87" s="62">
        <f ca="1">AVERAGE(OFFSET($AM$3,0,0,'Données projet'!$E$10+1,1))-AVERAGE(OFFSET($H$3,0,0,'Données projet'!$E$10+1,1))</f>
        <v>312.88185844251097</v>
      </c>
      <c r="AO87" s="62">
        <f t="shared" si="90"/>
        <v>202.68317767036231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0.55184668062564446</v>
      </c>
      <c r="AW87" s="23">
        <f>EXP(-LN(2)/2)*AW86+(1-EXP(-LN(2)/2))/(LN(2)/2)*AQ87*AT87*VLOOKUP('Données projet'!$B$10,Paramètres!$A$1:$I$89,3,0)*0.475*44/12</f>
        <v>7.5988273858337319E-8</v>
      </c>
      <c r="AX87" s="23">
        <f t="shared" si="60"/>
        <v>0.55184675661391835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-1.1368683772161603E-13</v>
      </c>
      <c r="BE87" s="14">
        <f>BD87*VLOOKUP('Données projet'!$B$11,Paramètres!$A$1:$I$89,3,0)*VLOOKUP('Données projet'!$B$11,Paramètres!$A$1:$I$89,5,0)</f>
        <v>-9.9316821433603781E-14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287.22548699835653</v>
      </c>
      <c r="BJ87" s="62">
        <f t="shared" si="92"/>
        <v>276.01618888357268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1.5838962027674297</v>
      </c>
      <c r="BR87" s="23">
        <f>EXP(-LN(2)/2)*BR86+(1-EXP(-LN(2)/2))/(LN(2)/2)*BL87*BO87*VLOOKUP('Données projet'!$B$11,Paramètres!$A$1:$I$89,3,0)*0.475*44/12</f>
        <v>9.7368762492404009E-8</v>
      </c>
      <c r="BS87" s="24">
        <f t="shared" si="63"/>
        <v>1.5838963001361921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269</v>
      </c>
      <c r="L88" s="13">
        <f>VLOOKUP(A88,'Données projet'!$A$35:$I$55,9,0)</f>
        <v>5.6</v>
      </c>
      <c r="M88" s="13">
        <f t="array" ref="M88">INDEX(L:L,MIN(IF(ISNUMBER(L88:L284),ROW(L88:L284),"")))</f>
        <v>5.6</v>
      </c>
      <c r="N88" s="14">
        <f>IF('Données projet'!$A$36&gt;35,N87+M88-V87,IF(A88&lt;'Données projet'!$A$36,$K$205^A88,IF(A88='Données projet'!$A$36,'Données projet'!$B$36,N87+M88-V87)))</f>
        <v>269.00000000000017</v>
      </c>
      <c r="O88" s="14">
        <f>N88*VLOOKUP('Données projet'!$B$9,Paramètres!$A$1:$I$89,3,0)*VLOOKUP('Données projet'!$B$9,Paramètres!$A$1:$I$89,5,0)</f>
        <v>272.76600000000019</v>
      </c>
      <c r="P88" s="14">
        <f t="shared" si="87"/>
        <v>65.435935630087627</v>
      </c>
      <c r="Q88" s="22">
        <f t="shared" si="54"/>
        <v>589.03503788906949</v>
      </c>
      <c r="R88" s="62">
        <f t="shared" si="55"/>
        <v>861.65749861735094</v>
      </c>
      <c r="S88" s="62">
        <f ca="1">AVERAGE(OFFSET($R$3,0,0,'Données projet'!$E$9+1,1))-AVERAGE(OFFSET($H$3,0,0,'Données projet'!$E$9+1,1))</f>
        <v>446.90706503298787</v>
      </c>
      <c r="T88" s="62">
        <f t="shared" si="88"/>
        <v>275.54513370838777</v>
      </c>
      <c r="U88" s="16">
        <f>IF(ISNA(VLOOKUP(A88,'Données projet'!$A$35:$I$55,3,0)),0,VLOOKUP(A88,'Données projet'!$A$35:$I$55,3,0))</f>
        <v>13</v>
      </c>
      <c r="V88" s="16">
        <f>IF(ISNA(VLOOKUP(A88,'Données projet'!$A$35:$I$55,4,0)),0,VLOOKUP(A88,'Données projet'!$A$35:$I$55,4,0))</f>
        <v>21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0.65828615600061791</v>
      </c>
      <c r="AB88" s="23">
        <f>EXP(-LN(2)/2)*AB87+(1-EXP(-LN(2)/2))/(LN(2)/2)*V88*Y88*VLOOKUP('Données projet'!$B$9,Paramètres!$A$1:$I$89,3,0)*0.475*44/12</f>
        <v>7.4094283402776696E-8</v>
      </c>
      <c r="AC88" s="24">
        <f t="shared" si="57"/>
        <v>0.65828623009490128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269</v>
      </c>
      <c r="AG88" s="13">
        <f>VLOOKUP(A88,'Données projet'!$A$61:$I$81,9,0)</f>
        <v>5.6</v>
      </c>
      <c r="AH88" s="13">
        <f t="array" ref="AH88">INDEX(AG:AG,MIN(IF(ISNUMBER(AG88:AG284),ROW(AG88:AG284),"")))</f>
        <v>5.6</v>
      </c>
      <c r="AI88" s="14">
        <f>IF('Données projet'!$A$62&gt;35,AI87+AH88-AQ87,IF(A88&lt;'Données projet'!$A$62,$AF$205^A88,IF(A88='Données projet'!$A$62,'Données projet'!$B$62,AI87+AH88-AQ87)))</f>
        <v>269.00000000000017</v>
      </c>
      <c r="AJ88" s="14">
        <f>AI88*VLOOKUP('Données projet'!$B$10,Paramètres!$A$1:$I$89,3,0)*VLOOKUP('Données projet'!$B$10,Paramètres!$A$1:$I$89,5,0)</f>
        <v>180.44520000000011</v>
      </c>
      <c r="AK88" s="14">
        <f t="shared" si="89"/>
        <v>45.421220719470348</v>
      </c>
      <c r="AL88" s="22">
        <f t="shared" si="58"/>
        <v>393.38401608641107</v>
      </c>
      <c r="AM88" s="62">
        <f t="shared" si="59"/>
        <v>666.00647681469263</v>
      </c>
      <c r="AN88" s="62">
        <f ca="1">AVERAGE(OFFSET($AM$3,0,0,'Données projet'!$E$10+1,1))-AVERAGE(OFFSET($H$3,0,0,'Données projet'!$E$10+1,1))</f>
        <v>312.88185844251097</v>
      </c>
      <c r="AO88" s="62">
        <f t="shared" si="90"/>
        <v>202.68317767036231</v>
      </c>
      <c r="AP88" s="16">
        <f>IF(ISNA(VLOOKUP(A88,'Données projet'!$A$61:$I$81,3,0)),0,VLOOKUP(A88,'Données projet'!$A$61:$I$81,3,0))</f>
        <v>13</v>
      </c>
      <c r="AQ88" s="16">
        <f>IF(ISNA(VLOOKUP(A88,'Données projet'!$A$61:$I$81,4,0)),0,VLOOKUP(A88,'Données projet'!$A$61:$I$81,4,0))</f>
        <v>21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0.5367564041235805</v>
      </c>
      <c r="AW88" s="23">
        <f>EXP(-LN(2)/2)*AW87+(1-EXP(-LN(2)/2))/(LN(2)/2)*AQ88*AT88*VLOOKUP('Données projet'!$B$10,Paramètres!$A$1:$I$89,3,0)*0.475*44/12</f>
        <v>5.3731823735890777E-8</v>
      </c>
      <c r="AX88" s="23">
        <f t="shared" si="60"/>
        <v>0.53675645785540427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-1.1368683772161603E-13</v>
      </c>
      <c r="BE88" s="14">
        <f>BD88*VLOOKUP('Données projet'!$B$11,Paramètres!$A$1:$I$89,3,0)*VLOOKUP('Données projet'!$B$11,Paramètres!$A$1:$I$89,5,0)</f>
        <v>-9.9316821433603781E-14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287.22548699835653</v>
      </c>
      <c r="BJ88" s="62">
        <f t="shared" si="92"/>
        <v>276.01618888357268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1.540584477809273</v>
      </c>
      <c r="BR88" s="23">
        <f>EXP(-LN(2)/2)*BR87+(1-EXP(-LN(2)/2))/(LN(2)/2)*BL88*BO88*VLOOKUP('Données projet'!$B$11,Paramètres!$A$1:$I$89,3,0)*0.475*44/12</f>
        <v>6.8850112234121237E-8</v>
      </c>
      <c r="BS88" s="24">
        <f t="shared" si="63"/>
        <v>1.5405845466593853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5.4</v>
      </c>
      <c r="N89" s="14">
        <f>IF('Données projet'!$A$36&gt;35,N88+M89-V88,IF(A89&lt;'Données projet'!$A$36,$K$205^A89,IF(A89='Données projet'!$A$36,'Données projet'!$B$36,N88+M89-V88)))</f>
        <v>253.40000000000015</v>
      </c>
      <c r="O89" s="14">
        <f>N89*VLOOKUP('Données projet'!$B$9,Paramètres!$A$1:$I$89,3,0)*VLOOKUP('Données projet'!$B$9,Paramètres!$A$1:$I$89,5,0)</f>
        <v>256.94760000000014</v>
      </c>
      <c r="P89" s="14">
        <f t="shared" si="87"/>
        <v>62.071283104858303</v>
      </c>
      <c r="Q89" s="22">
        <f t="shared" si="54"/>
        <v>555.6245547409618</v>
      </c>
      <c r="R89" s="62">
        <f t="shared" si="55"/>
        <v>828.60630280636656</v>
      </c>
      <c r="S89" s="62">
        <f ca="1">AVERAGE(OFFSET($R$3,0,0,'Données projet'!$E$9+1,1))-AVERAGE(OFFSET($H$3,0,0,'Données projet'!$E$9+1,1))</f>
        <v>446.90706503298787</v>
      </c>
      <c r="T89" s="62">
        <f t="shared" si="88"/>
        <v>275.54513370838777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0.64028528644701654</v>
      </c>
      <c r="AB89" s="23">
        <f>EXP(-LN(2)/2)*AB88+(1-EXP(-LN(2)/2))/(LN(2)/2)*V89*Y89*VLOOKUP('Données projet'!$B$9,Paramètres!$A$1:$I$89,3,0)*0.475*44/12</f>
        <v>5.2392570241261261E-8</v>
      </c>
      <c r="AC89" s="24">
        <f t="shared" si="57"/>
        <v>0.64028533883958683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5.4</v>
      </c>
      <c r="AI89" s="14">
        <f>IF('Données projet'!$A$62&gt;35,AI88+AH89-AQ88,IF(A89&lt;'Données projet'!$A$62,$AF$205^A89,IF(A89='Données projet'!$A$62,'Données projet'!$B$62,AI88+AH89-AQ88)))</f>
        <v>253.40000000000015</v>
      </c>
      <c r="AJ89" s="14">
        <f>AI89*VLOOKUP('Données projet'!$B$10,Paramètres!$A$1:$I$89,3,0)*VLOOKUP('Données projet'!$B$10,Paramètres!$A$1:$I$89,5,0)</f>
        <v>169.9807200000001</v>
      </c>
      <c r="AK89" s="14">
        <f t="shared" si="89"/>
        <v>43.085705478170858</v>
      </c>
      <c r="AL89" s="22">
        <f t="shared" si="58"/>
        <v>371.09069104114775</v>
      </c>
      <c r="AM89" s="62">
        <f t="shared" si="59"/>
        <v>644.07243910655245</v>
      </c>
      <c r="AN89" s="62">
        <f ca="1">AVERAGE(OFFSET($AM$3,0,0,'Données projet'!$E$10+1,1))-AVERAGE(OFFSET($H$3,0,0,'Données projet'!$E$10+1,1))</f>
        <v>312.88185844251097</v>
      </c>
      <c r="AO89" s="62">
        <f t="shared" si="90"/>
        <v>202.68317767036231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0.5220787720260287</v>
      </c>
      <c r="AW89" s="23">
        <f>EXP(-LN(2)/2)*AW88+(1-EXP(-LN(2)/2))/(LN(2)/2)*AQ89*AT89*VLOOKUP('Données projet'!$B$10,Paramètres!$A$1:$I$89,3,0)*0.475*44/12</f>
        <v>3.799413692916866E-8</v>
      </c>
      <c r="AX89" s="23">
        <f t="shared" si="60"/>
        <v>0.52207881002016565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-1.1368683772161603E-13</v>
      </c>
      <c r="BE89" s="14">
        <f>BD89*VLOOKUP('Données projet'!$B$11,Paramètres!$A$1:$I$89,3,0)*VLOOKUP('Données projet'!$B$11,Paramètres!$A$1:$I$89,5,0)</f>
        <v>-9.9316821433603781E-14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287.22548699835653</v>
      </c>
      <c r="BJ89" s="62">
        <f t="shared" si="92"/>
        <v>276.01618888357268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1.4984571142477618</v>
      </c>
      <c r="BR89" s="23">
        <f>EXP(-LN(2)/2)*BR88+(1-EXP(-LN(2)/2))/(LN(2)/2)*BL89*BO89*VLOOKUP('Données projet'!$B$11,Paramètres!$A$1:$I$89,3,0)*0.475*44/12</f>
        <v>4.8684381246202005E-8</v>
      </c>
      <c r="BS89" s="24">
        <f t="shared" si="63"/>
        <v>1.498457162932143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5.4</v>
      </c>
      <c r="N90" s="14">
        <f>IF('Données projet'!$A$36&gt;35,N89+M90-V89,IF(A90&lt;'Données projet'!$A$36,$K$205^A90,IF(A90='Données projet'!$A$36,'Données projet'!$B$36,N89+M90-V89)))</f>
        <v>258.80000000000013</v>
      </c>
      <c r="O90" s="14">
        <f>N90*VLOOKUP('Données projet'!$B$9,Paramètres!$A$1:$I$89,3,0)*VLOOKUP('Données projet'!$B$9,Paramètres!$A$1:$I$89,5,0)</f>
        <v>262.42320000000012</v>
      </c>
      <c r="P90" s="14">
        <f t="shared" si="87"/>
        <v>63.23862706204779</v>
      </c>
      <c r="Q90" s="22">
        <f t="shared" si="54"/>
        <v>567.19434879973335</v>
      </c>
      <c r="R90" s="62">
        <f t="shared" si="55"/>
        <v>840.52915137020818</v>
      </c>
      <c r="S90" s="62">
        <f ca="1">AVERAGE(OFFSET($R$3,0,0,'Données projet'!$E$9+1,1))-AVERAGE(OFFSET($H$3,0,0,'Données projet'!$E$9+1,1))</f>
        <v>446.90706503298787</v>
      </c>
      <c r="T90" s="62">
        <f t="shared" si="88"/>
        <v>275.54513370838777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0.62277665161798301</v>
      </c>
      <c r="AB90" s="23">
        <f>EXP(-LN(2)/2)*AB89+(1-EXP(-LN(2)/2))/(LN(2)/2)*V90*Y90*VLOOKUP('Données projet'!$B$9,Paramètres!$A$1:$I$89,3,0)*0.475*44/12</f>
        <v>3.7047141701388348E-8</v>
      </c>
      <c r="AC90" s="24">
        <f t="shared" si="57"/>
        <v>0.6227766886651247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5.4</v>
      </c>
      <c r="AI90" s="14">
        <f>IF('Données projet'!$A$62&gt;35,AI89+AH90-AQ89,IF(A90&lt;'Données projet'!$A$62,$AF$205^A90,IF(A90='Données projet'!$A$62,'Données projet'!$B$62,AI89+AH90-AQ89)))</f>
        <v>258.80000000000013</v>
      </c>
      <c r="AJ90" s="14">
        <f>AI90*VLOOKUP('Données projet'!$B$10,Paramètres!$A$1:$I$89,3,0)*VLOOKUP('Données projet'!$B$10,Paramètres!$A$1:$I$89,5,0)</f>
        <v>173.60304000000008</v>
      </c>
      <c r="AK90" s="14">
        <f t="shared" si="89"/>
        <v>43.895997056101116</v>
      </c>
      <c r="AL90" s="22">
        <f t="shared" si="58"/>
        <v>378.81082287270959</v>
      </c>
      <c r="AM90" s="62">
        <f t="shared" si="59"/>
        <v>652.14562544318437</v>
      </c>
      <c r="AN90" s="62">
        <f ca="1">AVERAGE(OFFSET($AM$3,0,0,'Données projet'!$E$10+1,1))-AVERAGE(OFFSET($H$3,0,0,'Données projet'!$E$10+1,1))</f>
        <v>312.88185844251097</v>
      </c>
      <c r="AO90" s="62">
        <f t="shared" si="90"/>
        <v>202.68317767036231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0.50780250055004761</v>
      </c>
      <c r="AW90" s="23">
        <f>EXP(-LN(2)/2)*AW89+(1-EXP(-LN(2)/2))/(LN(2)/2)*AQ90*AT90*VLOOKUP('Données projet'!$B$10,Paramètres!$A$1:$I$89,3,0)*0.475*44/12</f>
        <v>2.6865911867945389E-8</v>
      </c>
      <c r="AX90" s="23">
        <f t="shared" si="60"/>
        <v>0.50780252741595944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-1.1368683772161603E-13</v>
      </c>
      <c r="BE90" s="14">
        <f>BD90*VLOOKUP('Données projet'!$B$11,Paramètres!$A$1:$I$89,3,0)*VLOOKUP('Données projet'!$B$11,Paramètres!$A$1:$I$89,5,0)</f>
        <v>-9.9316821433603781E-14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287.22548699835653</v>
      </c>
      <c r="BJ90" s="62">
        <f t="shared" si="92"/>
        <v>276.01618888357268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1.457481725658222</v>
      </c>
      <c r="BR90" s="23">
        <f>EXP(-LN(2)/2)*BR89+(1-EXP(-LN(2)/2))/(LN(2)/2)*BL90*BO90*VLOOKUP('Données projet'!$B$11,Paramètres!$A$1:$I$89,3,0)*0.475*44/12</f>
        <v>3.4425056117060619E-8</v>
      </c>
      <c r="BS90" s="24">
        <f t="shared" si="63"/>
        <v>1.4574817600832781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5.4</v>
      </c>
      <c r="N91" s="14">
        <f>IF('Données projet'!$A$36&gt;35,N90+M91-V90,IF(A91&lt;'Données projet'!$A$36,$K$205^A91,IF(A91='Données projet'!$A$36,'Données projet'!$B$36,N90+M91-V90)))</f>
        <v>264.2000000000001</v>
      </c>
      <c r="O91" s="14">
        <f>N91*VLOOKUP('Données projet'!$B$9,Paramètres!$A$1:$I$89,3,0)*VLOOKUP('Données projet'!$B$9,Paramètres!$A$1:$I$89,5,0)</f>
        <v>267.89880000000011</v>
      </c>
      <c r="P91" s="14">
        <f t="shared" si="87"/>
        <v>64.403139057834565</v>
      </c>
      <c r="Q91" s="22">
        <f t="shared" si="54"/>
        <v>578.75921052572869</v>
      </c>
      <c r="R91" s="62">
        <f t="shared" si="55"/>
        <v>852.44094289492239</v>
      </c>
      <c r="S91" s="62">
        <f ca="1">AVERAGE(OFFSET($R$3,0,0,'Données projet'!$E$9+1,1))-AVERAGE(OFFSET($H$3,0,0,'Données projet'!$E$9+1,1))</f>
        <v>446.90706503298787</v>
      </c>
      <c r="T91" s="62">
        <f t="shared" si="88"/>
        <v>275.54513370838777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0.60574679132908849</v>
      </c>
      <c r="AB91" s="23">
        <f>EXP(-LN(2)/2)*AB90+(1-EXP(-LN(2)/2))/(LN(2)/2)*V91*Y91*VLOOKUP('Données projet'!$B$9,Paramètres!$A$1:$I$89,3,0)*0.475*44/12</f>
        <v>2.6196285120630631E-8</v>
      </c>
      <c r="AC91" s="24">
        <f t="shared" si="57"/>
        <v>0.60574681752537363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5.4</v>
      </c>
      <c r="AI91" s="14">
        <f>IF('Données projet'!$A$62&gt;35,AI90+AH91-AQ90,IF(A91&lt;'Données projet'!$A$62,$AF$205^A91,IF(A91='Données projet'!$A$62,'Données projet'!$B$62,AI90+AH91-AQ90)))</f>
        <v>264.2000000000001</v>
      </c>
      <c r="AJ91" s="14">
        <f>AI91*VLOOKUP('Données projet'!$B$10,Paramètres!$A$1:$I$89,3,0)*VLOOKUP('Données projet'!$B$10,Paramètres!$A$1:$I$89,5,0)</f>
        <v>177.22536000000005</v>
      </c>
      <c r="AK91" s="14">
        <f t="shared" si="89"/>
        <v>44.704322877101163</v>
      </c>
      <c r="AL91" s="22">
        <f t="shared" si="58"/>
        <v>386.52753101095124</v>
      </c>
      <c r="AM91" s="62">
        <f t="shared" si="59"/>
        <v>660.20926338014488</v>
      </c>
      <c r="AN91" s="62">
        <f ca="1">AVERAGE(OFFSET($AM$3,0,0,'Données projet'!$E$10+1,1))-AVERAGE(OFFSET($H$3,0,0,'Données projet'!$E$10+1,1))</f>
        <v>312.88185844251097</v>
      </c>
      <c r="AO91" s="62">
        <f t="shared" si="90"/>
        <v>202.68317767036231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0.49391661446833363</v>
      </c>
      <c r="AW91" s="23">
        <f>EXP(-LN(2)/2)*AW90+(1-EXP(-LN(2)/2))/(LN(2)/2)*AQ91*AT91*VLOOKUP('Données projet'!$B$10,Paramètres!$A$1:$I$89,3,0)*0.475*44/12</f>
        <v>1.899706846458433E-8</v>
      </c>
      <c r="AX91" s="23">
        <f t="shared" si="60"/>
        <v>0.4939166334654021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-1.1368683772161603E-13</v>
      </c>
      <c r="BE91" s="14">
        <f>BD91*VLOOKUP('Données projet'!$B$11,Paramètres!$A$1:$I$89,3,0)*VLOOKUP('Données projet'!$B$11,Paramètres!$A$1:$I$89,5,0)</f>
        <v>-9.9316821433603781E-14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287.22548699835653</v>
      </c>
      <c r="BJ91" s="62">
        <f t="shared" si="92"/>
        <v>276.01618888357268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1.417626811224465</v>
      </c>
      <c r="BR91" s="23">
        <f>EXP(-LN(2)/2)*BR90+(1-EXP(-LN(2)/2))/(LN(2)/2)*BL91*BO91*VLOOKUP('Données projet'!$B$11,Paramètres!$A$1:$I$89,3,0)*0.475*44/12</f>
        <v>2.4342190623101002E-8</v>
      </c>
      <c r="BS91" s="24">
        <f t="shared" si="63"/>
        <v>1.4176268355666557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5.4</v>
      </c>
      <c r="N92" s="14">
        <f>IF('Données projet'!$A$36&gt;35,N91+M92-V91,IF(A92&lt;'Données projet'!$A$36,$K$205^A92,IF(A92='Données projet'!$A$36,'Données projet'!$B$36,N91+M92-V91)))</f>
        <v>269.60000000000008</v>
      </c>
      <c r="O92" s="14">
        <f>N92*VLOOKUP('Données projet'!$B$9,Paramètres!$A$1:$I$89,3,0)*VLOOKUP('Données projet'!$B$9,Paramètres!$A$1:$I$89,5,0)</f>
        <v>273.37440000000009</v>
      </c>
      <c r="P92" s="14">
        <f t="shared" si="87"/>
        <v>65.564883644654444</v>
      </c>
      <c r="Q92" s="22">
        <f t="shared" si="54"/>
        <v>590.31925234777327</v>
      </c>
      <c r="R92" s="62">
        <f t="shared" si="55"/>
        <v>864.34189605929691</v>
      </c>
      <c r="S92" s="62">
        <f ca="1">AVERAGE(OFFSET($R$3,0,0,'Données projet'!$E$9+1,1))-AVERAGE(OFFSET($H$3,0,0,'Données projet'!$E$9+1,1))</f>
        <v>446.90706503298787</v>
      </c>
      <c r="T92" s="62">
        <f t="shared" si="88"/>
        <v>275.54513370838777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0.58918261346535528</v>
      </c>
      <c r="AB92" s="23">
        <f>EXP(-LN(2)/2)*AB91+(1-EXP(-LN(2)/2))/(LN(2)/2)*V92*Y92*VLOOKUP('Données projet'!$B$9,Paramètres!$A$1:$I$89,3,0)*0.475*44/12</f>
        <v>1.8523570850694174E-8</v>
      </c>
      <c r="AC92" s="24">
        <f t="shared" si="57"/>
        <v>0.58918263198892618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5.4</v>
      </c>
      <c r="AI92" s="14">
        <f>IF('Données projet'!$A$62&gt;35,AI91+AH92-AQ91,IF(A92&lt;'Données projet'!$A$62,$AF$205^A92,IF(A92='Données projet'!$A$62,'Données projet'!$B$62,AI91+AH92-AQ91)))</f>
        <v>269.60000000000008</v>
      </c>
      <c r="AJ92" s="14">
        <f>AI92*VLOOKUP('Données projet'!$B$10,Paramètres!$A$1:$I$89,3,0)*VLOOKUP('Données projet'!$B$10,Paramètres!$A$1:$I$89,5,0)</f>
        <v>180.84768000000005</v>
      </c>
      <c r="AK92" s="14">
        <f t="shared" si="89"/>
        <v>45.510727749125834</v>
      </c>
      <c r="AL92" s="22">
        <f t="shared" si="58"/>
        <v>394.24089349639422</v>
      </c>
      <c r="AM92" s="62">
        <f t="shared" si="59"/>
        <v>668.26353720791781</v>
      </c>
      <c r="AN92" s="62">
        <f ca="1">AVERAGE(OFFSET($AM$3,0,0,'Données projet'!$E$10+1,1))-AVERAGE(OFFSET($H$3,0,0,'Données projet'!$E$10+1,1))</f>
        <v>312.88185844251097</v>
      </c>
      <c r="AO92" s="62">
        <f t="shared" si="90"/>
        <v>202.68317767036231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0.48041043867175115</v>
      </c>
      <c r="AW92" s="23">
        <f>EXP(-LN(2)/2)*AW91+(1-EXP(-LN(2)/2))/(LN(2)/2)*AQ92*AT92*VLOOKUP('Données projet'!$B$10,Paramètres!$A$1:$I$89,3,0)*0.475*44/12</f>
        <v>1.3432955933972694E-8</v>
      </c>
      <c r="AX92" s="23">
        <f t="shared" si="60"/>
        <v>0.48041045210470706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-1.1368683772161603E-13</v>
      </c>
      <c r="BE92" s="14">
        <f>BD92*VLOOKUP('Données projet'!$B$11,Paramètres!$A$1:$I$89,3,0)*VLOOKUP('Données projet'!$B$11,Paramètres!$A$1:$I$89,5,0)</f>
        <v>-9.9316821433603781E-14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287.22548699835653</v>
      </c>
      <c r="BJ92" s="62">
        <f t="shared" si="92"/>
        <v>276.01618888357268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1.3788617315217779</v>
      </c>
      <c r="BR92" s="23">
        <f>EXP(-LN(2)/2)*BR91+(1-EXP(-LN(2)/2))/(LN(2)/2)*BL92*BO92*VLOOKUP('Données projet'!$B$11,Paramètres!$A$1:$I$89,3,0)*0.475*44/12</f>
        <v>1.7212528058530309E-8</v>
      </c>
      <c r="BS92" s="24">
        <f t="shared" si="63"/>
        <v>1.378861748734306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275</v>
      </c>
      <c r="L93" s="13">
        <f>VLOOKUP(A93,'Données projet'!$A$35:$I$55,9,0)</f>
        <v>5.4</v>
      </c>
      <c r="M93" s="13">
        <f t="array" ref="M93">INDEX(L:L,MIN(IF(ISNUMBER(L93:L289),ROW(L93:L289),"")))</f>
        <v>5.4</v>
      </c>
      <c r="N93" s="14">
        <f>IF('Données projet'!$A$36&gt;35,N92+M93-V92,IF(A93&lt;'Données projet'!$A$36,$K$205^A93,IF(A93='Données projet'!$A$36,'Données projet'!$B$36,N92+M93-V92)))</f>
        <v>275.00000000000006</v>
      </c>
      <c r="O93" s="14">
        <f>N93*VLOOKUP('Données projet'!$B$9,Paramètres!$A$1:$I$89,3,0)*VLOOKUP('Données projet'!$B$9,Paramètres!$A$1:$I$89,5,0)</f>
        <v>278.85000000000008</v>
      </c>
      <c r="P93" s="14">
        <f t="shared" si="87"/>
        <v>66.723922641152967</v>
      </c>
      <c r="Q93" s="22">
        <f t="shared" si="54"/>
        <v>601.87458193334146</v>
      </c>
      <c r="R93" s="62">
        <f t="shared" si="55"/>
        <v>876.23222293756908</v>
      </c>
      <c r="S93" s="62">
        <f ca="1">AVERAGE(OFFSET($R$3,0,0,'Données projet'!$E$9+1,1))-AVERAGE(OFFSET($H$3,0,0,'Données projet'!$E$9+1,1))</f>
        <v>446.90706503298787</v>
      </c>
      <c r="T93" s="62">
        <f t="shared" si="88"/>
        <v>275.54513370838777</v>
      </c>
      <c r="U93" s="16">
        <f>IF(ISNA(VLOOKUP(A93,'Données projet'!$A$35:$I$55,3,0)),0,VLOOKUP(A93,'Données projet'!$A$35:$I$55,3,0))</f>
        <v>14</v>
      </c>
      <c r="V93" s="16">
        <f>IF(ISNA(VLOOKUP(A93,'Données projet'!$A$35:$I$55,4,0)),0,VLOOKUP(A93,'Données projet'!$A$35:$I$55,4,0))</f>
        <v>21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0.57307138391637813</v>
      </c>
      <c r="AB93" s="23">
        <f>EXP(-LN(2)/2)*AB92+(1-EXP(-LN(2)/2))/(LN(2)/2)*V93*Y93*VLOOKUP('Données projet'!$B$9,Paramètres!$A$1:$I$89,3,0)*0.475*44/12</f>
        <v>1.3098142560315315E-8</v>
      </c>
      <c r="AC93" s="24">
        <f t="shared" si="57"/>
        <v>0.5730713970145207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275</v>
      </c>
      <c r="AG93" s="13">
        <f>VLOOKUP(A93,'Données projet'!$A$61:$I$81,9,0)</f>
        <v>5.4</v>
      </c>
      <c r="AH93" s="13">
        <f t="array" ref="AH93">INDEX(AG:AG,MIN(IF(ISNUMBER(AG93:AG289),ROW(AG93:AG289),"")))</f>
        <v>5.4</v>
      </c>
      <c r="AI93" s="14">
        <f>IF('Données projet'!$A$62&gt;35,AI92+AH93-AQ92,IF(A93&lt;'Données projet'!$A$62,$AF$205^A93,IF(A93='Données projet'!$A$62,'Données projet'!$B$62,AI92+AH93-AQ92)))</f>
        <v>275.00000000000006</v>
      </c>
      <c r="AJ93" s="14">
        <f>AI93*VLOOKUP('Données projet'!$B$10,Paramètres!$A$1:$I$89,3,0)*VLOOKUP('Données projet'!$B$10,Paramètres!$A$1:$I$89,5,0)</f>
        <v>184.47000000000006</v>
      </c>
      <c r="AK93" s="14">
        <f t="shared" si="89"/>
        <v>46.315254582516594</v>
      </c>
      <c r="AL93" s="22">
        <f t="shared" si="58"/>
        <v>401.9509850645498</v>
      </c>
      <c r="AM93" s="62">
        <f t="shared" si="59"/>
        <v>676.30862606877747</v>
      </c>
      <c r="AN93" s="62">
        <f ca="1">AVERAGE(OFFSET($AM$3,0,0,'Données projet'!$E$10+1,1))-AVERAGE(OFFSET($H$3,0,0,'Données projet'!$E$10+1,1))</f>
        <v>312.88185844251097</v>
      </c>
      <c r="AO93" s="62">
        <f t="shared" si="90"/>
        <v>202.68317767036231</v>
      </c>
      <c r="AP93" s="16">
        <f>IF(ISNA(VLOOKUP(A93,'Données projet'!$A$61:$I$81,3,0)),0,VLOOKUP(A93,'Données projet'!$A$61:$I$81,3,0))</f>
        <v>14</v>
      </c>
      <c r="AQ93" s="16">
        <f>IF(ISNA(VLOOKUP(A93,'Données projet'!$A$61:$I$81,4,0)),0,VLOOKUP(A93,'Données projet'!$A$61:$I$81,4,0))</f>
        <v>21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0.46727358996258511</v>
      </c>
      <c r="AW93" s="23">
        <f>EXP(-LN(2)/2)*AW92+(1-EXP(-LN(2)/2))/(LN(2)/2)*AQ93*AT93*VLOOKUP('Données projet'!$B$10,Paramètres!$A$1:$I$89,3,0)*0.475*44/12</f>
        <v>9.4985342322921649E-9</v>
      </c>
      <c r="AX93" s="23">
        <f t="shared" si="60"/>
        <v>0.46727359946111935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-1.1368683772161603E-13</v>
      </c>
      <c r="BE93" s="14">
        <f>BD93*VLOOKUP('Données projet'!$B$11,Paramètres!$A$1:$I$89,3,0)*VLOOKUP('Données projet'!$B$11,Paramètres!$A$1:$I$89,5,0)</f>
        <v>-9.9316821433603781E-14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287.22548699835653</v>
      </c>
      <c r="BJ93" s="62">
        <f t="shared" si="92"/>
        <v>276.01618888357268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1.3411566849621279</v>
      </c>
      <c r="BR93" s="23">
        <f>EXP(-LN(2)/2)*BR92+(1-EXP(-LN(2)/2))/(LN(2)/2)*BL93*BO93*VLOOKUP('Données projet'!$B$11,Paramètres!$A$1:$I$89,3,0)*0.475*44/12</f>
        <v>1.2171095311550501E-8</v>
      </c>
      <c r="BS93" s="24">
        <f t="shared" si="63"/>
        <v>1.3411566971332232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5</v>
      </c>
      <c r="N94" s="14">
        <f>IF('Données projet'!$A$36&gt;35,N93+M94-V93,IF(A94&lt;'Données projet'!$A$36,$K$205^A94,IF(A94='Données projet'!$A$36,'Données projet'!$B$36,N93+M94-V93)))</f>
        <v>259.00000000000006</v>
      </c>
      <c r="O94" s="14">
        <f>N94*VLOOKUP('Données projet'!$B$9,Paramètres!$A$1:$I$89,3,0)*VLOOKUP('Données projet'!$B$9,Paramètres!$A$1:$I$89,5,0)</f>
        <v>262.62600000000009</v>
      </c>
      <c r="P94" s="14">
        <f t="shared" si="87"/>
        <v>63.281807230823453</v>
      </c>
      <c r="Q94" s="22">
        <f t="shared" si="54"/>
        <v>567.622764260351</v>
      </c>
      <c r="R94" s="62">
        <f t="shared" si="55"/>
        <v>842.309591103196</v>
      </c>
      <c r="S94" s="62">
        <f ca="1">AVERAGE(OFFSET($R$3,0,0,'Données projet'!$E$9+1,1))-AVERAGE(OFFSET($H$3,0,0,'Données projet'!$E$9+1,1))</f>
        <v>446.90706503298787</v>
      </c>
      <c r="T94" s="62">
        <f t="shared" si="88"/>
        <v>275.54513370838777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0.55740071678667047</v>
      </c>
      <c r="AB94" s="23">
        <f>EXP(-LN(2)/2)*AB93+(1-EXP(-LN(2)/2))/(LN(2)/2)*V94*Y94*VLOOKUP('Données projet'!$B$9,Paramètres!$A$1:$I$89,3,0)*0.475*44/12</f>
        <v>9.261785425347087E-9</v>
      </c>
      <c r="AC94" s="24">
        <f t="shared" si="57"/>
        <v>0.55740072604845592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5</v>
      </c>
      <c r="AI94" s="14">
        <f>IF('Données projet'!$A$62&gt;35,AI93+AH94-AQ93,IF(A94&lt;'Données projet'!$A$62,$AF$205^A94,IF(A94='Données projet'!$A$62,'Données projet'!$B$62,AI93+AH94-AQ93)))</f>
        <v>259.00000000000006</v>
      </c>
      <c r="AJ94" s="14">
        <f>AI94*VLOOKUP('Données projet'!$B$10,Paramètres!$A$1:$I$89,3,0)*VLOOKUP('Données projet'!$B$10,Paramètres!$A$1:$I$89,5,0)</f>
        <v>173.73720000000003</v>
      </c>
      <c r="AK94" s="14">
        <f t="shared" si="89"/>
        <v>43.925969821948698</v>
      </c>
      <c r="AL94" s="22">
        <f t="shared" si="58"/>
        <v>379.09668743989397</v>
      </c>
      <c r="AM94" s="62">
        <f t="shared" si="59"/>
        <v>653.78351428273902</v>
      </c>
      <c r="AN94" s="62">
        <f ca="1">AVERAGE(OFFSET($AM$3,0,0,'Données projet'!$E$10+1,1))-AVERAGE(OFFSET($H$3,0,0,'Données projet'!$E$10+1,1))</f>
        <v>312.88185844251097</v>
      </c>
      <c r="AO94" s="62">
        <f t="shared" si="90"/>
        <v>202.68317767036231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0.45449596907220807</v>
      </c>
      <c r="AW94" s="23">
        <f>EXP(-LN(2)/2)*AW93+(1-EXP(-LN(2)/2))/(LN(2)/2)*AQ94*AT94*VLOOKUP('Données projet'!$B$10,Paramètres!$A$1:$I$89,3,0)*0.475*44/12</f>
        <v>6.7164779669863472E-9</v>
      </c>
      <c r="AX94" s="23">
        <f t="shared" si="60"/>
        <v>0.45449597578868606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-1.1368683772161603E-13</v>
      </c>
      <c r="BE94" s="14">
        <f>BD94*VLOOKUP('Données projet'!$B$11,Paramètres!$A$1:$I$89,3,0)*VLOOKUP('Données projet'!$B$11,Paramètres!$A$1:$I$89,5,0)</f>
        <v>-9.9316821433603781E-14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287.22548699835653</v>
      </c>
      <c r="BJ94" s="62">
        <f t="shared" si="92"/>
        <v>276.01618888357268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1.3044826848834736</v>
      </c>
      <c r="BR94" s="23">
        <f>EXP(-LN(2)/2)*BR93+(1-EXP(-LN(2)/2))/(LN(2)/2)*BL94*BO94*VLOOKUP('Données projet'!$B$11,Paramètres!$A$1:$I$89,3,0)*0.475*44/12</f>
        <v>8.6062640292651546E-9</v>
      </c>
      <c r="BS94" s="24">
        <f t="shared" si="63"/>
        <v>1.3044826934897376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5</v>
      </c>
      <c r="N95" s="14">
        <f>IF('Données projet'!$A$36&gt;35,N94+M95-V94,IF(A95&lt;'Données projet'!$A$36,$K$205^A95,IF(A95='Données projet'!$A$36,'Données projet'!$B$36,N94+M95-V94)))</f>
        <v>264.00000000000006</v>
      </c>
      <c r="O95" s="14">
        <f>N95*VLOOKUP('Données projet'!$B$9,Paramètres!$A$1:$I$89,3,0)*VLOOKUP('Données projet'!$B$9,Paramètres!$A$1:$I$89,5,0)</f>
        <v>267.69600000000008</v>
      </c>
      <c r="P95" s="14">
        <f t="shared" si="87"/>
        <v>64.360058723585496</v>
      </c>
      <c r="Q95" s="22">
        <f t="shared" si="54"/>
        <v>578.33096894357823</v>
      </c>
      <c r="R95" s="62">
        <f t="shared" si="55"/>
        <v>853.34127098669001</v>
      </c>
      <c r="S95" s="62">
        <f ca="1">AVERAGE(OFFSET($R$3,0,0,'Données projet'!$E$9+1,1))-AVERAGE(OFFSET($H$3,0,0,'Données projet'!$E$9+1,1))</f>
        <v>446.90706503298787</v>
      </c>
      <c r="T95" s="62">
        <f t="shared" si="88"/>
        <v>275.54513370838777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0.54215856487370928</v>
      </c>
      <c r="AB95" s="23">
        <f>EXP(-LN(2)/2)*AB94+(1-EXP(-LN(2)/2))/(LN(2)/2)*V95*Y95*VLOOKUP('Données projet'!$B$9,Paramètres!$A$1:$I$89,3,0)*0.475*44/12</f>
        <v>6.5490712801576577E-9</v>
      </c>
      <c r="AC95" s="24">
        <f t="shared" si="57"/>
        <v>0.54215857142278057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5</v>
      </c>
      <c r="AI95" s="14">
        <f>IF('Données projet'!$A$62&gt;35,AI94+AH95-AQ94,IF(A95&lt;'Données projet'!$A$62,$AF$205^A95,IF(A95='Données projet'!$A$62,'Données projet'!$B$62,AI94+AH95-AQ94)))</f>
        <v>264.00000000000006</v>
      </c>
      <c r="AJ95" s="14">
        <f>AI95*VLOOKUP('Données projet'!$B$10,Paramètres!$A$1:$I$89,3,0)*VLOOKUP('Données projet'!$B$10,Paramètres!$A$1:$I$89,5,0)</f>
        <v>177.09120000000004</v>
      </c>
      <c r="AK95" s="14">
        <f t="shared" si="89"/>
        <v>44.674419409660011</v>
      </c>
      <c r="AL95" s="22">
        <f t="shared" si="58"/>
        <v>386.24178713849125</v>
      </c>
      <c r="AM95" s="62">
        <f t="shared" si="59"/>
        <v>661.25208918160297</v>
      </c>
      <c r="AN95" s="62">
        <f ca="1">AVERAGE(OFFSET($AM$3,0,0,'Données projet'!$E$10+1,1))-AVERAGE(OFFSET($H$3,0,0,'Données projet'!$E$10+1,1))</f>
        <v>312.88185844251097</v>
      </c>
      <c r="AO95" s="62">
        <f t="shared" si="90"/>
        <v>202.68317767036231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0.44206775289702427</v>
      </c>
      <c r="AW95" s="23">
        <f>EXP(-LN(2)/2)*AW94+(1-EXP(-LN(2)/2))/(LN(2)/2)*AQ95*AT95*VLOOKUP('Données projet'!$B$10,Paramètres!$A$1:$I$89,3,0)*0.475*44/12</f>
        <v>4.7492671161460825E-9</v>
      </c>
      <c r="AX95" s="23">
        <f t="shared" si="60"/>
        <v>0.44206775764629136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-1.1368683772161603E-13</v>
      </c>
      <c r="BE95" s="14">
        <f>BD95*VLOOKUP('Données projet'!$B$11,Paramètres!$A$1:$I$89,3,0)*VLOOKUP('Données projet'!$B$11,Paramètres!$A$1:$I$89,5,0)</f>
        <v>-9.9316821433603781E-14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287.22548699835653</v>
      </c>
      <c r="BJ95" s="62">
        <f t="shared" si="92"/>
        <v>276.01618888357268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1.2688115372655722</v>
      </c>
      <c r="BR95" s="23">
        <f>EXP(-LN(2)/2)*BR94+(1-EXP(-LN(2)/2))/(LN(2)/2)*BL95*BO95*VLOOKUP('Données projet'!$B$11,Paramètres!$A$1:$I$89,3,0)*0.475*44/12</f>
        <v>6.0855476557752506E-9</v>
      </c>
      <c r="BS95" s="24">
        <f t="shared" si="63"/>
        <v>1.2688115433511198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5</v>
      </c>
      <c r="N96" s="14">
        <f>IF('Données projet'!$A$36&gt;35,N95+M96-V95,IF(A96&lt;'Données projet'!$A$36,$K$205^A96,IF(A96='Données projet'!$A$36,'Données projet'!$B$36,N95+M96-V95)))</f>
        <v>269.00000000000006</v>
      </c>
      <c r="O96" s="14">
        <f>N96*VLOOKUP('Données projet'!$B$9,Paramètres!$A$1:$I$89,3,0)*VLOOKUP('Données projet'!$B$9,Paramètres!$A$1:$I$89,5,0)</f>
        <v>272.76600000000008</v>
      </c>
      <c r="P96" s="14">
        <f t="shared" si="87"/>
        <v>65.435935630087627</v>
      </c>
      <c r="Q96" s="22">
        <f t="shared" si="54"/>
        <v>589.03503788906926</v>
      </c>
      <c r="R96" s="62">
        <f t="shared" si="55"/>
        <v>864.36320356090528</v>
      </c>
      <c r="S96" s="62">
        <f ca="1">AVERAGE(OFFSET($R$3,0,0,'Données projet'!$E$9+1,1))-AVERAGE(OFFSET($H$3,0,0,'Données projet'!$E$9+1,1))</f>
        <v>446.90706503298787</v>
      </c>
      <c r="T96" s="62">
        <f t="shared" si="88"/>
        <v>275.54513370838777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0.52733321040635794</v>
      </c>
      <c r="AB96" s="23">
        <f>EXP(-LN(2)/2)*AB95+(1-EXP(-LN(2)/2))/(LN(2)/2)*V96*Y96*VLOOKUP('Données projet'!$B$9,Paramètres!$A$1:$I$89,3,0)*0.475*44/12</f>
        <v>4.6308927126735435E-9</v>
      </c>
      <c r="AC96" s="24">
        <f t="shared" si="57"/>
        <v>0.52733321503725061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5</v>
      </c>
      <c r="AI96" s="14">
        <f>IF('Données projet'!$A$62&gt;35,AI95+AH96-AQ95,IF(A96&lt;'Données projet'!$A$62,$AF$205^A96,IF(A96='Données projet'!$A$62,'Données projet'!$B$62,AI95+AH96-AQ95)))</f>
        <v>269.00000000000006</v>
      </c>
      <c r="AJ96" s="14">
        <f>AI96*VLOOKUP('Données projet'!$B$10,Paramètres!$A$1:$I$89,3,0)*VLOOKUP('Données projet'!$B$10,Paramètres!$A$1:$I$89,5,0)</f>
        <v>180.44520000000003</v>
      </c>
      <c r="AK96" s="14">
        <f t="shared" si="89"/>
        <v>45.421220719470348</v>
      </c>
      <c r="AL96" s="22">
        <f t="shared" si="58"/>
        <v>393.3840160864109</v>
      </c>
      <c r="AM96" s="62">
        <f t="shared" si="59"/>
        <v>668.71218175824686</v>
      </c>
      <c r="AN96" s="62">
        <f ca="1">AVERAGE(OFFSET($AM$3,0,0,'Données projet'!$E$10+1,1))-AVERAGE(OFFSET($H$3,0,0,'Données projet'!$E$10+1,1))</f>
        <v>312.88185844251097</v>
      </c>
      <c r="AO96" s="62">
        <f t="shared" si="90"/>
        <v>202.68317767036231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0.42997938694672239</v>
      </c>
      <c r="AW96" s="23">
        <f>EXP(-LN(2)/2)*AW95+(1-EXP(-LN(2)/2))/(LN(2)/2)*AQ96*AT96*VLOOKUP('Données projet'!$B$10,Paramètres!$A$1:$I$89,3,0)*0.475*44/12</f>
        <v>3.3582389834931736E-9</v>
      </c>
      <c r="AX96" s="23">
        <f t="shared" si="60"/>
        <v>0.42997939030496135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-1.1368683772161603E-13</v>
      </c>
      <c r="BE96" s="14">
        <f>BD96*VLOOKUP('Données projet'!$B$11,Paramètres!$A$1:$I$89,3,0)*VLOOKUP('Données projet'!$B$11,Paramètres!$A$1:$I$89,5,0)</f>
        <v>-9.9316821433603781E-14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287.22548699835653</v>
      </c>
      <c r="BJ96" s="62">
        <f t="shared" si="92"/>
        <v>276.01618888357268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1.2341158190551462</v>
      </c>
      <c r="BR96" s="23">
        <f>EXP(-LN(2)/2)*BR95+(1-EXP(-LN(2)/2))/(LN(2)/2)*BL96*BO96*VLOOKUP('Données projet'!$B$11,Paramètres!$A$1:$I$89,3,0)*0.475*44/12</f>
        <v>4.3031320146325773E-9</v>
      </c>
      <c r="BS96" s="24">
        <f t="shared" si="63"/>
        <v>1.2341158233582783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5</v>
      </c>
      <c r="N97" s="14">
        <f>IF('Données projet'!$A$36&gt;35,N96+M97-V96,IF(A97&lt;'Données projet'!$A$36,$K$205^A97,IF(A97='Données projet'!$A$36,'Données projet'!$B$36,N96+M97-V96)))</f>
        <v>274.00000000000006</v>
      </c>
      <c r="O97" s="14">
        <f>N97*VLOOKUP('Données projet'!$B$9,Paramètres!$A$1:$I$89,3,0)*VLOOKUP('Données projet'!$B$9,Paramètres!$A$1:$I$89,5,0)</f>
        <v>277.83600000000007</v>
      </c>
      <c r="P97" s="14">
        <f t="shared" si="87"/>
        <v>66.509487177652318</v>
      </c>
      <c r="Q97" s="22">
        <f t="shared" si="54"/>
        <v>599.73505683441124</v>
      </c>
      <c r="R97" s="62">
        <f t="shared" si="55"/>
        <v>875.37557191164979</v>
      </c>
      <c r="S97" s="62">
        <f ca="1">AVERAGE(OFFSET($R$3,0,0,'Données projet'!$E$9+1,1))-AVERAGE(OFFSET($H$3,0,0,'Données projet'!$E$9+1,1))</f>
        <v>446.90706503298787</v>
      </c>
      <c r="T97" s="62">
        <f t="shared" si="88"/>
        <v>275.54513370838777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0.5129132560365478</v>
      </c>
      <c r="AB97" s="23">
        <f>EXP(-LN(2)/2)*AB96+(1-EXP(-LN(2)/2))/(LN(2)/2)*V97*Y97*VLOOKUP('Données projet'!$B$9,Paramètres!$A$1:$I$89,3,0)*0.475*44/12</f>
        <v>3.2745356400788288E-9</v>
      </c>
      <c r="AC97" s="24">
        <f t="shared" si="57"/>
        <v>0.51291325931108345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5</v>
      </c>
      <c r="AI97" s="14">
        <f>IF('Données projet'!$A$62&gt;35,AI96+AH97-AQ96,IF(A97&lt;'Données projet'!$A$62,$AF$205^A97,IF(A97='Données projet'!$A$62,'Données projet'!$B$62,AI96+AH97-AQ96)))</f>
        <v>274.00000000000006</v>
      </c>
      <c r="AJ97" s="14">
        <f>AI97*VLOOKUP('Données projet'!$B$10,Paramètres!$A$1:$I$89,3,0)*VLOOKUP('Données projet'!$B$10,Paramètres!$A$1:$I$89,5,0)</f>
        <v>183.79920000000004</v>
      </c>
      <c r="AK97" s="14">
        <f t="shared" si="89"/>
        <v>46.166407921672494</v>
      </c>
      <c r="AL97" s="22">
        <f t="shared" si="58"/>
        <v>400.52343379691297</v>
      </c>
      <c r="AM97" s="62">
        <f t="shared" si="59"/>
        <v>676.1639488741514</v>
      </c>
      <c r="AN97" s="62">
        <f ca="1">AVERAGE(OFFSET($AM$3,0,0,'Données projet'!$E$10+1,1))-AVERAGE(OFFSET($H$3,0,0,'Données projet'!$E$10+1,1))</f>
        <v>312.88185844251097</v>
      </c>
      <c r="AO97" s="62">
        <f t="shared" si="90"/>
        <v>202.68317767036231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0.41822157799903104</v>
      </c>
      <c r="AW97" s="23">
        <f>EXP(-LN(2)/2)*AW96+(1-EXP(-LN(2)/2))/(LN(2)/2)*AQ97*AT97*VLOOKUP('Données projet'!$B$10,Paramètres!$A$1:$I$89,3,0)*0.475*44/12</f>
        <v>2.3746335580730412E-9</v>
      </c>
      <c r="AX97" s="23">
        <f t="shared" si="60"/>
        <v>0.41822158037366458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-1.1368683772161603E-13</v>
      </c>
      <c r="BE97" s="14">
        <f>BD97*VLOOKUP('Données projet'!$B$11,Paramètres!$A$1:$I$89,3,0)*VLOOKUP('Données projet'!$B$11,Paramètres!$A$1:$I$89,5,0)</f>
        <v>-9.9316821433603781E-14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287.22548699835653</v>
      </c>
      <c r="BJ97" s="62">
        <f t="shared" si="92"/>
        <v>276.01618888357268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1.200368857083753</v>
      </c>
      <c r="BR97" s="23">
        <f>EXP(-LN(2)/2)*BR96+(1-EXP(-LN(2)/2))/(LN(2)/2)*BL97*BO97*VLOOKUP('Données projet'!$B$11,Paramètres!$A$1:$I$89,3,0)*0.475*44/12</f>
        <v>3.0427738278876253E-9</v>
      </c>
      <c r="BS97" s="24">
        <f t="shared" si="63"/>
        <v>1.2003688601265268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279</v>
      </c>
      <c r="L98" s="13">
        <f>VLOOKUP(A98,'Données projet'!$A$35:$I$55,9,0)</f>
        <v>5</v>
      </c>
      <c r="M98" s="13">
        <f t="array" ref="M98">INDEX(L:L,MIN(IF(ISNUMBER(L98:L294),ROW(L98:L294),"")))</f>
        <v>5</v>
      </c>
      <c r="N98" s="14">
        <f>IF('Données projet'!$A$36&gt;35,N97+M98-V97,IF(A98&lt;'Données projet'!$A$36,$K$205^A98,IF(A98='Données projet'!$A$36,'Données projet'!$B$36,N97+M98-V97)))</f>
        <v>279.00000000000006</v>
      </c>
      <c r="O98" s="14">
        <f>N98*VLOOKUP('Données projet'!$B$9,Paramètres!$A$1:$I$89,3,0)*VLOOKUP('Données projet'!$B$9,Paramètres!$A$1:$I$89,5,0)</f>
        <v>282.90600000000006</v>
      </c>
      <c r="P98" s="14">
        <f t="shared" si="87"/>
        <v>67.580760694123512</v>
      </c>
      <c r="Q98" s="22">
        <f t="shared" si="54"/>
        <v>610.43110820893185</v>
      </c>
      <c r="R98" s="62">
        <f t="shared" si="55"/>
        <v>886.37855412769773</v>
      </c>
      <c r="S98" s="62">
        <f ca="1">AVERAGE(OFFSET($R$3,0,0,'Données projet'!$E$9+1,1))-AVERAGE(OFFSET($H$3,0,0,'Données projet'!$E$9+1,1))</f>
        <v>446.90706503298787</v>
      </c>
      <c r="T98" s="62">
        <f t="shared" si="88"/>
        <v>275.54513370838777</v>
      </c>
      <c r="U98" s="16">
        <f>IF(ISNA(VLOOKUP(A98,'Données projet'!$A$35:$I$55,3,0)),0,VLOOKUP(A98,'Données projet'!$A$35:$I$55,3,0))</f>
        <v>15</v>
      </c>
      <c r="V98" s="16">
        <f>IF(ISNA(VLOOKUP(A98,'Données projet'!$A$35:$I$55,4,0)),0,VLOOKUP(A98,'Données projet'!$A$35:$I$55,4,0))</f>
        <v>21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0.49888761607729254</v>
      </c>
      <c r="AB98" s="23">
        <f>EXP(-LN(2)/2)*AB97+(1-EXP(-LN(2)/2))/(LN(2)/2)*V98*Y98*VLOOKUP('Données projet'!$B$9,Paramètres!$A$1:$I$89,3,0)*0.475*44/12</f>
        <v>2.3154463563367717E-9</v>
      </c>
      <c r="AC98" s="24">
        <f t="shared" si="57"/>
        <v>0.49888761839273887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279</v>
      </c>
      <c r="AG98" s="13">
        <f>VLOOKUP(A98,'Données projet'!$A$61:$I$81,9,0)</f>
        <v>5</v>
      </c>
      <c r="AH98" s="13">
        <f t="array" ref="AH98">INDEX(AG:AG,MIN(IF(ISNUMBER(AG98:AG294),ROW(AG98:AG294),"")))</f>
        <v>5</v>
      </c>
      <c r="AI98" s="14">
        <f>IF('Données projet'!$A$62&gt;35,AI97+AH98-AQ97,IF(A98&lt;'Données projet'!$A$62,$AF$205^A98,IF(A98='Données projet'!$A$62,'Données projet'!$B$62,AI97+AH98-AQ97)))</f>
        <v>279.00000000000006</v>
      </c>
      <c r="AJ98" s="14">
        <f>AI98*VLOOKUP('Données projet'!$B$10,Paramètres!$A$1:$I$89,3,0)*VLOOKUP('Données projet'!$B$10,Paramètres!$A$1:$I$89,5,0)</f>
        <v>187.15320000000006</v>
      </c>
      <c r="AK98" s="14">
        <f t="shared" si="89"/>
        <v>46.910013868069136</v>
      </c>
      <c r="AL98" s="22">
        <f t="shared" si="58"/>
        <v>407.6600974868872</v>
      </c>
      <c r="AM98" s="62">
        <f t="shared" si="59"/>
        <v>683.60754340565313</v>
      </c>
      <c r="AN98" s="62">
        <f ca="1">AVERAGE(OFFSET($AM$3,0,0,'Données projet'!$E$10+1,1))-AVERAGE(OFFSET($H$3,0,0,'Données projet'!$E$10+1,1))</f>
        <v>312.88185844251097</v>
      </c>
      <c r="AO98" s="62">
        <f t="shared" si="90"/>
        <v>202.68317767036231</v>
      </c>
      <c r="AP98" s="16">
        <f>IF(ISNA(VLOOKUP(A98,'Données projet'!$A$61:$I$81,3,0)),0,VLOOKUP(A98,'Données projet'!$A$61:$I$81,3,0))</f>
        <v>15</v>
      </c>
      <c r="AQ98" s="16">
        <f>IF(ISNA(VLOOKUP(A98,'Données projet'!$A$61:$I$81,4,0)),0,VLOOKUP(A98,'Données projet'!$A$61:$I$81,4,0))</f>
        <v>21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0.40678528695533062</v>
      </c>
      <c r="AW98" s="23">
        <f>EXP(-LN(2)/2)*AW97+(1-EXP(-LN(2)/2))/(LN(2)/2)*AQ98*AT98*VLOOKUP('Données projet'!$B$10,Paramètres!$A$1:$I$89,3,0)*0.475*44/12</f>
        <v>1.6791194917465868E-9</v>
      </c>
      <c r="AX98" s="23">
        <f t="shared" si="60"/>
        <v>0.40678528863445013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-1.1368683772161603E-13</v>
      </c>
      <c r="BE98" s="14">
        <f>BD98*VLOOKUP('Données projet'!$B$11,Paramètres!$A$1:$I$89,3,0)*VLOOKUP('Données projet'!$B$11,Paramètres!$A$1:$I$89,5,0)</f>
        <v>-9.9316821433603781E-14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287.22548699835653</v>
      </c>
      <c r="BJ98" s="62">
        <f t="shared" si="92"/>
        <v>276.01618888357268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1.167544707562143</v>
      </c>
      <c r="BR98" s="23">
        <f>EXP(-LN(2)/2)*BR97+(1-EXP(-LN(2)/2))/(LN(2)/2)*BL98*BO98*VLOOKUP('Données projet'!$B$11,Paramètres!$A$1:$I$89,3,0)*0.475*44/12</f>
        <v>2.1515660073162887E-9</v>
      </c>
      <c r="BS98" s="24">
        <f t="shared" si="63"/>
        <v>1.1675447097137091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4.8</v>
      </c>
      <c r="N99" s="14">
        <f>IF('Données projet'!$A$36&gt;35,N98+M99-V98,IF(A99&lt;'Données projet'!$A$36,$K$205^A99,IF(A99='Données projet'!$A$36,'Données projet'!$B$36,N98+M99-V98)))</f>
        <v>262.80000000000007</v>
      </c>
      <c r="O99" s="14">
        <f>N99*VLOOKUP('Données projet'!$B$9,Paramètres!$A$1:$I$89,3,0)*VLOOKUP('Données projet'!$B$9,Paramètres!$A$1:$I$89,5,0)</f>
        <v>266.47920000000011</v>
      </c>
      <c r="P99" s="14">
        <f t="shared" si="87"/>
        <v>64.101496824889679</v>
      </c>
      <c r="Q99" s="22">
        <f t="shared" ref="Q99:Q130" si="107">(O99+P99)*0.475*44/12</f>
        <v>575.76138030334971</v>
      </c>
      <c r="R99" s="62">
        <f t="shared" si="55"/>
        <v>852.01043249973714</v>
      </c>
      <c r="S99" s="62">
        <f ca="1">AVERAGE(OFFSET($R$3,0,0,'Données projet'!$E$9+1,1))-AVERAGE(OFFSET($H$3,0,0,'Données projet'!$E$9+1,1))</f>
        <v>446.90706503298787</v>
      </c>
      <c r="T99" s="62">
        <f t="shared" si="88"/>
        <v>275.54513370838777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0.48524550798029947</v>
      </c>
      <c r="AB99" s="23">
        <f>EXP(-LN(2)/2)*AB98+(1-EXP(-LN(2)/2))/(LN(2)/2)*V99*Y99*VLOOKUP('Données projet'!$B$9,Paramètres!$A$1:$I$89,3,0)*0.475*44/12</f>
        <v>1.6372678200394144E-9</v>
      </c>
      <c r="AC99" s="24">
        <f t="shared" si="57"/>
        <v>0.48524550961756729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4.8</v>
      </c>
      <c r="AI99" s="14">
        <f>IF('Données projet'!$A$62&gt;35,AI98+AH99-AQ98,IF(A99&lt;'Données projet'!$A$62,$AF$205^A99,IF(A99='Données projet'!$A$62,'Données projet'!$B$62,AI98+AH99-AQ98)))</f>
        <v>262.80000000000007</v>
      </c>
      <c r="AJ99" s="14">
        <f>AI99*VLOOKUP('Données projet'!$B$10,Paramètres!$A$1:$I$89,3,0)*VLOOKUP('Données projet'!$B$10,Paramètres!$A$1:$I$89,5,0)</f>
        <v>176.28624000000005</v>
      </c>
      <c r="AK99" s="14">
        <f t="shared" si="89"/>
        <v>44.494943148531895</v>
      </c>
      <c r="AL99" s="22">
        <f t="shared" si="58"/>
        <v>384.52722731702647</v>
      </c>
      <c r="AM99" s="62">
        <f t="shared" si="59"/>
        <v>660.7762795134139</v>
      </c>
      <c r="AN99" s="62">
        <f ca="1">AVERAGE(OFFSET($AM$3,0,0,'Données projet'!$E$10+1,1))-AVERAGE(OFFSET($H$3,0,0,'Données projet'!$E$10+1,1))</f>
        <v>312.88185844251097</v>
      </c>
      <c r="AO99" s="62">
        <f t="shared" si="90"/>
        <v>202.68317767036231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0.39566172189162857</v>
      </c>
      <c r="AW99" s="23">
        <f>EXP(-LN(2)/2)*AW98+(1-EXP(-LN(2)/2))/(LN(2)/2)*AQ99*AT99*VLOOKUP('Données projet'!$B$10,Paramètres!$A$1:$I$89,3,0)*0.475*44/12</f>
        <v>1.1873167790365206E-9</v>
      </c>
      <c r="AX99" s="23">
        <f t="shared" si="60"/>
        <v>0.39566172307894537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-1.1368683772161603E-13</v>
      </c>
      <c r="BE99" s="14">
        <f>BD99*VLOOKUP('Données projet'!$B$11,Paramètres!$A$1:$I$89,3,0)*VLOOKUP('Données projet'!$B$11,Paramètres!$A$1:$I$89,5,0)</f>
        <v>-9.9316821433603781E-14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287.22548699835653</v>
      </c>
      <c r="BJ99" s="62">
        <f t="shared" si="92"/>
        <v>276.01618888357268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1.1356181361353486</v>
      </c>
      <c r="BR99" s="23">
        <f>EXP(-LN(2)/2)*BR98+(1-EXP(-LN(2)/2))/(LN(2)/2)*BL99*BO99*VLOOKUP('Données projet'!$B$11,Paramètres!$A$1:$I$89,3,0)*0.475*44/12</f>
        <v>1.5213869139438126E-9</v>
      </c>
      <c r="BS99" s="24">
        <f t="shared" si="63"/>
        <v>1.1356181376567356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4.8</v>
      </c>
      <c r="N100" s="14">
        <f>IF('Données projet'!$A$36&gt;35,N99+M100-V99,IF(A100&lt;'Données projet'!$A$36,$K$205^A100,IF(A100='Données projet'!$A$36,'Données projet'!$B$36,N99+M100-V99)))</f>
        <v>267.60000000000008</v>
      </c>
      <c r="O100" s="14">
        <f>N100*VLOOKUP('Données projet'!$B$9,Paramètres!$A$1:$I$89,3,0)*VLOOKUP('Données projet'!$B$9,Paramètres!$A$1:$I$89,5,0)</f>
        <v>271.34640000000007</v>
      </c>
      <c r="P100" s="14">
        <f t="shared" si="87"/>
        <v>65.134926573557365</v>
      </c>
      <c r="Q100" s="22">
        <f t="shared" si="107"/>
        <v>586.03831044894594</v>
      </c>
      <c r="R100" s="62">
        <f t="shared" si="55"/>
        <v>862.58373672832874</v>
      </c>
      <c r="S100" s="62">
        <f ca="1">AVERAGE(OFFSET($R$3,0,0,'Données projet'!$E$9+1,1))-AVERAGE(OFFSET($H$3,0,0,'Données projet'!$E$9+1,1))</f>
        <v>446.90706503298787</v>
      </c>
      <c r="T100" s="62">
        <f t="shared" si="88"/>
        <v>275.54513370838777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0.47197644404662598</v>
      </c>
      <c r="AB100" s="23">
        <f>EXP(-LN(2)/2)*AB99+(1-EXP(-LN(2)/2))/(LN(2)/2)*V100*Y100*VLOOKUP('Données projet'!$B$9,Paramètres!$A$1:$I$89,3,0)*0.475*44/12</f>
        <v>1.1577231781683859E-9</v>
      </c>
      <c r="AC100" s="24">
        <f t="shared" si="57"/>
        <v>0.47197644520434917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4.8</v>
      </c>
      <c r="AI100" s="14">
        <f>IF('Données projet'!$A$62&gt;35,AI99+AH100-AQ99,IF(A100&lt;'Données projet'!$A$62,$AF$205^A100,IF(A100='Données projet'!$A$62,'Données projet'!$B$62,AI99+AH100-AQ99)))</f>
        <v>267.60000000000008</v>
      </c>
      <c r="AJ100" s="14">
        <f>AI100*VLOOKUP('Données projet'!$B$10,Paramètres!$A$1:$I$89,3,0)*VLOOKUP('Données projet'!$B$10,Paramètres!$A$1:$I$89,5,0)</f>
        <v>179.50608000000005</v>
      </c>
      <c r="AK100" s="14">
        <f t="shared" si="89"/>
        <v>45.212280499336408</v>
      </c>
      <c r="AL100" s="22">
        <f t="shared" si="58"/>
        <v>391.38447786967771</v>
      </c>
      <c r="AM100" s="62">
        <f t="shared" si="59"/>
        <v>667.92990414906058</v>
      </c>
      <c r="AN100" s="62">
        <f ca="1">AVERAGE(OFFSET($AM$3,0,0,'Données projet'!$E$10+1,1))-AVERAGE(OFFSET($H$3,0,0,'Données projet'!$E$10+1,1))</f>
        <v>312.88185844251097</v>
      </c>
      <c r="AO100" s="62">
        <f t="shared" si="90"/>
        <v>202.68317767036231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0.38484233129955631</v>
      </c>
      <c r="AW100" s="23">
        <f>EXP(-LN(2)/2)*AW99+(1-EXP(-LN(2)/2))/(LN(2)/2)*AQ100*AT100*VLOOKUP('Données projet'!$B$10,Paramètres!$A$1:$I$89,3,0)*0.475*44/12</f>
        <v>8.3955974587329339E-10</v>
      </c>
      <c r="AX100" s="23">
        <f t="shared" si="60"/>
        <v>0.38484233213911606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-1.1368683772161603E-13</v>
      </c>
      <c r="BE100" s="14">
        <f>BD100*VLOOKUP('Données projet'!$B$11,Paramètres!$A$1:$I$89,3,0)*VLOOKUP('Données projet'!$B$11,Paramètres!$A$1:$I$89,5,0)</f>
        <v>-9.9316821433603781E-14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287.22548699835653</v>
      </c>
      <c r="BJ100" s="62">
        <f t="shared" si="92"/>
        <v>276.01618888357268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1.1045645984831651</v>
      </c>
      <c r="BR100" s="23">
        <f>EXP(-LN(2)/2)*BR99+(1-EXP(-LN(2)/2))/(LN(2)/2)*BL100*BO100*VLOOKUP('Données projet'!$B$11,Paramètres!$A$1:$I$89,3,0)*0.475*44/12</f>
        <v>1.0757830036581443E-9</v>
      </c>
      <c r="BS100" s="24">
        <f t="shared" si="63"/>
        <v>1.1045645995589481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4.8</v>
      </c>
      <c r="N101" s="14">
        <f>IF('Données projet'!$A$36&gt;35,N100+M101-V100,IF(A101&lt;'Données projet'!$A$36,$K$205^A101,IF(A101='Données projet'!$A$36,'Données projet'!$B$36,N100+M101-V100)))</f>
        <v>272.40000000000009</v>
      </c>
      <c r="O101" s="14">
        <f>N101*VLOOKUP('Données projet'!$B$9,Paramètres!$A$1:$I$89,3,0)*VLOOKUP('Données projet'!$B$9,Paramètres!$A$1:$I$89,5,0)</f>
        <v>276.2136000000001</v>
      </c>
      <c r="P101" s="14">
        <f t="shared" si="87"/>
        <v>66.166200760877473</v>
      </c>
      <c r="Q101" s="22">
        <f t="shared" si="107"/>
        <v>596.31148632519512</v>
      </c>
      <c r="R101" s="62">
        <f t="shared" si="55"/>
        <v>873.14814525982649</v>
      </c>
      <c r="S101" s="62">
        <f ca="1">AVERAGE(OFFSET($R$3,0,0,'Données projet'!$E$9+1,1))-AVERAGE(OFFSET($H$3,0,0,'Données projet'!$E$9+1,1))</f>
        <v>446.90706503298787</v>
      </c>
      <c r="T101" s="62">
        <f t="shared" si="88"/>
        <v>275.54513370838777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0.45907022336400849</v>
      </c>
      <c r="AB101" s="23">
        <f>EXP(-LN(2)/2)*AB100+(1-EXP(-LN(2)/2))/(LN(2)/2)*V101*Y101*VLOOKUP('Données projet'!$B$9,Paramètres!$A$1:$I$89,3,0)*0.475*44/12</f>
        <v>8.1863391001970721E-10</v>
      </c>
      <c r="AC101" s="24">
        <f t="shared" si="57"/>
        <v>0.45907022418264237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4.8</v>
      </c>
      <c r="AI101" s="14">
        <f>IF('Données projet'!$A$62&gt;35,AI100+AH101-AQ100,IF(A101&lt;'Données projet'!$A$62,$AF$205^A101,IF(A101='Données projet'!$A$62,'Données projet'!$B$62,AI100+AH101-AQ100)))</f>
        <v>272.40000000000009</v>
      </c>
      <c r="AJ101" s="14">
        <f>AI101*VLOOKUP('Données projet'!$B$10,Paramètres!$A$1:$I$89,3,0)*VLOOKUP('Données projet'!$B$10,Paramètres!$A$1:$I$89,5,0)</f>
        <v>182.72592000000006</v>
      </c>
      <c r="AK101" s="14">
        <f t="shared" si="89"/>
        <v>45.928121604587162</v>
      </c>
      <c r="AL101" s="22">
        <f t="shared" si="58"/>
        <v>398.23912246132272</v>
      </c>
      <c r="AM101" s="62">
        <f t="shared" si="59"/>
        <v>675.0757813959541</v>
      </c>
      <c r="AN101" s="62">
        <f ca="1">AVERAGE(OFFSET($AM$3,0,0,'Données projet'!$E$10+1,1))-AVERAGE(OFFSET($H$3,0,0,'Données projet'!$E$10+1,1))</f>
        <v>312.88185844251097</v>
      </c>
      <c r="AO101" s="62">
        <f t="shared" si="90"/>
        <v>202.68317767036231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0.37431879751219133</v>
      </c>
      <c r="AW101" s="23">
        <f>EXP(-LN(2)/2)*AW100+(1-EXP(-LN(2)/2))/(LN(2)/2)*AQ101*AT101*VLOOKUP('Données projet'!$B$10,Paramètres!$A$1:$I$89,3,0)*0.475*44/12</f>
        <v>5.9365838951826031E-10</v>
      </c>
      <c r="AX101" s="23">
        <f t="shared" si="60"/>
        <v>0.37431879810584973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-1.1368683772161603E-13</v>
      </c>
      <c r="BE101" s="14">
        <f>BD101*VLOOKUP('Données projet'!$B$11,Paramètres!$A$1:$I$89,3,0)*VLOOKUP('Données projet'!$B$11,Paramètres!$A$1:$I$89,5,0)</f>
        <v>-9.9316821433603781E-14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287.22548699835653</v>
      </c>
      <c r="BJ101" s="62">
        <f t="shared" si="92"/>
        <v>276.01618888357268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1.0743602214511152</v>
      </c>
      <c r="BR101" s="23">
        <f>EXP(-LN(2)/2)*BR100+(1-EXP(-LN(2)/2))/(LN(2)/2)*BL101*BO101*VLOOKUP('Données projet'!$B$11,Paramètres!$A$1:$I$89,3,0)*0.475*44/12</f>
        <v>7.6069345697190632E-10</v>
      </c>
      <c r="BS101" s="24">
        <f t="shared" si="63"/>
        <v>1.0743602222118087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4.8</v>
      </c>
      <c r="N102" s="14">
        <f>IF('Données projet'!$A$36&gt;35,N101+M102-V101,IF(A102&lt;'Données projet'!$A$36,$K$205^A102,IF(A102='Données projet'!$A$36,'Données projet'!$B$36,N101+M102-V101)))</f>
        <v>277.2000000000001</v>
      </c>
      <c r="O102" s="14">
        <f>N102*VLOOKUP('Données projet'!$B$9,Paramètres!$A$1:$I$89,3,0)*VLOOKUP('Données projet'!$B$9,Paramètres!$A$1:$I$89,5,0)</f>
        <v>281.08080000000012</v>
      </c>
      <c r="P102" s="14">
        <f t="shared" si="87"/>
        <v>67.195361752546177</v>
      </c>
      <c r="Q102" s="22">
        <f t="shared" si="107"/>
        <v>606.58098171901804</v>
      </c>
      <c r="R102" s="62">
        <f t="shared" si="55"/>
        <v>883.70382107342812</v>
      </c>
      <c r="S102" s="62">
        <f ca="1">AVERAGE(OFFSET($R$3,0,0,'Données projet'!$E$9+1,1))-AVERAGE(OFFSET($H$3,0,0,'Données projet'!$E$9+1,1))</f>
        <v>446.90706503298787</v>
      </c>
      <c r="T102" s="62">
        <f t="shared" si="88"/>
        <v>275.54513370838777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0.44651692396466586</v>
      </c>
      <c r="AB102" s="23">
        <f>EXP(-LN(2)/2)*AB101+(1-EXP(-LN(2)/2))/(LN(2)/2)*V102*Y102*VLOOKUP('Données projet'!$B$9,Paramètres!$A$1:$I$89,3,0)*0.475*44/12</f>
        <v>5.7886158908419294E-10</v>
      </c>
      <c r="AC102" s="24">
        <f t="shared" si="57"/>
        <v>0.44651692454352743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4.8</v>
      </c>
      <c r="AI102" s="14">
        <f>IF('Données projet'!$A$62&gt;35,AI101+AH102-AQ101,IF(A102&lt;'Données projet'!$A$62,$AF$205^A102,IF(A102='Données projet'!$A$62,'Données projet'!$B$62,AI101+AH102-AQ101)))</f>
        <v>277.2000000000001</v>
      </c>
      <c r="AJ102" s="14">
        <f>AI102*VLOOKUP('Données projet'!$B$10,Paramètres!$A$1:$I$89,3,0)*VLOOKUP('Données projet'!$B$10,Paramètres!$A$1:$I$89,5,0)</f>
        <v>185.94576000000006</v>
      </c>
      <c r="AK102" s="14">
        <f t="shared" si="89"/>
        <v>46.642495871697967</v>
      </c>
      <c r="AL102" s="22">
        <f t="shared" si="58"/>
        <v>405.09121230987404</v>
      </c>
      <c r="AM102" s="62">
        <f t="shared" si="59"/>
        <v>682.21405166428417</v>
      </c>
      <c r="AN102" s="62">
        <f ca="1">AVERAGE(OFFSET($AM$3,0,0,'Données projet'!$E$10+1,1))-AVERAGE(OFFSET($H$3,0,0,'Données projet'!$E$10+1,1))</f>
        <v>312.88185844251097</v>
      </c>
      <c r="AO102" s="62">
        <f t="shared" si="90"/>
        <v>202.68317767036231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0.36408303030965039</v>
      </c>
      <c r="AW102" s="23">
        <f>EXP(-LN(2)/2)*AW101+(1-EXP(-LN(2)/2))/(LN(2)/2)*AQ102*AT102*VLOOKUP('Données projet'!$B$10,Paramètres!$A$1:$I$89,3,0)*0.475*44/12</f>
        <v>4.197798729366467E-10</v>
      </c>
      <c r="AX102" s="23">
        <f t="shared" si="60"/>
        <v>0.36408303072943027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-1.1368683772161603E-13</v>
      </c>
      <c r="BE102" s="14">
        <f>BD102*VLOOKUP('Données projet'!$B$11,Paramètres!$A$1:$I$89,3,0)*VLOOKUP('Données projet'!$B$11,Paramètres!$A$1:$I$89,5,0)</f>
        <v>-9.9316821433603781E-14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287.22548699835653</v>
      </c>
      <c r="BJ102" s="62">
        <f t="shared" si="92"/>
        <v>276.01618888357268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1.0449817846973859</v>
      </c>
      <c r="BR102" s="23">
        <f>EXP(-LN(2)/2)*BR101+(1-EXP(-LN(2)/2))/(LN(2)/2)*BL102*BO102*VLOOKUP('Données projet'!$B$11,Paramètres!$A$1:$I$89,3,0)*0.475*44/12</f>
        <v>5.3789150182907217E-10</v>
      </c>
      <c r="BS102" s="24">
        <f t="shared" si="63"/>
        <v>1.0449817852352774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282</v>
      </c>
      <c r="L103" s="13">
        <f>VLOOKUP(A103,'Données projet'!$A$35:$I$55,9,0)</f>
        <v>4.8</v>
      </c>
      <c r="M103" s="13">
        <f t="array" ref="M103">INDEX(L:L,MIN(IF(ISNUMBER(L103:L299),ROW(L103:L299),"")))</f>
        <v>4.8</v>
      </c>
      <c r="N103" s="14">
        <f>IF('Données projet'!$A$36&gt;35,N102+M103-V102,IF(A103&lt;'Données projet'!$A$36,$K$205^A103,IF(A103='Données projet'!$A$36,'Données projet'!$B$36,N102+M103-V102)))</f>
        <v>282.00000000000011</v>
      </c>
      <c r="O103" s="14">
        <f>N103*VLOOKUP('Données projet'!$B$9,Paramètres!$A$1:$I$89,3,0)*VLOOKUP('Données projet'!$B$9,Paramètres!$A$1:$I$89,5,0)</f>
        <v>285.94800000000009</v>
      </c>
      <c r="P103" s="14">
        <f t="shared" si="87"/>
        <v>68.222450362989363</v>
      </c>
      <c r="Q103" s="22">
        <f t="shared" si="107"/>
        <v>616.84686771553993</v>
      </c>
      <c r="R103" s="62">
        <f t="shared" si="55"/>
        <v>894.25092289924919</v>
      </c>
      <c r="S103" s="62">
        <f ca="1">AVERAGE(OFFSET($R$3,0,0,'Données projet'!$E$9+1,1))-AVERAGE(OFFSET($H$3,0,0,'Données projet'!$E$9+1,1))</f>
        <v>446.90706503298787</v>
      </c>
      <c r="T103" s="62">
        <f t="shared" si="88"/>
        <v>275.54513370838777</v>
      </c>
      <c r="U103" s="16">
        <f>IF(ISNA(VLOOKUP(A103,'Données projet'!$A$35:$I$55,3,0)),0,VLOOKUP(A103,'Données projet'!$A$35:$I$55,3,0))</f>
        <v>16</v>
      </c>
      <c r="V103" s="16">
        <f>IF(ISNA(VLOOKUP(A103,'Données projet'!$A$35:$I$55,4,0)),0,VLOOKUP(A103,'Données projet'!$A$35:$I$55,4,0))</f>
        <v>21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0.43430689519754756</v>
      </c>
      <c r="AB103" s="23">
        <f>EXP(-LN(2)/2)*AB102+(1-EXP(-LN(2)/2))/(LN(2)/2)*V103*Y103*VLOOKUP('Données projet'!$B$9,Paramètres!$A$1:$I$89,3,0)*0.475*44/12</f>
        <v>4.093169550098536E-10</v>
      </c>
      <c r="AC103" s="24">
        <f t="shared" si="57"/>
        <v>0.43430689560686453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282</v>
      </c>
      <c r="AG103" s="13">
        <f>VLOOKUP(A103,'Données projet'!$A$61:$I$81,9,0)</f>
        <v>4.8</v>
      </c>
      <c r="AH103" s="13">
        <f t="array" ref="AH103">INDEX(AG:AG,MIN(IF(ISNUMBER(AG103:AG299),ROW(AG103:AG299),"")))</f>
        <v>4.8</v>
      </c>
      <c r="AI103" s="14">
        <f>IF('Données projet'!$A$62&gt;35,AI102+AH103-AQ102,IF(A103&lt;'Données projet'!$A$62,$AF$205^A103,IF(A103='Données projet'!$A$62,'Données projet'!$B$62,AI102+AH103-AQ102)))</f>
        <v>282.00000000000011</v>
      </c>
      <c r="AJ103" s="14">
        <f>AI103*VLOOKUP('Données projet'!$B$10,Paramètres!$A$1:$I$89,3,0)*VLOOKUP('Données projet'!$B$10,Paramètres!$A$1:$I$89,5,0)</f>
        <v>189.16560000000007</v>
      </c>
      <c r="AK103" s="14">
        <f t="shared" si="89"/>
        <v>47.355431631295311</v>
      </c>
      <c r="AL103" s="22">
        <f t="shared" si="58"/>
        <v>411.94079675783945</v>
      </c>
      <c r="AM103" s="62">
        <f t="shared" si="59"/>
        <v>689.34485194154865</v>
      </c>
      <c r="AN103" s="62">
        <f ca="1">AVERAGE(OFFSET($AM$3,0,0,'Données projet'!$E$10+1,1))-AVERAGE(OFFSET($H$3,0,0,'Données projet'!$E$10+1,1))</f>
        <v>312.88185844251097</v>
      </c>
      <c r="AO103" s="62">
        <f t="shared" si="90"/>
        <v>202.68317767036231</v>
      </c>
      <c r="AP103" s="16">
        <f>IF(ISNA(VLOOKUP(A103,'Données projet'!$A$61:$I$81,3,0)),0,VLOOKUP(A103,'Données projet'!$A$61:$I$81,3,0))</f>
        <v>16</v>
      </c>
      <c r="AQ103" s="16">
        <f>IF(ISNA(VLOOKUP(A103,'Données projet'!$A$61:$I$81,4,0)),0,VLOOKUP(A103,'Données projet'!$A$61:$I$81,4,0))</f>
        <v>21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0.35412716069953853</v>
      </c>
      <c r="AW103" s="23">
        <f>EXP(-LN(2)/2)*AW102+(1-EXP(-LN(2)/2))/(LN(2)/2)*AQ103*AT103*VLOOKUP('Données projet'!$B$10,Paramètres!$A$1:$I$89,3,0)*0.475*44/12</f>
        <v>2.9682919475913015E-10</v>
      </c>
      <c r="AX103" s="23">
        <f t="shared" si="60"/>
        <v>0.35412716099636771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-1.1368683772161603E-13</v>
      </c>
      <c r="BE103" s="14">
        <f>BD103*VLOOKUP('Données projet'!$B$11,Paramètres!$A$1:$I$89,3,0)*VLOOKUP('Données projet'!$B$11,Paramètres!$A$1:$I$89,5,0)</f>
        <v>-9.9316821433603781E-14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287.22548699835653</v>
      </c>
      <c r="BJ103" s="62">
        <f t="shared" si="92"/>
        <v>276.01618888357268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1.0164067028416321</v>
      </c>
      <c r="BR103" s="23">
        <f>EXP(-LN(2)/2)*BR102+(1-EXP(-LN(2)/2))/(LN(2)/2)*BL103*BO103*VLOOKUP('Données projet'!$B$11,Paramètres!$A$1:$I$89,3,0)*0.475*44/12</f>
        <v>3.8034672848595316E-10</v>
      </c>
      <c r="BS103" s="24">
        <f t="shared" si="63"/>
        <v>1.0164067032219788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4.4000000000000004</v>
      </c>
      <c r="N104" s="14">
        <f>IF('Données projet'!$A$36&gt;35,N103+M104-V103,IF(A104&lt;'Données projet'!$A$36,$K$205^A104,IF(A104='Données projet'!$A$36,'Données projet'!$B$36,N103+M104-V103)))</f>
        <v>265.40000000000009</v>
      </c>
      <c r="O104" s="14">
        <f>N104*VLOOKUP('Données projet'!$B$9,Paramètres!$A$1:$I$89,3,0)*VLOOKUP('Données projet'!$B$9,Paramètres!$A$1:$I$89,5,0)</f>
        <v>269.11560000000014</v>
      </c>
      <c r="P104" s="14">
        <f t="shared" si="87"/>
        <v>64.661541462287133</v>
      </c>
      <c r="Q104" s="22">
        <f t="shared" si="107"/>
        <v>581.32852138015028</v>
      </c>
      <c r="R104" s="62">
        <f t="shared" si="55"/>
        <v>859.00891392722474</v>
      </c>
      <c r="S104" s="62">
        <f ca="1">AVERAGE(OFFSET($R$3,0,0,'Données projet'!$E$9+1,1))-AVERAGE(OFFSET($H$3,0,0,'Données projet'!$E$9+1,1))</f>
        <v>446.90706503298787</v>
      </c>
      <c r="T104" s="62">
        <f t="shared" si="88"/>
        <v>275.54513370838777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0.42243075030916361</v>
      </c>
      <c r="AB104" s="23">
        <f>EXP(-LN(2)/2)*AB103+(1-EXP(-LN(2)/2))/(LN(2)/2)*V104*Y104*VLOOKUP('Données projet'!$B$9,Paramètres!$A$1:$I$89,3,0)*0.475*44/12</f>
        <v>2.8943079454209647E-10</v>
      </c>
      <c r="AC104" s="24">
        <f t="shared" si="57"/>
        <v>0.42243075059859442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4.4000000000000004</v>
      </c>
      <c r="AI104" s="14">
        <f>IF('Données projet'!$A$62&gt;35,AI103+AH104-AQ103,IF(A104&lt;'Données projet'!$A$62,$AF$205^A104,IF(A104='Données projet'!$A$62,'Données projet'!$B$62,AI103+AH104-AQ103)))</f>
        <v>265.40000000000009</v>
      </c>
      <c r="AJ104" s="14">
        <f>AI104*VLOOKUP('Données projet'!$B$10,Paramètres!$A$1:$I$89,3,0)*VLOOKUP('Données projet'!$B$10,Paramètres!$A$1:$I$89,5,0)</f>
        <v>178.03032000000007</v>
      </c>
      <c r="AK104" s="14">
        <f t="shared" si="89"/>
        <v>44.883688428064346</v>
      </c>
      <c r="AL104" s="22">
        <f t="shared" si="58"/>
        <v>388.24189801221218</v>
      </c>
      <c r="AM104" s="62">
        <f t="shared" si="59"/>
        <v>665.92229055928658</v>
      </c>
      <c r="AN104" s="62">
        <f ca="1">AVERAGE(OFFSET($AM$3,0,0,'Données projet'!$E$10+1,1))-AVERAGE(OFFSET($H$3,0,0,'Données projet'!$E$10+1,1))</f>
        <v>312.88185844251097</v>
      </c>
      <c r="AO104" s="62">
        <f t="shared" si="90"/>
        <v>202.68317767036231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0.34444353486747165</v>
      </c>
      <c r="AW104" s="23">
        <f>EXP(-LN(2)/2)*AW103+(1-EXP(-LN(2)/2))/(LN(2)/2)*AQ104*AT104*VLOOKUP('Données projet'!$B$10,Paramètres!$A$1:$I$89,3,0)*0.475*44/12</f>
        <v>2.0988993646832335E-10</v>
      </c>
      <c r="AX104" s="23">
        <f t="shared" si="60"/>
        <v>0.34444353507736158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-1.1368683772161603E-13</v>
      </c>
      <c r="BE104" s="14">
        <f>BD104*VLOOKUP('Données projet'!$B$11,Paramètres!$A$1:$I$89,3,0)*VLOOKUP('Données projet'!$B$11,Paramètres!$A$1:$I$89,5,0)</f>
        <v>-9.9316821433603781E-14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287.22548699835653</v>
      </c>
      <c r="BJ104" s="62">
        <f t="shared" si="92"/>
        <v>276.01618888357268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0.98861300810192221</v>
      </c>
      <c r="BR104" s="23">
        <f>EXP(-LN(2)/2)*BR103+(1-EXP(-LN(2)/2))/(LN(2)/2)*BL104*BO104*VLOOKUP('Données projet'!$B$11,Paramètres!$A$1:$I$89,3,0)*0.475*44/12</f>
        <v>2.6894575091453608E-10</v>
      </c>
      <c r="BS104" s="24">
        <f t="shared" si="63"/>
        <v>0.98861300837086796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4.4000000000000004</v>
      </c>
      <c r="N105" s="14">
        <f>IF('Données projet'!$A$36&gt;35,N104+M105-V104,IF(A105&lt;'Données projet'!$A$36,$K$205^A105,IF(A105='Données projet'!$A$36,'Données projet'!$B$36,N104+M105-V104)))</f>
        <v>269.80000000000007</v>
      </c>
      <c r="O105" s="14">
        <f>N105*VLOOKUP('Données projet'!$B$9,Paramètres!$A$1:$I$89,3,0)*VLOOKUP('Données projet'!$B$9,Paramètres!$A$1:$I$89,5,0)</f>
        <v>273.57720000000012</v>
      </c>
      <c r="P105" s="14">
        <f t="shared" si="87"/>
        <v>65.607858889915107</v>
      </c>
      <c r="Q105" s="22">
        <f t="shared" si="107"/>
        <v>590.74731089993566</v>
      </c>
      <c r="R105" s="62">
        <f t="shared" si="55"/>
        <v>868.69924697491865</v>
      </c>
      <c r="S105" s="62">
        <f ca="1">AVERAGE(OFFSET($R$3,0,0,'Données projet'!$E$9+1,1))-AVERAGE(OFFSET($H$3,0,0,'Données projet'!$E$9+1,1))</f>
        <v>446.90706503298787</v>
      </c>
      <c r="T105" s="62">
        <f t="shared" si="88"/>
        <v>275.54513370838777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0.41087935922729185</v>
      </c>
      <c r="AB105" s="23">
        <f>EXP(-LN(2)/2)*AB104+(1-EXP(-LN(2)/2))/(LN(2)/2)*V105*Y105*VLOOKUP('Données projet'!$B$9,Paramètres!$A$1:$I$89,3,0)*0.475*44/12</f>
        <v>2.046584775049268E-10</v>
      </c>
      <c r="AC105" s="24">
        <f t="shared" si="57"/>
        <v>0.41087935943195031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4.4000000000000004</v>
      </c>
      <c r="AI105" s="14">
        <f>IF('Données projet'!$A$62&gt;35,AI104+AH105-AQ104,IF(A105&lt;'Données projet'!$A$62,$AF$205^A105,IF(A105='Données projet'!$A$62,'Données projet'!$B$62,AI104+AH105-AQ104)))</f>
        <v>269.80000000000007</v>
      </c>
      <c r="AJ105" s="14">
        <f>AI105*VLOOKUP('Données projet'!$B$10,Paramètres!$A$1:$I$89,3,0)*VLOOKUP('Données projet'!$B$10,Paramètres!$A$1:$I$89,5,0)</f>
        <v>180.98184000000003</v>
      </c>
      <c r="AK105" s="14">
        <f t="shared" si="89"/>
        <v>45.54055827086686</v>
      </c>
      <c r="AL105" s="22">
        <f t="shared" si="58"/>
        <v>394.52651032175982</v>
      </c>
      <c r="AM105" s="62">
        <f t="shared" si="59"/>
        <v>672.47844639674281</v>
      </c>
      <c r="AN105" s="62">
        <f ca="1">AVERAGE(OFFSET($AM$3,0,0,'Données projet'!$E$10+1,1))-AVERAGE(OFFSET($H$3,0,0,'Données projet'!$E$10+1,1))</f>
        <v>312.88185844251097</v>
      </c>
      <c r="AO105" s="62">
        <f t="shared" si="90"/>
        <v>202.68317767036231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0.33502470829302239</v>
      </c>
      <c r="AW105" s="23">
        <f>EXP(-LN(2)/2)*AW104+(1-EXP(-LN(2)/2))/(LN(2)/2)*AQ105*AT105*VLOOKUP('Données projet'!$B$10,Paramètres!$A$1:$I$89,3,0)*0.475*44/12</f>
        <v>1.4841459737956508E-10</v>
      </c>
      <c r="AX105" s="23">
        <f t="shared" si="60"/>
        <v>0.335024708441437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-1.1368683772161603E-13</v>
      </c>
      <c r="BE105" s="14">
        <f>BD105*VLOOKUP('Données projet'!$B$11,Paramètres!$A$1:$I$89,3,0)*VLOOKUP('Données projet'!$B$11,Paramètres!$A$1:$I$89,5,0)</f>
        <v>-9.9316821433603781E-14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287.22548699835653</v>
      </c>
      <c r="BJ105" s="62">
        <f t="shared" si="92"/>
        <v>276.01618888357268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0.9615793334064765</v>
      </c>
      <c r="BR105" s="23">
        <f>EXP(-LN(2)/2)*BR104+(1-EXP(-LN(2)/2))/(LN(2)/2)*BL105*BO105*VLOOKUP('Données projet'!$B$11,Paramètres!$A$1:$I$89,3,0)*0.475*44/12</f>
        <v>1.9017336424297658E-10</v>
      </c>
      <c r="BS105" s="24">
        <f t="shared" si="63"/>
        <v>0.96157933359664982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4.4000000000000004</v>
      </c>
      <c r="N106" s="14">
        <f>IF('Données projet'!$A$36&gt;35,N105+M106-V105,IF(A106&lt;'Données projet'!$A$36,$K$205^A106,IF(A106='Données projet'!$A$36,'Données projet'!$B$36,N105+M106-V105)))</f>
        <v>274.20000000000005</v>
      </c>
      <c r="O106" s="14">
        <f>N106*VLOOKUP('Données projet'!$B$9,Paramètres!$A$1:$I$89,3,0)*VLOOKUP('Données projet'!$B$9,Paramètres!$A$1:$I$89,5,0)</f>
        <v>278.03880000000009</v>
      </c>
      <c r="P106" s="14">
        <f t="shared" si="87"/>
        <v>66.5523815477178</v>
      </c>
      <c r="Q106" s="22">
        <f t="shared" si="107"/>
        <v>600.16297452894207</v>
      </c>
      <c r="R106" s="62">
        <f t="shared" si="55"/>
        <v>878.3817434587047</v>
      </c>
      <c r="S106" s="62">
        <f ca="1">AVERAGE(OFFSET($R$3,0,0,'Données projet'!$E$9+1,1))-AVERAGE(OFFSET($H$3,0,0,'Données projet'!$E$9+1,1))</f>
        <v>446.90706503298787</v>
      </c>
      <c r="T106" s="62">
        <f t="shared" si="88"/>
        <v>275.54513370838777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0.39964384154201515</v>
      </c>
      <c r="AB106" s="23">
        <f>EXP(-LN(2)/2)*AB105+(1-EXP(-LN(2)/2))/(LN(2)/2)*V106*Y106*VLOOKUP('Données projet'!$B$9,Paramètres!$A$1:$I$89,3,0)*0.475*44/12</f>
        <v>1.4471539727104823E-10</v>
      </c>
      <c r="AC106" s="24">
        <f t="shared" si="57"/>
        <v>0.39964384168673056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4.4000000000000004</v>
      </c>
      <c r="AI106" s="14">
        <f>IF('Données projet'!$A$62&gt;35,AI105+AH106-AQ105,IF(A106&lt;'Données projet'!$A$62,$AF$205^A106,IF(A106='Données projet'!$A$62,'Données projet'!$B$62,AI105+AH106-AQ105)))</f>
        <v>274.20000000000005</v>
      </c>
      <c r="AJ106" s="14">
        <f>AI106*VLOOKUP('Données projet'!$B$10,Paramètres!$A$1:$I$89,3,0)*VLOOKUP('Données projet'!$B$10,Paramètres!$A$1:$I$89,5,0)</f>
        <v>183.93336000000005</v>
      </c>
      <c r="AK106" s="14">
        <f t="shared" si="89"/>
        <v>46.19618230529835</v>
      </c>
      <c r="AL106" s="22">
        <f t="shared" si="58"/>
        <v>400.80895284839471</v>
      </c>
      <c r="AM106" s="62">
        <f t="shared" si="59"/>
        <v>679.02772177815746</v>
      </c>
      <c r="AN106" s="62">
        <f ca="1">AVERAGE(OFFSET($AM$3,0,0,'Données projet'!$E$10+1,1))-AVERAGE(OFFSET($H$3,0,0,'Données projet'!$E$10+1,1))</f>
        <v>312.88185844251097</v>
      </c>
      <c r="AO106" s="62">
        <f t="shared" si="90"/>
        <v>202.68317767036231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0.32586344002656598</v>
      </c>
      <c r="AW106" s="23">
        <f>EXP(-LN(2)/2)*AW105+(1-EXP(-LN(2)/2))/(LN(2)/2)*AQ106*AT106*VLOOKUP('Données projet'!$B$10,Paramètres!$A$1:$I$89,3,0)*0.475*44/12</f>
        <v>1.0494496823416167E-10</v>
      </c>
      <c r="AX106" s="23">
        <f t="shared" si="60"/>
        <v>0.32586344013151092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-1.1368683772161603E-13</v>
      </c>
      <c r="BE106" s="14">
        <f>BD106*VLOOKUP('Données projet'!$B$11,Paramètres!$A$1:$I$89,3,0)*VLOOKUP('Données projet'!$B$11,Paramètres!$A$1:$I$89,5,0)</f>
        <v>-9.9316821433603781E-14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287.22548699835653</v>
      </c>
      <c r="BJ106" s="62">
        <f t="shared" si="92"/>
        <v>276.01618888357268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0.93528489596721698</v>
      </c>
      <c r="BR106" s="23">
        <f>EXP(-LN(2)/2)*BR105+(1-EXP(-LN(2)/2))/(LN(2)/2)*BL106*BO106*VLOOKUP('Données projet'!$B$11,Paramètres!$A$1:$I$89,3,0)*0.475*44/12</f>
        <v>1.3447287545726804E-10</v>
      </c>
      <c r="BS106" s="24">
        <f t="shared" si="63"/>
        <v>0.93528489610168986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4.4000000000000004</v>
      </c>
      <c r="N107" s="14">
        <f>IF('Données projet'!$A$36&gt;35,N106+M107-V106,IF(A107&lt;'Données projet'!$A$36,$K$205^A107,IF(A107='Données projet'!$A$36,'Données projet'!$B$36,N106+M107-V106)))</f>
        <v>278.60000000000002</v>
      </c>
      <c r="O107" s="14">
        <f>N107*VLOOKUP('Données projet'!$B$9,Paramètres!$A$1:$I$89,3,0)*VLOOKUP('Données projet'!$B$9,Paramètres!$A$1:$I$89,5,0)</f>
        <v>282.50040000000007</v>
      </c>
      <c r="P107" s="14">
        <f t="shared" si="87"/>
        <v>67.495141560894439</v>
      </c>
      <c r="Q107" s="22">
        <f t="shared" si="107"/>
        <v>609.57556821855781</v>
      </c>
      <c r="R107" s="62">
        <f t="shared" si="55"/>
        <v>888.05654104961877</v>
      </c>
      <c r="S107" s="62">
        <f ca="1">AVERAGE(OFFSET($R$3,0,0,'Données projet'!$E$9+1,1))-AVERAGE(OFFSET($H$3,0,0,'Données projet'!$E$9+1,1))</f>
        <v>446.90706503298787</v>
      </c>
      <c r="T107" s="62">
        <f t="shared" si="88"/>
        <v>275.54513370838777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0.38871555967869253</v>
      </c>
      <c r="AB107" s="23">
        <f>EXP(-LN(2)/2)*AB106+(1-EXP(-LN(2)/2))/(LN(2)/2)*V107*Y107*VLOOKUP('Données projet'!$B$9,Paramètres!$A$1:$I$89,3,0)*0.475*44/12</f>
        <v>1.023292387524634E-10</v>
      </c>
      <c r="AC107" s="24">
        <f t="shared" si="57"/>
        <v>0.38871555978102179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4.4000000000000004</v>
      </c>
      <c r="AI107" s="14">
        <f>IF('Données projet'!$A$62&gt;35,AI106+AH107-AQ106,IF(A107&lt;'Données projet'!$A$62,$AF$205^A107,IF(A107='Données projet'!$A$62,'Données projet'!$B$62,AI106+AH107-AQ106)))</f>
        <v>278.60000000000002</v>
      </c>
      <c r="AJ107" s="14">
        <f>AI107*VLOOKUP('Données projet'!$B$10,Paramètres!$A$1:$I$89,3,0)*VLOOKUP('Données projet'!$B$10,Paramètres!$A$1:$I$89,5,0)</f>
        <v>186.88488000000001</v>
      </c>
      <c r="AK107" s="14">
        <f t="shared" si="89"/>
        <v>46.850582830509104</v>
      </c>
      <c r="AL107" s="22">
        <f t="shared" si="58"/>
        <v>407.08926442980334</v>
      </c>
      <c r="AM107" s="62">
        <f t="shared" si="59"/>
        <v>685.57023726086425</v>
      </c>
      <c r="AN107" s="62">
        <f ca="1">AVERAGE(OFFSET($AM$3,0,0,'Données projet'!$E$10+1,1))-AVERAGE(OFFSET($H$3,0,0,'Données projet'!$E$10+1,1))</f>
        <v>312.88185844251097</v>
      </c>
      <c r="AO107" s="62">
        <f t="shared" si="90"/>
        <v>202.68317767036231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0.31695268712262598</v>
      </c>
      <c r="AW107" s="23">
        <f>EXP(-LN(2)/2)*AW106+(1-EXP(-LN(2)/2))/(LN(2)/2)*AQ107*AT107*VLOOKUP('Données projet'!$B$10,Paramètres!$A$1:$I$89,3,0)*0.475*44/12</f>
        <v>7.4207298689782539E-11</v>
      </c>
      <c r="AX107" s="23">
        <f t="shared" si="60"/>
        <v>0.31695268719683328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-1.1368683772161603E-13</v>
      </c>
      <c r="BE107" s="14">
        <f>BD107*VLOOKUP('Données projet'!$B$11,Paramètres!$A$1:$I$89,3,0)*VLOOKUP('Données projet'!$B$11,Paramètres!$A$1:$I$89,5,0)</f>
        <v>-9.9316821433603781E-14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287.22548699835653</v>
      </c>
      <c r="BJ107" s="62">
        <f t="shared" si="92"/>
        <v>276.01618888357268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0.9097094813024984</v>
      </c>
      <c r="BR107" s="23">
        <f>EXP(-LN(2)/2)*BR106+(1-EXP(-LN(2)/2))/(LN(2)/2)*BL107*BO107*VLOOKUP('Données projet'!$B$11,Paramètres!$A$1:$I$89,3,0)*0.475*44/12</f>
        <v>9.508668212148829E-11</v>
      </c>
      <c r="BS107" s="24">
        <f t="shared" si="63"/>
        <v>0.90970948139758512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283</v>
      </c>
      <c r="L108" s="13">
        <f>VLOOKUP(A108,'Données projet'!$A$35:$I$55,9,0)</f>
        <v>4.4000000000000004</v>
      </c>
      <c r="M108" s="13">
        <f t="array" ref="M108">INDEX(L:L,MIN(IF(ISNUMBER(L108:L304),ROW(L108:L304),"")))</f>
        <v>4.4000000000000004</v>
      </c>
      <c r="N108" s="14">
        <f>IF('Données projet'!$A$36&gt;35,N107+M108-V107,IF(A108&lt;'Données projet'!$A$36,$K$205^A108,IF(A108='Données projet'!$A$36,'Données projet'!$B$36,N107+M108-V107)))</f>
        <v>283</v>
      </c>
      <c r="O108" s="14">
        <f>N108*VLOOKUP('Données projet'!$B$9,Paramètres!$A$1:$I$89,3,0)*VLOOKUP('Données projet'!$B$9,Paramètres!$A$1:$I$89,5,0)</f>
        <v>286.96200000000005</v>
      </c>
      <c r="P108" s="14">
        <f t="shared" si="87"/>
        <v>68.436169981717853</v>
      </c>
      <c r="Q108" s="22">
        <f t="shared" si="107"/>
        <v>618.98514605149205</v>
      </c>
      <c r="R108" s="62">
        <f t="shared" si="55"/>
        <v>897.72377413236381</v>
      </c>
      <c r="S108" s="62">
        <f ca="1">AVERAGE(OFFSET($R$3,0,0,'Données projet'!$E$9+1,1))-AVERAGE(OFFSET($H$3,0,0,'Données projet'!$E$9+1,1))</f>
        <v>446.90706503298787</v>
      </c>
      <c r="T108" s="62">
        <f t="shared" si="88"/>
        <v>275.54513370838777</v>
      </c>
      <c r="U108" s="16">
        <f>IF(ISNA(VLOOKUP(A108,'Données projet'!$A$35:$I$55,3,0)),0,VLOOKUP(A108,'Données projet'!$A$35:$I$55,3,0))</f>
        <v>17</v>
      </c>
      <c r="V108" s="16">
        <f>IF(ISNA(VLOOKUP(A108,'Données projet'!$A$35:$I$55,4,0)),0,VLOOKUP(A108,'Données projet'!$A$35:$I$55,4,0))</f>
        <v>20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0.37808611225761585</v>
      </c>
      <c r="AB108" s="23">
        <f>EXP(-LN(2)/2)*AB107+(1-EXP(-LN(2)/2))/(LN(2)/2)*V108*Y108*VLOOKUP('Données projet'!$B$9,Paramètres!$A$1:$I$89,3,0)*0.475*44/12</f>
        <v>7.2357698635524117E-11</v>
      </c>
      <c r="AC108" s="24">
        <f t="shared" si="57"/>
        <v>0.37808611232997352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283</v>
      </c>
      <c r="AG108" s="13">
        <f>VLOOKUP(A108,'Données projet'!$A$61:$I$81,9,0)</f>
        <v>4.4000000000000004</v>
      </c>
      <c r="AH108" s="13">
        <f t="array" ref="AH108">INDEX(AG:AG,MIN(IF(ISNUMBER(AG108:AG304),ROW(AG108:AG304),"")))</f>
        <v>4.4000000000000004</v>
      </c>
      <c r="AI108" s="14">
        <f>IF('Données projet'!$A$62&gt;35,AI107+AH108-AQ107,IF(A108&lt;'Données projet'!$A$62,$AF$205^A108,IF(A108='Données projet'!$A$62,'Données projet'!$B$62,AI107+AH108-AQ107)))</f>
        <v>283</v>
      </c>
      <c r="AJ108" s="14">
        <f>AI108*VLOOKUP('Données projet'!$B$10,Paramètres!$A$1:$I$89,3,0)*VLOOKUP('Données projet'!$B$10,Paramètres!$A$1:$I$89,5,0)</f>
        <v>189.8364</v>
      </c>
      <c r="AK108" s="14">
        <f t="shared" si="89"/>
        <v>47.503781400896202</v>
      </c>
      <c r="AL108" s="22">
        <f t="shared" si="58"/>
        <v>413.36748260656083</v>
      </c>
      <c r="AM108" s="62">
        <f t="shared" si="59"/>
        <v>692.10611068743265</v>
      </c>
      <c r="AN108" s="62">
        <f ca="1">AVERAGE(OFFSET($AM$3,0,0,'Données projet'!$E$10+1,1))-AVERAGE(OFFSET($H$3,0,0,'Données projet'!$E$10+1,1))</f>
        <v>312.88185844251097</v>
      </c>
      <c r="AO108" s="62">
        <f t="shared" si="90"/>
        <v>202.68317767036231</v>
      </c>
      <c r="AP108" s="16">
        <f>IF(ISNA(VLOOKUP(A108,'Données projet'!$A$61:$I$81,3,0)),0,VLOOKUP(A108,'Données projet'!$A$61:$I$81,3,0))</f>
        <v>17</v>
      </c>
      <c r="AQ108" s="16">
        <f>IF(ISNA(VLOOKUP(A108,'Données projet'!$A$61:$I$81,4,0)),0,VLOOKUP(A108,'Données projet'!$A$61:$I$81,4,0))</f>
        <v>20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0.30828559922544035</v>
      </c>
      <c r="AW108" s="23">
        <f>EXP(-LN(2)/2)*AW107+(1-EXP(-LN(2)/2))/(LN(2)/2)*AQ108*AT108*VLOOKUP('Données projet'!$B$10,Paramètres!$A$1:$I$89,3,0)*0.475*44/12</f>
        <v>5.2472484117080837E-11</v>
      </c>
      <c r="AX108" s="23">
        <f t="shared" si="60"/>
        <v>0.30828559927791283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-1.1368683772161603E-13</v>
      </c>
      <c r="BE108" s="14">
        <f>BD108*VLOOKUP('Données projet'!$B$11,Paramètres!$A$1:$I$89,3,0)*VLOOKUP('Données projet'!$B$11,Paramètres!$A$1:$I$89,5,0)</f>
        <v>-9.9316821433603781E-14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287.22548699835653</v>
      </c>
      <c r="BJ108" s="62">
        <f t="shared" si="92"/>
        <v>276.01618888357268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0.88483342769673912</v>
      </c>
      <c r="BR108" s="23">
        <f>EXP(-LN(2)/2)*BR107+(1-EXP(-LN(2)/2))/(LN(2)/2)*BL108*BO108*VLOOKUP('Données projet'!$B$11,Paramètres!$A$1:$I$89,3,0)*0.475*44/12</f>
        <v>6.7236437728634021E-11</v>
      </c>
      <c r="BS108" s="24">
        <f t="shared" si="63"/>
        <v>0.88483342776397556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4.2</v>
      </c>
      <c r="N109" s="14">
        <f>IF('Données projet'!$A$36&gt;35,N108+M109-V108,IF(A109&lt;'Données projet'!$A$36,$K$205^A109,IF(A109='Données projet'!$A$36,'Données projet'!$B$36,N108+M109-V108)))</f>
        <v>267.2</v>
      </c>
      <c r="O109" s="14">
        <f>N109*VLOOKUP('Données projet'!$B$9,Paramètres!$A$1:$I$89,3,0)*VLOOKUP('Données projet'!$B$9,Paramètres!$A$1:$I$89,5,0)</f>
        <v>270.94080000000002</v>
      </c>
      <c r="P109" s="14">
        <f t="shared" si="87"/>
        <v>65.048890354155489</v>
      </c>
      <c r="Q109" s="22">
        <f t="shared" si="107"/>
        <v>585.1820440334875</v>
      </c>
      <c r="R109" s="62">
        <f t="shared" si="55"/>
        <v>864.17385762161666</v>
      </c>
      <c r="S109" s="62">
        <f ca="1">AVERAGE(OFFSET($R$3,0,0,'Données projet'!$E$9+1,1))-AVERAGE(OFFSET($H$3,0,0,'Données projet'!$E$9+1,1))</f>
        <v>446.90706503298787</v>
      </c>
      <c r="T109" s="62">
        <f t="shared" si="88"/>
        <v>275.54513370838777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0.36774732763524681</v>
      </c>
      <c r="AB109" s="23">
        <f>EXP(-LN(2)/2)*AB108+(1-EXP(-LN(2)/2))/(LN(2)/2)*V109*Y109*VLOOKUP('Données projet'!$B$9,Paramètres!$A$1:$I$89,3,0)*0.475*44/12</f>
        <v>5.11646193762317E-11</v>
      </c>
      <c r="AC109" s="24">
        <f t="shared" si="57"/>
        <v>0.36774732768641144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4.2</v>
      </c>
      <c r="AI109" s="14">
        <f>IF('Données projet'!$A$62&gt;35,AI108+AH109-AQ108,IF(A109&lt;'Données projet'!$A$62,$AF$205^A109,IF(A109='Données projet'!$A$62,'Données projet'!$B$62,AI108+AH109-AQ108)))</f>
        <v>267.2</v>
      </c>
      <c r="AJ109" s="14">
        <f>AI109*VLOOKUP('Données projet'!$B$10,Paramètres!$A$1:$I$89,3,0)*VLOOKUP('Données projet'!$B$10,Paramètres!$A$1:$I$89,5,0)</f>
        <v>179.23775999999998</v>
      </c>
      <c r="AK109" s="14">
        <f t="shared" si="89"/>
        <v>45.152559948637595</v>
      </c>
      <c r="AL109" s="22">
        <f t="shared" si="58"/>
        <v>390.81314057721039</v>
      </c>
      <c r="AM109" s="62">
        <f t="shared" si="59"/>
        <v>669.8049541653395</v>
      </c>
      <c r="AN109" s="62">
        <f ca="1">AVERAGE(OFFSET($AM$3,0,0,'Données projet'!$E$10+1,1))-AVERAGE(OFFSET($H$3,0,0,'Données projet'!$E$10+1,1))</f>
        <v>312.88185844251097</v>
      </c>
      <c r="AO109" s="62">
        <f t="shared" si="90"/>
        <v>202.68317767036231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0.29985551330258564</v>
      </c>
      <c r="AW109" s="23">
        <f>EXP(-LN(2)/2)*AW108+(1-EXP(-LN(2)/2))/(LN(2)/2)*AQ109*AT109*VLOOKUP('Données projet'!$B$10,Paramètres!$A$1:$I$89,3,0)*0.475*44/12</f>
        <v>3.7103649344891269E-11</v>
      </c>
      <c r="AX109" s="23">
        <f t="shared" si="60"/>
        <v>0.29985551333968929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-1.1368683772161603E-13</v>
      </c>
      <c r="BE109" s="14">
        <f>BD109*VLOOKUP('Données projet'!$B$11,Paramètres!$A$1:$I$89,3,0)*VLOOKUP('Données projet'!$B$11,Paramètres!$A$1:$I$89,5,0)</f>
        <v>-9.9316821433603781E-14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287.22548699835653</v>
      </c>
      <c r="BJ109" s="62">
        <f t="shared" si="92"/>
        <v>276.01618888357268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0.86063761108500414</v>
      </c>
      <c r="BR109" s="23">
        <f>EXP(-LN(2)/2)*BR108+(1-EXP(-LN(2)/2))/(LN(2)/2)*BL109*BO109*VLOOKUP('Données projet'!$B$11,Paramètres!$A$1:$I$89,3,0)*0.475*44/12</f>
        <v>4.7543341060744145E-11</v>
      </c>
      <c r="BS109" s="24">
        <f t="shared" si="63"/>
        <v>0.86063761113254744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4.2</v>
      </c>
      <c r="N110" s="14">
        <f>IF('Données projet'!$A$36&gt;35,N109+M110-V109,IF(A110&lt;'Données projet'!$A$36,$K$205^A110,IF(A110='Données projet'!$A$36,'Données projet'!$B$36,N109+M110-V109)))</f>
        <v>271.39999999999998</v>
      </c>
      <c r="O110" s="14">
        <f>N110*VLOOKUP('Données projet'!$B$9,Paramètres!$A$1:$I$89,3,0)*VLOOKUP('Données projet'!$B$9,Paramètres!$A$1:$I$89,5,0)</f>
        <v>275.19960000000003</v>
      </c>
      <c r="P110" s="14">
        <f t="shared" si="87"/>
        <v>65.951527620662617</v>
      </c>
      <c r="Q110" s="22">
        <f t="shared" si="107"/>
        <v>594.17154727265404</v>
      </c>
      <c r="R110" s="62">
        <f t="shared" si="55"/>
        <v>873.41215416552768</v>
      </c>
      <c r="S110" s="62">
        <f ca="1">AVERAGE(OFFSET($R$3,0,0,'Données projet'!$E$9+1,1))-AVERAGE(OFFSET($H$3,0,0,'Données projet'!$E$9+1,1))</f>
        <v>446.90706503298787</v>
      </c>
      <c r="T110" s="62">
        <f t="shared" si="88"/>
        <v>275.54513370838777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0.35769125762206955</v>
      </c>
      <c r="AB110" s="23">
        <f>EXP(-LN(2)/2)*AB109+(1-EXP(-LN(2)/2))/(LN(2)/2)*V110*Y110*VLOOKUP('Données projet'!$B$9,Paramètres!$A$1:$I$89,3,0)*0.475*44/12</f>
        <v>3.6178849317762058E-11</v>
      </c>
      <c r="AC110" s="24">
        <f t="shared" si="57"/>
        <v>0.35769125765824838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4.2</v>
      </c>
      <c r="AI110" s="14">
        <f>IF('Données projet'!$A$62&gt;35,AI109+AH110-AQ109,IF(A110&lt;'Données projet'!$A$62,$AF$205^A110,IF(A110='Données projet'!$A$62,'Données projet'!$B$62,AI109+AH110-AQ109)))</f>
        <v>271.39999999999998</v>
      </c>
      <c r="AJ110" s="14">
        <f>AI110*VLOOKUP('Données projet'!$B$10,Paramètres!$A$1:$I$89,3,0)*VLOOKUP('Données projet'!$B$10,Paramètres!$A$1:$I$89,5,0)</f>
        <v>182.05511999999999</v>
      </c>
      <c r="AK110" s="14">
        <f t="shared" si="89"/>
        <v>45.7791099645709</v>
      </c>
      <c r="AL110" s="22">
        <f t="shared" si="58"/>
        <v>396.81128385496095</v>
      </c>
      <c r="AM110" s="62">
        <f t="shared" si="59"/>
        <v>676.05189074783459</v>
      </c>
      <c r="AN110" s="62">
        <f ca="1">AVERAGE(OFFSET($AM$3,0,0,'Données projet'!$E$10+1,1))-AVERAGE(OFFSET($H$3,0,0,'Données projet'!$E$10+1,1))</f>
        <v>312.88185844251097</v>
      </c>
      <c r="AO110" s="62">
        <f t="shared" si="90"/>
        <v>202.68317767036231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0.29165594852261034</v>
      </c>
      <c r="AW110" s="23">
        <f>EXP(-LN(2)/2)*AW109+(1-EXP(-LN(2)/2))/(LN(2)/2)*AQ110*AT110*VLOOKUP('Données projet'!$B$10,Paramètres!$A$1:$I$89,3,0)*0.475*44/12</f>
        <v>2.6236242058540419E-11</v>
      </c>
      <c r="AX110" s="23">
        <f t="shared" si="60"/>
        <v>0.29165594854884658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-1.1368683772161603E-13</v>
      </c>
      <c r="BE110" s="14">
        <f>BD110*VLOOKUP('Données projet'!$B$11,Paramètres!$A$1:$I$89,3,0)*VLOOKUP('Données projet'!$B$11,Paramètres!$A$1:$I$89,5,0)</f>
        <v>-9.9316821433603781E-14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287.22548699835653</v>
      </c>
      <c r="BJ110" s="62">
        <f t="shared" si="92"/>
        <v>276.01618888357268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0.83710343035091972</v>
      </c>
      <c r="BR110" s="23">
        <f>EXP(-LN(2)/2)*BR109+(1-EXP(-LN(2)/2))/(LN(2)/2)*BL110*BO110*VLOOKUP('Données projet'!$B$11,Paramètres!$A$1:$I$89,3,0)*0.475*44/12</f>
        <v>3.361821886431701E-11</v>
      </c>
      <c r="BS110" s="24">
        <f t="shared" si="63"/>
        <v>0.83710343038453794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4.2</v>
      </c>
      <c r="N111" s="14">
        <f>IF('Données projet'!$A$36&gt;35,N110+M111-V110,IF(A111&lt;'Données projet'!$A$36,$K$205^A111,IF(A111='Données projet'!$A$36,'Données projet'!$B$36,N110+M111-V110)))</f>
        <v>275.59999999999997</v>
      </c>
      <c r="O111" s="14">
        <f>N111*VLOOKUP('Données projet'!$B$9,Paramètres!$A$1:$I$89,3,0)*VLOOKUP('Données projet'!$B$9,Paramètres!$A$1:$I$89,5,0)</f>
        <v>279.45839999999998</v>
      </c>
      <c r="P111" s="14">
        <f t="shared" si="87"/>
        <v>66.852540337772723</v>
      </c>
      <c r="Q111" s="22">
        <f t="shared" si="107"/>
        <v>603.15822108828741</v>
      </c>
      <c r="R111" s="62">
        <f t="shared" si="55"/>
        <v>882.64330527828679</v>
      </c>
      <c r="S111" s="62">
        <f ca="1">AVERAGE(OFFSET($R$3,0,0,'Données projet'!$E$9+1,1))-AVERAGE(OFFSET($H$3,0,0,'Données projet'!$E$9+1,1))</f>
        <v>446.90706503298787</v>
      </c>
      <c r="T111" s="62">
        <f t="shared" si="88"/>
        <v>275.54513370838777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0.34791017137222835</v>
      </c>
      <c r="AB111" s="23">
        <f>EXP(-LN(2)/2)*AB110+(1-EXP(-LN(2)/2))/(LN(2)/2)*V111*Y111*VLOOKUP('Données projet'!$B$9,Paramètres!$A$1:$I$89,3,0)*0.475*44/12</f>
        <v>2.558230968811585E-11</v>
      </c>
      <c r="AC111" s="24">
        <f t="shared" si="57"/>
        <v>0.34791017139781066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4.2</v>
      </c>
      <c r="AI111" s="14">
        <f>IF('Données projet'!$A$62&gt;35,AI110+AH111-AQ110,IF(A111&lt;'Données projet'!$A$62,$AF$205^A111,IF(A111='Données projet'!$A$62,'Données projet'!$B$62,AI110+AH111-AQ110)))</f>
        <v>275.59999999999997</v>
      </c>
      <c r="AJ111" s="14">
        <f>AI111*VLOOKUP('Données projet'!$B$10,Paramètres!$A$1:$I$89,3,0)*VLOOKUP('Données projet'!$B$10,Paramètres!$A$1:$I$89,5,0)</f>
        <v>184.87247999999997</v>
      </c>
      <c r="AK111" s="14">
        <f t="shared" si="89"/>
        <v>46.40453232769346</v>
      </c>
      <c r="AL111" s="22">
        <f t="shared" si="58"/>
        <v>402.80746313739934</v>
      </c>
      <c r="AM111" s="62">
        <f t="shared" si="59"/>
        <v>682.29254732739867</v>
      </c>
      <c r="AN111" s="62">
        <f ca="1">AVERAGE(OFFSET($AM$3,0,0,'Données projet'!$E$10+1,1))-AVERAGE(OFFSET($H$3,0,0,'Données projet'!$E$10+1,1))</f>
        <v>312.88185844251097</v>
      </c>
      <c r="AO111" s="62">
        <f t="shared" si="90"/>
        <v>202.68317767036231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0.28368060127273981</v>
      </c>
      <c r="AW111" s="23">
        <f>EXP(-LN(2)/2)*AW110+(1-EXP(-LN(2)/2))/(LN(2)/2)*AQ111*AT111*VLOOKUP('Données projet'!$B$10,Paramètres!$A$1:$I$89,3,0)*0.475*44/12</f>
        <v>1.8551824672445635E-11</v>
      </c>
      <c r="AX111" s="23">
        <f t="shared" si="60"/>
        <v>0.28368060129129163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-1.1368683772161603E-13</v>
      </c>
      <c r="BE111" s="14">
        <f>BD111*VLOOKUP('Données projet'!$B$11,Paramètres!$A$1:$I$89,3,0)*VLOOKUP('Données projet'!$B$11,Paramètres!$A$1:$I$89,5,0)</f>
        <v>-9.9316821433603781E-14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287.22548699835653</v>
      </c>
      <c r="BJ111" s="62">
        <f t="shared" si="92"/>
        <v>276.01618888357268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0.81421279302661764</v>
      </c>
      <c r="BR111" s="23">
        <f>EXP(-LN(2)/2)*BR110+(1-EXP(-LN(2)/2))/(LN(2)/2)*BL111*BO111*VLOOKUP('Données projet'!$B$11,Paramètres!$A$1:$I$89,3,0)*0.475*44/12</f>
        <v>2.3771670530372073E-11</v>
      </c>
      <c r="BS111" s="24">
        <f t="shared" si="63"/>
        <v>0.81421279305038929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4.2</v>
      </c>
      <c r="N112" s="14">
        <f>IF('Données projet'!$A$36&gt;35,N111+M112-V111,IF(A112&lt;'Données projet'!$A$36,$K$205^A112,IF(A112='Données projet'!$A$36,'Données projet'!$B$36,N111+M112-V111)))</f>
        <v>279.79999999999995</v>
      </c>
      <c r="O112" s="14">
        <f>N112*VLOOKUP('Données projet'!$B$9,Paramètres!$A$1:$I$89,3,0)*VLOOKUP('Données projet'!$B$9,Paramètres!$A$1:$I$89,5,0)</f>
        <v>283.71719999999999</v>
      </c>
      <c r="P112" s="14">
        <f t="shared" si="87"/>
        <v>67.751956122170697</v>
      </c>
      <c r="Q112" s="22">
        <f t="shared" si="107"/>
        <v>612.14211357944725</v>
      </c>
      <c r="R112" s="62">
        <f t="shared" si="55"/>
        <v>891.86743393203653</v>
      </c>
      <c r="S112" s="62">
        <f ca="1">AVERAGE(OFFSET($R$3,0,0,'Données projet'!$E$9+1,1))-AVERAGE(OFFSET($H$3,0,0,'Données projet'!$E$9+1,1))</f>
        <v>446.90706503298787</v>
      </c>
      <c r="T112" s="62">
        <f t="shared" si="88"/>
        <v>275.54513370838777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0.33839654944025399</v>
      </c>
      <c r="AB112" s="23">
        <f>EXP(-LN(2)/2)*AB111+(1-EXP(-LN(2)/2))/(LN(2)/2)*V112*Y112*VLOOKUP('Données projet'!$B$9,Paramètres!$A$1:$I$89,3,0)*0.475*44/12</f>
        <v>1.8089424658881029E-11</v>
      </c>
      <c r="AC112" s="24">
        <f t="shared" si="57"/>
        <v>0.33839654945834341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4.2</v>
      </c>
      <c r="AI112" s="14">
        <f>IF('Données projet'!$A$62&gt;35,AI111+AH112-AQ111,IF(A112&lt;'Données projet'!$A$62,$AF$205^A112,IF(A112='Données projet'!$A$62,'Données projet'!$B$62,AI111+AH112-AQ111)))</f>
        <v>279.79999999999995</v>
      </c>
      <c r="AJ112" s="14">
        <f>AI112*VLOOKUP('Données projet'!$B$10,Paramètres!$A$1:$I$89,3,0)*VLOOKUP('Données projet'!$B$10,Paramètres!$A$1:$I$89,5,0)</f>
        <v>187.68983999999998</v>
      </c>
      <c r="AK112" s="14">
        <f t="shared" si="89"/>
        <v>47.02884620764862</v>
      </c>
      <c r="AL112" s="22">
        <f t="shared" si="58"/>
        <v>408.80171181165457</v>
      </c>
      <c r="AM112" s="62">
        <f t="shared" si="59"/>
        <v>688.52703216424379</v>
      </c>
      <c r="AN112" s="62">
        <f ca="1">AVERAGE(OFFSET($AM$3,0,0,'Données projet'!$E$10+1,1))-AVERAGE(OFFSET($H$3,0,0,'Données projet'!$E$10+1,1))</f>
        <v>312.88185844251097</v>
      </c>
      <c r="AO112" s="62">
        <f t="shared" si="90"/>
        <v>202.68317767036231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0.27592334031282229</v>
      </c>
      <c r="AW112" s="23">
        <f>EXP(-LN(2)/2)*AW111+(1-EXP(-LN(2)/2))/(LN(2)/2)*AQ112*AT112*VLOOKUP('Données projet'!$B$10,Paramètres!$A$1:$I$89,3,0)*0.475*44/12</f>
        <v>1.3118121029270209E-11</v>
      </c>
      <c r="AX112" s="23">
        <f t="shared" si="60"/>
        <v>0.2759233403259404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-1.1368683772161603E-13</v>
      </c>
      <c r="BE112" s="14">
        <f>BD112*VLOOKUP('Données projet'!$B$11,Paramètres!$A$1:$I$89,3,0)*VLOOKUP('Données projet'!$B$11,Paramètres!$A$1:$I$89,5,0)</f>
        <v>-9.9316821433603781E-14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287.22548699835653</v>
      </c>
      <c r="BJ112" s="62">
        <f t="shared" si="92"/>
        <v>276.01618888357268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0.79194810138371485</v>
      </c>
      <c r="BR112" s="23">
        <f>EXP(-LN(2)/2)*BR111+(1-EXP(-LN(2)/2))/(LN(2)/2)*BL112*BO112*VLOOKUP('Données projet'!$B$11,Paramètres!$A$1:$I$89,3,0)*0.475*44/12</f>
        <v>1.6809109432158505E-11</v>
      </c>
      <c r="BS112" s="24">
        <f t="shared" si="63"/>
        <v>0.79194810140052396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284</v>
      </c>
      <c r="L113" s="13">
        <f>VLOOKUP(A113,'Données projet'!$A$35:$I$55,9,0)</f>
        <v>4.2</v>
      </c>
      <c r="M113" s="13">
        <f t="array" ref="M113">INDEX(L:L,MIN(IF(ISNUMBER(L113:L309),ROW(L113:L309),"")))</f>
        <v>4.2</v>
      </c>
      <c r="N113" s="14">
        <f>IF('Données projet'!$A$36&gt;35,N112+M113-V112,IF(A113&lt;'Données projet'!$A$36,$K$205^A113,IF(A113='Données projet'!$A$36,'Données projet'!$B$36,N112+M113-V112)))</f>
        <v>283.99999999999994</v>
      </c>
      <c r="O113" s="14">
        <f>N113*VLOOKUP('Données projet'!$B$9,Paramètres!$A$1:$I$89,3,0)*VLOOKUP('Données projet'!$B$9,Paramètres!$A$1:$I$89,5,0)</f>
        <v>287.97599999999994</v>
      </c>
      <c r="P113" s="14">
        <f t="shared" si="87"/>
        <v>68.649801713863141</v>
      </c>
      <c r="Q113" s="22">
        <f t="shared" si="107"/>
        <v>621.12327131831148</v>
      </c>
      <c r="R113" s="62">
        <f t="shared" si="55"/>
        <v>901.0846602731574</v>
      </c>
      <c r="S113" s="62">
        <f ca="1">AVERAGE(OFFSET($R$3,0,0,'Données projet'!$E$9+1,1))-AVERAGE(OFFSET($H$3,0,0,'Données projet'!$E$9+1,1))</f>
        <v>446.90706503298787</v>
      </c>
      <c r="T113" s="62">
        <f t="shared" si="88"/>
        <v>275.54513370838777</v>
      </c>
      <c r="U113" s="16">
        <f>IF(ISNA(VLOOKUP(A113,'Données projet'!$A$35:$I$55,3,0)),0,VLOOKUP(A113,'Données projet'!$A$35:$I$55,3,0))</f>
        <v>18</v>
      </c>
      <c r="V113" s="16">
        <f>IF(ISNA(VLOOKUP(A113,'Données projet'!$A$35:$I$55,4,0)),0,VLOOKUP(A113,'Données projet'!$A$35:$I$55,4,0))</f>
        <v>19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0.32914307800030912</v>
      </c>
      <c r="AB113" s="23">
        <f>EXP(-LN(2)/2)*AB112+(1-EXP(-LN(2)/2))/(LN(2)/2)*V113*Y113*VLOOKUP('Données projet'!$B$9,Paramètres!$A$1:$I$89,3,0)*0.475*44/12</f>
        <v>1.2791154844057925E-11</v>
      </c>
      <c r="AC113" s="24">
        <f t="shared" si="57"/>
        <v>0.32914307801310028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284</v>
      </c>
      <c r="AG113" s="13">
        <f>VLOOKUP(A113,'Données projet'!$A$61:$I$81,9,0)</f>
        <v>4.2</v>
      </c>
      <c r="AH113" s="13">
        <f t="array" ref="AH113">INDEX(AG:AG,MIN(IF(ISNUMBER(AG113:AG309),ROW(AG113:AG309),"")))</f>
        <v>4.2</v>
      </c>
      <c r="AI113" s="14">
        <f>IF('Données projet'!$A$62&gt;35,AI112+AH113-AQ112,IF(A113&lt;'Données projet'!$A$62,$AF$205^A113,IF(A113='Données projet'!$A$62,'Données projet'!$B$62,AI112+AH113-AQ112)))</f>
        <v>283.99999999999994</v>
      </c>
      <c r="AJ113" s="14">
        <f>AI113*VLOOKUP('Données projet'!$B$10,Paramètres!$A$1:$I$89,3,0)*VLOOKUP('Données projet'!$B$10,Paramètres!$A$1:$I$89,5,0)</f>
        <v>190.50719999999998</v>
      </c>
      <c r="AK113" s="14">
        <f t="shared" si="89"/>
        <v>47.652070165548515</v>
      </c>
      <c r="AL113" s="22">
        <f t="shared" si="58"/>
        <v>414.79406220499692</v>
      </c>
      <c r="AM113" s="62">
        <f t="shared" si="59"/>
        <v>694.75545115984278</v>
      </c>
      <c r="AN113" s="62">
        <f ca="1">AVERAGE(OFFSET($AM$3,0,0,'Données projet'!$E$10+1,1))-AVERAGE(OFFSET($H$3,0,0,'Données projet'!$E$10+1,1))</f>
        <v>312.88185844251097</v>
      </c>
      <c r="AO113" s="62">
        <f t="shared" si="90"/>
        <v>202.68317767036231</v>
      </c>
      <c r="AP113" s="16">
        <f>IF(ISNA(VLOOKUP(A113,'Données projet'!$A$61:$I$81,3,0)),0,VLOOKUP(A113,'Données projet'!$A$61:$I$81,3,0))</f>
        <v>18</v>
      </c>
      <c r="AQ113" s="16">
        <f>IF(ISNA(VLOOKUP(A113,'Données projet'!$A$61:$I$81,4,0)),0,VLOOKUP(A113,'Données projet'!$A$61:$I$81,4,0))</f>
        <v>19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0.26837820206179031</v>
      </c>
      <c r="AW113" s="23">
        <f>EXP(-LN(2)/2)*AW112+(1-EXP(-LN(2)/2))/(LN(2)/2)*AQ113*AT113*VLOOKUP('Données projet'!$B$10,Paramètres!$A$1:$I$89,3,0)*0.475*44/12</f>
        <v>9.2759123362228173E-12</v>
      </c>
      <c r="AX113" s="23">
        <f t="shared" si="60"/>
        <v>0.26837820207106622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-1.1368683772161603E-13</v>
      </c>
      <c r="BE113" s="14">
        <f>BD113*VLOOKUP('Données projet'!$B$11,Paramètres!$A$1:$I$89,3,0)*VLOOKUP('Données projet'!$B$11,Paramètres!$A$1:$I$89,5,0)</f>
        <v>-9.9316821433603781E-14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287.22548699835653</v>
      </c>
      <c r="BJ113" s="62">
        <f t="shared" si="92"/>
        <v>276.01618888357268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0.77029223890463649</v>
      </c>
      <c r="BR113" s="23">
        <f>EXP(-LN(2)/2)*BR112+(1-EXP(-LN(2)/2))/(LN(2)/2)*BL113*BO113*VLOOKUP('Données projet'!$B$11,Paramètres!$A$1:$I$89,3,0)*0.475*44/12</f>
        <v>1.1885835265186036E-11</v>
      </c>
      <c r="BS113" s="24">
        <f t="shared" si="63"/>
        <v>0.77029223891652232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3.8</v>
      </c>
      <c r="N114" s="14">
        <f>IF('Données projet'!$A$36&gt;35,N113+M114-V113,IF(A114&lt;'Données projet'!$A$36,$K$205^A114,IF(A114='Données projet'!$A$36,'Données projet'!$B$36,N113+M114-V113)))</f>
        <v>268.79999999999995</v>
      </c>
      <c r="O114" s="14">
        <f>N114*VLOOKUP('Données projet'!$B$9,Paramètres!$A$1:$I$89,3,0)*VLOOKUP('Données projet'!$B$9,Paramètres!$A$1:$I$89,5,0)</f>
        <v>272.56319999999994</v>
      </c>
      <c r="P114" s="14">
        <f t="shared" si="87"/>
        <v>65.392945522034609</v>
      </c>
      <c r="Q114" s="22">
        <f t="shared" si="107"/>
        <v>588.60695345087686</v>
      </c>
      <c r="R114" s="62">
        <f t="shared" si="55"/>
        <v>868.80031574550048</v>
      </c>
      <c r="S114" s="62">
        <f ca="1">AVERAGE(OFFSET($R$3,0,0,'Données projet'!$E$9+1,1))-AVERAGE(OFFSET($H$3,0,0,'Données projet'!$E$9+1,1))</f>
        <v>446.90706503298787</v>
      </c>
      <c r="T114" s="62">
        <f t="shared" si="88"/>
        <v>275.54513370838777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0.32014264322350844</v>
      </c>
      <c r="AB114" s="23">
        <f>EXP(-LN(2)/2)*AB113+(1-EXP(-LN(2)/2))/(LN(2)/2)*V114*Y114*VLOOKUP('Données projet'!$B$9,Paramètres!$A$1:$I$89,3,0)*0.475*44/12</f>
        <v>9.0447123294405146E-12</v>
      </c>
      <c r="AC114" s="24">
        <f t="shared" si="57"/>
        <v>0.32014264323255315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3.8</v>
      </c>
      <c r="AI114" s="14">
        <f>IF('Données projet'!$A$62&gt;35,AI113+AH114-AQ113,IF(A114&lt;'Données projet'!$A$62,$AF$205^A114,IF(A114='Données projet'!$A$62,'Données projet'!$B$62,AI113+AH114-AQ113)))</f>
        <v>268.79999999999995</v>
      </c>
      <c r="AJ114" s="14">
        <f>AI114*VLOOKUP('Données projet'!$B$10,Paramètres!$A$1:$I$89,3,0)*VLOOKUP('Données projet'!$B$10,Paramètres!$A$1:$I$89,5,0)</f>
        <v>180.31103999999996</v>
      </c>
      <c r="AK114" s="14">
        <f t="shared" si="89"/>
        <v>45.391379880979571</v>
      </c>
      <c r="AL114" s="22">
        <f t="shared" si="58"/>
        <v>393.09838129270605</v>
      </c>
      <c r="AM114" s="62">
        <f t="shared" si="59"/>
        <v>673.29174358732962</v>
      </c>
      <c r="AN114" s="62">
        <f ca="1">AVERAGE(OFFSET($AM$3,0,0,'Données projet'!$E$10+1,1))-AVERAGE(OFFSET($H$3,0,0,'Données projet'!$E$10+1,1))</f>
        <v>312.88185844251097</v>
      </c>
      <c r="AO114" s="62">
        <f t="shared" si="90"/>
        <v>202.68317767036231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0.26103938601301441</v>
      </c>
      <c r="AW114" s="23">
        <f>EXP(-LN(2)/2)*AW113+(1-EXP(-LN(2)/2))/(LN(2)/2)*AQ114*AT114*VLOOKUP('Données projet'!$B$10,Paramètres!$A$1:$I$89,3,0)*0.475*44/12</f>
        <v>6.5590605146351046E-12</v>
      </c>
      <c r="AX114" s="23">
        <f t="shared" si="60"/>
        <v>0.26103938601957349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-1.1368683772161603E-13</v>
      </c>
      <c r="BE114" s="14">
        <f>BD114*VLOOKUP('Données projet'!$B$11,Paramètres!$A$1:$I$89,3,0)*VLOOKUP('Données projet'!$B$11,Paramètres!$A$1:$I$89,5,0)</f>
        <v>-9.9316821433603781E-14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287.22548699835653</v>
      </c>
      <c r="BJ114" s="62">
        <f t="shared" si="92"/>
        <v>276.01618888357268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0.74922855712388092</v>
      </c>
      <c r="BR114" s="23">
        <f>EXP(-LN(2)/2)*BR113+(1-EXP(-LN(2)/2))/(LN(2)/2)*BL114*BO114*VLOOKUP('Données projet'!$B$11,Paramètres!$A$1:$I$89,3,0)*0.475*44/12</f>
        <v>8.4045547160792526E-12</v>
      </c>
      <c r="BS114" s="24">
        <f t="shared" si="63"/>
        <v>0.74922855713228542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3.8</v>
      </c>
      <c r="N115" s="14">
        <f>IF('Données projet'!$A$36&gt;35,N114+M115-V114,IF(A115&lt;'Données projet'!$A$36,$K$205^A115,IF(A115='Données projet'!$A$36,'Données projet'!$B$36,N114+M115-V114)))</f>
        <v>272.59999999999997</v>
      </c>
      <c r="O115" s="14">
        <f>N115*VLOOKUP('Données projet'!$B$9,Paramètres!$A$1:$I$89,3,0)*VLOOKUP('Données projet'!$B$9,Paramètres!$A$1:$I$89,5,0)</f>
        <v>276.41640000000001</v>
      </c>
      <c r="P115" s="14">
        <f t="shared" si="87"/>
        <v>66.209124371313408</v>
      </c>
      <c r="Q115" s="22">
        <f t="shared" si="107"/>
        <v>596.7394549467042</v>
      </c>
      <c r="R115" s="62">
        <f t="shared" si="55"/>
        <v>877.16076636227513</v>
      </c>
      <c r="S115" s="62">
        <f ca="1">AVERAGE(OFFSET($R$3,0,0,'Données projet'!$E$9+1,1))-AVERAGE(OFFSET($H$3,0,0,'Données projet'!$E$9+1,1))</f>
        <v>446.90706503298787</v>
      </c>
      <c r="T115" s="62">
        <f t="shared" si="88"/>
        <v>275.54513370838777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0.31138832580899167</v>
      </c>
      <c r="AB115" s="23">
        <f>EXP(-LN(2)/2)*AB114+(1-EXP(-LN(2)/2))/(LN(2)/2)*V115*Y115*VLOOKUP('Données projet'!$B$9,Paramètres!$A$1:$I$89,3,0)*0.475*44/12</f>
        <v>6.3955774220289625E-12</v>
      </c>
      <c r="AC115" s="24">
        <f t="shared" si="57"/>
        <v>0.31138832581538722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3.8</v>
      </c>
      <c r="AI115" s="14">
        <f>IF('Données projet'!$A$62&gt;35,AI114+AH115-AQ114,IF(A115&lt;'Données projet'!$A$62,$AF$205^A115,IF(A115='Données projet'!$A$62,'Données projet'!$B$62,AI114+AH115-AQ114)))</f>
        <v>272.59999999999997</v>
      </c>
      <c r="AJ115" s="14">
        <f>AI115*VLOOKUP('Données projet'!$B$10,Paramètres!$A$1:$I$89,3,0)*VLOOKUP('Données projet'!$B$10,Paramètres!$A$1:$I$89,5,0)</f>
        <v>182.86007999999998</v>
      </c>
      <c r="AK115" s="14">
        <f t="shared" si="89"/>
        <v>45.957916284909473</v>
      </c>
      <c r="AL115" s="22">
        <f t="shared" si="58"/>
        <v>398.52467686288395</v>
      </c>
      <c r="AM115" s="62">
        <f t="shared" si="59"/>
        <v>678.94598827845482</v>
      </c>
      <c r="AN115" s="62">
        <f ca="1">AVERAGE(OFFSET($AM$3,0,0,'Données projet'!$E$10+1,1))-AVERAGE(OFFSET($H$3,0,0,'Données projet'!$E$10+1,1))</f>
        <v>312.88185844251097</v>
      </c>
      <c r="AO115" s="62">
        <f t="shared" si="90"/>
        <v>202.68317767036231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0.2539012502750238</v>
      </c>
      <c r="AW115" s="23">
        <f>EXP(-LN(2)/2)*AW114+(1-EXP(-LN(2)/2))/(LN(2)/2)*AQ115*AT115*VLOOKUP('Données projet'!$B$10,Paramètres!$A$1:$I$89,3,0)*0.475*44/12</f>
        <v>4.6379561681114087E-12</v>
      </c>
      <c r="AX115" s="23">
        <f t="shared" si="60"/>
        <v>0.25390125027966176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-1.1368683772161603E-13</v>
      </c>
      <c r="BE115" s="14">
        <f>BD115*VLOOKUP('Données projet'!$B$11,Paramètres!$A$1:$I$89,3,0)*VLOOKUP('Données projet'!$B$11,Paramètres!$A$1:$I$89,5,0)</f>
        <v>-9.9316821433603781E-14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287.22548699835653</v>
      </c>
      <c r="BJ115" s="62">
        <f t="shared" si="92"/>
        <v>276.01618888357268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0.72874086282911099</v>
      </c>
      <c r="BR115" s="23">
        <f>EXP(-LN(2)/2)*BR114+(1-EXP(-LN(2)/2))/(LN(2)/2)*BL115*BO115*VLOOKUP('Données projet'!$B$11,Paramètres!$A$1:$I$89,3,0)*0.475*44/12</f>
        <v>5.9429176325930181E-12</v>
      </c>
      <c r="BS115" s="24">
        <f t="shared" si="63"/>
        <v>0.7287408628350539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3.8</v>
      </c>
      <c r="N116" s="14">
        <f>IF('Données projet'!$A$36&gt;35,N115+M116-V115,IF(A116&lt;'Données projet'!$A$36,$K$205^A116,IF(A116='Données projet'!$A$36,'Données projet'!$B$36,N115+M116-V115)))</f>
        <v>276.39999999999998</v>
      </c>
      <c r="O116" s="14">
        <f>N116*VLOOKUP('Données projet'!$B$9,Paramètres!$A$1:$I$89,3,0)*VLOOKUP('Données projet'!$B$9,Paramètres!$A$1:$I$89,5,0)</f>
        <v>280.26960000000003</v>
      </c>
      <c r="P116" s="14">
        <f t="shared" si="87"/>
        <v>67.023979919595945</v>
      </c>
      <c r="Q116" s="22">
        <f t="shared" si="107"/>
        <v>604.8696516932963</v>
      </c>
      <c r="R116" s="62">
        <f t="shared" si="55"/>
        <v>885.51495782218399</v>
      </c>
      <c r="S116" s="62">
        <f ca="1">AVERAGE(OFFSET($R$3,0,0,'Données projet'!$E$9+1,1))-AVERAGE(OFFSET($H$3,0,0,'Données projet'!$E$9+1,1))</f>
        <v>446.90706503298787</v>
      </c>
      <c r="T116" s="62">
        <f t="shared" si="88"/>
        <v>275.54513370838777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0.30287339566454441</v>
      </c>
      <c r="AB116" s="23">
        <f>EXP(-LN(2)/2)*AB115+(1-EXP(-LN(2)/2))/(LN(2)/2)*V116*Y116*VLOOKUP('Données projet'!$B$9,Paramètres!$A$1:$I$89,3,0)*0.475*44/12</f>
        <v>4.5223561647202573E-12</v>
      </c>
      <c r="AC116" s="24">
        <f t="shared" si="57"/>
        <v>0.30287339566906679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3.8</v>
      </c>
      <c r="AI116" s="14">
        <f>IF('Données projet'!$A$62&gt;35,AI115+AH116-AQ115,IF(A116&lt;'Données projet'!$A$62,$AF$205^A116,IF(A116='Données projet'!$A$62,'Données projet'!$B$62,AI115+AH116-AQ115)))</f>
        <v>276.39999999999998</v>
      </c>
      <c r="AJ116" s="14">
        <f>AI116*VLOOKUP('Données projet'!$B$10,Paramètres!$A$1:$I$89,3,0)*VLOOKUP('Données projet'!$B$10,Paramètres!$A$1:$I$89,5,0)</f>
        <v>185.40912</v>
      </c>
      <c r="AK116" s="14">
        <f t="shared" si="89"/>
        <v>46.523534142385458</v>
      </c>
      <c r="AL116" s="22">
        <f t="shared" si="58"/>
        <v>403.9493726313213</v>
      </c>
      <c r="AM116" s="62">
        <f t="shared" si="59"/>
        <v>684.59467876020892</v>
      </c>
      <c r="AN116" s="62">
        <f ca="1">AVERAGE(OFFSET($AM$3,0,0,'Données projet'!$E$10+1,1))-AVERAGE(OFFSET($H$3,0,0,'Données projet'!$E$10+1,1))</f>
        <v>312.88185844251097</v>
      </c>
      <c r="AO116" s="62">
        <f t="shared" si="90"/>
        <v>202.68317767036231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0.24695830723416681</v>
      </c>
      <c r="AW116" s="23">
        <f>EXP(-LN(2)/2)*AW115+(1-EXP(-LN(2)/2))/(LN(2)/2)*AQ116*AT116*VLOOKUP('Données projet'!$B$10,Paramètres!$A$1:$I$89,3,0)*0.475*44/12</f>
        <v>3.2795302573175523E-12</v>
      </c>
      <c r="AX116" s="23">
        <f t="shared" si="60"/>
        <v>0.24695830723744636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-1.1368683772161603E-13</v>
      </c>
      <c r="BE116" s="14">
        <f>BD116*VLOOKUP('Données projet'!$B$11,Paramètres!$A$1:$I$89,3,0)*VLOOKUP('Données projet'!$B$11,Paramètres!$A$1:$I$89,5,0)</f>
        <v>-9.9316821433603781E-14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287.22548699835653</v>
      </c>
      <c r="BJ116" s="62">
        <f t="shared" si="92"/>
        <v>276.01618888357268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0.70881340561223249</v>
      </c>
      <c r="BR116" s="23">
        <f>EXP(-LN(2)/2)*BR115+(1-EXP(-LN(2)/2))/(LN(2)/2)*BL116*BO116*VLOOKUP('Données projet'!$B$11,Paramètres!$A$1:$I$89,3,0)*0.475*44/12</f>
        <v>4.2022773580396263E-12</v>
      </c>
      <c r="BS116" s="24">
        <f t="shared" si="63"/>
        <v>0.7088134056164348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3.8</v>
      </c>
      <c r="N117" s="14">
        <f>IF('Données projet'!$A$36&gt;35,N116+M117-V116,IF(A117&lt;'Données projet'!$A$36,$K$205^A117,IF(A117='Données projet'!$A$36,'Données projet'!$B$36,N116+M117-V116)))</f>
        <v>280.2</v>
      </c>
      <c r="O117" s="14">
        <f>N117*VLOOKUP('Données projet'!$B$9,Paramètres!$A$1:$I$89,3,0)*VLOOKUP('Données projet'!$B$9,Paramètres!$A$1:$I$89,5,0)</f>
        <v>284.12279999999998</v>
      </c>
      <c r="P117" s="14">
        <f t="shared" si="87"/>
        <v>67.837532462585557</v>
      </c>
      <c r="Q117" s="22">
        <f t="shared" si="107"/>
        <v>612.99757903900309</v>
      </c>
      <c r="R117" s="62">
        <f t="shared" si="55"/>
        <v>893.86299407370848</v>
      </c>
      <c r="S117" s="62">
        <f ca="1">AVERAGE(OFFSET($R$3,0,0,'Données projet'!$E$9+1,1))-AVERAGE(OFFSET($H$3,0,0,'Données projet'!$E$9+1,1))</f>
        <v>446.90706503298787</v>
      </c>
      <c r="T117" s="62">
        <f t="shared" si="88"/>
        <v>275.54513370838777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0.2945913067326778</v>
      </c>
      <c r="AB117" s="23">
        <f>EXP(-LN(2)/2)*AB116+(1-EXP(-LN(2)/2))/(LN(2)/2)*V117*Y117*VLOOKUP('Données projet'!$B$9,Paramètres!$A$1:$I$89,3,0)*0.475*44/12</f>
        <v>3.1977887110144813E-12</v>
      </c>
      <c r="AC117" s="24">
        <f t="shared" si="57"/>
        <v>0.29459130673587558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3.8</v>
      </c>
      <c r="AI117" s="14">
        <f>IF('Données projet'!$A$62&gt;35,AI116+AH117-AQ116,IF(A117&lt;'Données projet'!$A$62,$AF$205^A117,IF(A117='Données projet'!$A$62,'Données projet'!$B$62,AI116+AH117-AQ116)))</f>
        <v>280.2</v>
      </c>
      <c r="AJ117" s="14">
        <f>AI117*VLOOKUP('Données projet'!$B$10,Paramètres!$A$1:$I$89,3,0)*VLOOKUP('Données projet'!$B$10,Paramètres!$A$1:$I$89,5,0)</f>
        <v>187.95815999999999</v>
      </c>
      <c r="AK117" s="14">
        <f t="shared" si="89"/>
        <v>47.088247541318253</v>
      </c>
      <c r="AL117" s="22">
        <f t="shared" si="58"/>
        <v>409.37249313446256</v>
      </c>
      <c r="AM117" s="62">
        <f t="shared" si="59"/>
        <v>690.23790816916801</v>
      </c>
      <c r="AN117" s="62">
        <f ca="1">AVERAGE(OFFSET($AM$3,0,0,'Données projet'!$E$10+1,1))-AVERAGE(OFFSET($H$3,0,0,'Données projet'!$E$10+1,1))</f>
        <v>312.88185844251097</v>
      </c>
      <c r="AO117" s="62">
        <f t="shared" si="90"/>
        <v>202.68317767036231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0.24020521933587557</v>
      </c>
      <c r="AW117" s="23">
        <f>EXP(-LN(2)/2)*AW116+(1-EXP(-LN(2)/2))/(LN(2)/2)*AQ117*AT117*VLOOKUP('Données projet'!$B$10,Paramètres!$A$1:$I$89,3,0)*0.475*44/12</f>
        <v>2.3189780840557043E-12</v>
      </c>
      <c r="AX117" s="23">
        <f t="shared" si="60"/>
        <v>0.24020521933819455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-1.1368683772161603E-13</v>
      </c>
      <c r="BE117" s="14">
        <f>BD117*VLOOKUP('Données projet'!$B$11,Paramètres!$A$1:$I$89,3,0)*VLOOKUP('Données projet'!$B$11,Paramètres!$A$1:$I$89,5,0)</f>
        <v>-9.9316821433603781E-14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287.22548699835653</v>
      </c>
      <c r="BJ117" s="62">
        <f t="shared" si="92"/>
        <v>276.01618888357268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0.68943086576088897</v>
      </c>
      <c r="BR117" s="23">
        <f>EXP(-LN(2)/2)*BR116+(1-EXP(-LN(2)/2))/(LN(2)/2)*BL117*BO117*VLOOKUP('Données projet'!$B$11,Paramètres!$A$1:$I$89,3,0)*0.475*44/12</f>
        <v>2.9714588162965091E-12</v>
      </c>
      <c r="BS117" s="24">
        <f t="shared" si="63"/>
        <v>0.68943086576386048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284</v>
      </c>
      <c r="L118" s="13">
        <f>VLOOKUP(A118,'Données projet'!$A$35:$I$55,9,0)</f>
        <v>3.8</v>
      </c>
      <c r="M118" s="13">
        <f t="array" ref="M118">INDEX(L:L,MIN(IF(ISNUMBER(L118:L314),ROW(L118:L314),"")))</f>
        <v>3.8</v>
      </c>
      <c r="N118" s="14">
        <f>IF('Données projet'!$A$36&gt;35,N117+M118-V117,IF(A118&lt;'Données projet'!$A$36,$K$205^A118,IF(A118='Données projet'!$A$36,'Données projet'!$B$36,N117+M118-V117)))</f>
        <v>284</v>
      </c>
      <c r="O118" s="14">
        <f>N118*VLOOKUP('Données projet'!$B$9,Paramètres!$A$1:$I$89,3,0)*VLOOKUP('Données projet'!$B$9,Paramètres!$A$1:$I$89,5,0)</f>
        <v>287.976</v>
      </c>
      <c r="P118" s="14">
        <f t="shared" si="87"/>
        <v>68.649801713863141</v>
      </c>
      <c r="Q118" s="22">
        <f t="shared" si="107"/>
        <v>621.12327131831159</v>
      </c>
      <c r="R118" s="62">
        <f t="shared" si="55"/>
        <v>902.2049768614088</v>
      </c>
      <c r="S118" s="62">
        <f ca="1">AVERAGE(OFFSET($R$3,0,0,'Données projet'!$E$9+1,1))-AVERAGE(OFFSET($H$3,0,0,'Données projet'!$E$9+1,1))</f>
        <v>446.90706503298787</v>
      </c>
      <c r="T118" s="62">
        <f t="shared" si="88"/>
        <v>275.54513370838777</v>
      </c>
      <c r="U118" s="16">
        <f>IF(ISNA(VLOOKUP(A118,'Données projet'!$A$35:$I$55,3,0)),0,VLOOKUP(A118,'Données projet'!$A$35:$I$55,3,0))</f>
        <v>19</v>
      </c>
      <c r="V118" s="16">
        <f>IF(ISNA(VLOOKUP(A118,'Données projet'!$A$35:$I$55,4,0)),0,VLOOKUP(A118,'Données projet'!$A$35:$I$55,4,0))</f>
        <v>18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0.28653569195818923</v>
      </c>
      <c r="AB118" s="23">
        <f>EXP(-LN(2)/2)*AB117+(1-EXP(-LN(2)/2))/(LN(2)/2)*V118*Y118*VLOOKUP('Données projet'!$B$9,Paramètres!$A$1:$I$89,3,0)*0.475*44/12</f>
        <v>2.2611780823601287E-12</v>
      </c>
      <c r="AC118" s="24">
        <f t="shared" si="57"/>
        <v>0.28653569196045042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284</v>
      </c>
      <c r="AG118" s="13">
        <f>VLOOKUP(A118,'Données projet'!$A$61:$I$81,9,0)</f>
        <v>3.8</v>
      </c>
      <c r="AH118" s="13">
        <f t="array" ref="AH118">INDEX(AG:AG,MIN(IF(ISNUMBER(AG118:AG314),ROW(AG118:AG314),"")))</f>
        <v>3.8</v>
      </c>
      <c r="AI118" s="14">
        <f>IF('Données projet'!$A$62&gt;35,AI117+AH118-AQ117,IF(A118&lt;'Données projet'!$A$62,$AF$205^A118,IF(A118='Données projet'!$A$62,'Données projet'!$B$62,AI117+AH118-AQ117)))</f>
        <v>284</v>
      </c>
      <c r="AJ118" s="14">
        <f>AI118*VLOOKUP('Données projet'!$B$10,Paramètres!$A$1:$I$89,3,0)*VLOOKUP('Données projet'!$B$10,Paramètres!$A$1:$I$89,5,0)</f>
        <v>190.50720000000001</v>
      </c>
      <c r="AK118" s="14">
        <f t="shared" si="89"/>
        <v>47.652070165548515</v>
      </c>
      <c r="AL118" s="22">
        <f t="shared" si="58"/>
        <v>414.79406220499692</v>
      </c>
      <c r="AM118" s="62">
        <f t="shared" si="59"/>
        <v>695.87576774809418</v>
      </c>
      <c r="AN118" s="62">
        <f ca="1">AVERAGE(OFFSET($AM$3,0,0,'Données projet'!$E$10+1,1))-AVERAGE(OFFSET($H$3,0,0,'Données projet'!$E$10+1,1))</f>
        <v>312.88185844251097</v>
      </c>
      <c r="AO118" s="62">
        <f t="shared" si="90"/>
        <v>202.68317767036231</v>
      </c>
      <c r="AP118" s="16">
        <f>IF(ISNA(VLOOKUP(A118,'Données projet'!$A$61:$I$81,3,0)),0,VLOOKUP(A118,'Données projet'!$A$61:$I$81,3,0))</f>
        <v>19</v>
      </c>
      <c r="AQ118" s="16">
        <f>IF(ISNA(VLOOKUP(A118,'Données projet'!$A$61:$I$81,4,0)),0,VLOOKUP(A118,'Données projet'!$A$61:$I$81,4,0))</f>
        <v>18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0.23363679498129256</v>
      </c>
      <c r="AW118" s="23">
        <f>EXP(-LN(2)/2)*AW117+(1-EXP(-LN(2)/2))/(LN(2)/2)*AQ118*AT118*VLOOKUP('Données projet'!$B$10,Paramètres!$A$1:$I$89,3,0)*0.475*44/12</f>
        <v>1.6397651286587762E-12</v>
      </c>
      <c r="AX118" s="23">
        <f t="shared" si="60"/>
        <v>0.23363679498293233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-1.1368683772161603E-13</v>
      </c>
      <c r="BE118" s="14">
        <f>BD118*VLOOKUP('Données projet'!$B$11,Paramètres!$A$1:$I$89,3,0)*VLOOKUP('Données projet'!$B$11,Paramètres!$A$1:$I$89,5,0)</f>
        <v>-9.9316821433603781E-14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287.22548699835653</v>
      </c>
      <c r="BJ118" s="62">
        <f t="shared" si="92"/>
        <v>276.01618888357268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0.67057834248106396</v>
      </c>
      <c r="BR118" s="23">
        <f>EXP(-LN(2)/2)*BR117+(1-EXP(-LN(2)/2))/(LN(2)/2)*BL118*BO118*VLOOKUP('Données projet'!$B$11,Paramètres!$A$1:$I$89,3,0)*0.475*44/12</f>
        <v>2.1011386790198131E-12</v>
      </c>
      <c r="BS118" s="24">
        <f t="shared" si="63"/>
        <v>0.67057834248316506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3.6</v>
      </c>
      <c r="N119" s="14">
        <f>IF('Données projet'!$A$36&gt;35,N118+M119-V118,IF(A119&lt;'Données projet'!$A$36,$K$205^A119,IF(A119='Données projet'!$A$36,'Données projet'!$B$36,N118+M119-V118)))</f>
        <v>269.60000000000002</v>
      </c>
      <c r="O119" s="14">
        <f>N119*VLOOKUP('Données projet'!$B$9,Paramètres!$A$1:$I$89,3,0)*VLOOKUP('Données projet'!$B$9,Paramètres!$A$1:$I$89,5,0)</f>
        <v>273.37440000000004</v>
      </c>
      <c r="P119" s="14">
        <f t="shared" si="87"/>
        <v>65.564883644654444</v>
      </c>
      <c r="Q119" s="22">
        <f t="shared" si="107"/>
        <v>590.31925234777316</v>
      </c>
      <c r="R119" s="62">
        <f t="shared" si="55"/>
        <v>871.61349624249465</v>
      </c>
      <c r="S119" s="62">
        <f ca="1">AVERAGE(OFFSET($R$3,0,0,'Données projet'!$E$9+1,1))-AVERAGE(OFFSET($H$3,0,0,'Données projet'!$E$9+1,1))</f>
        <v>446.90706503298787</v>
      </c>
      <c r="T119" s="62">
        <f t="shared" si="88"/>
        <v>275.54513370838777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0.2787003583933354</v>
      </c>
      <c r="AB119" s="23">
        <f>EXP(-LN(2)/2)*AB118+(1-EXP(-LN(2)/2))/(LN(2)/2)*V119*Y119*VLOOKUP('Données projet'!$B$9,Paramètres!$A$1:$I$89,3,0)*0.475*44/12</f>
        <v>1.5988943555072406E-12</v>
      </c>
      <c r="AC119" s="24">
        <f t="shared" si="57"/>
        <v>0.27870035839493429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3.6</v>
      </c>
      <c r="AI119" s="14">
        <f>IF('Données projet'!$A$62&gt;35,AI118+AH119-AQ118,IF(A119&lt;'Données projet'!$A$62,$AF$205^A119,IF(A119='Données projet'!$A$62,'Données projet'!$B$62,AI118+AH119-AQ118)))</f>
        <v>269.60000000000002</v>
      </c>
      <c r="AJ119" s="14">
        <f>AI119*VLOOKUP('Données projet'!$B$10,Paramètres!$A$1:$I$89,3,0)*VLOOKUP('Données projet'!$B$10,Paramètres!$A$1:$I$89,5,0)</f>
        <v>180.84768000000003</v>
      </c>
      <c r="AK119" s="14">
        <f t="shared" si="89"/>
        <v>45.510727749125834</v>
      </c>
      <c r="AL119" s="22">
        <f t="shared" si="58"/>
        <v>394.24089349639416</v>
      </c>
      <c r="AM119" s="62">
        <f t="shared" si="59"/>
        <v>675.53513739111565</v>
      </c>
      <c r="AN119" s="62">
        <f ca="1">AVERAGE(OFFSET($AM$3,0,0,'Données projet'!$E$10+1,1))-AVERAGE(OFFSET($H$3,0,0,'Données projet'!$E$10+1,1))</f>
        <v>312.88185844251097</v>
      </c>
      <c r="AO119" s="62">
        <f t="shared" si="90"/>
        <v>202.68317767036231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0.22724798453610404</v>
      </c>
      <c r="AW119" s="23">
        <f>EXP(-LN(2)/2)*AW118+(1-EXP(-LN(2)/2))/(LN(2)/2)*AQ119*AT119*VLOOKUP('Données projet'!$B$10,Paramètres!$A$1:$I$89,3,0)*0.475*44/12</f>
        <v>1.1594890420278522E-12</v>
      </c>
      <c r="AX119" s="23">
        <f t="shared" si="60"/>
        <v>0.22724798453726353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-1.1368683772161603E-13</v>
      </c>
      <c r="BE119" s="14">
        <f>BD119*VLOOKUP('Données projet'!$B$11,Paramètres!$A$1:$I$89,3,0)*VLOOKUP('Données projet'!$B$11,Paramètres!$A$1:$I$89,5,0)</f>
        <v>-9.9316821433603781E-14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287.22548699835653</v>
      </c>
      <c r="BJ119" s="62">
        <f t="shared" si="92"/>
        <v>276.01618888357268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0.65224134244173682</v>
      </c>
      <c r="BR119" s="23">
        <f>EXP(-LN(2)/2)*BR118+(1-EXP(-LN(2)/2))/(LN(2)/2)*BL119*BO119*VLOOKUP('Données projet'!$B$11,Paramètres!$A$1:$I$89,3,0)*0.475*44/12</f>
        <v>1.4857294081482545E-12</v>
      </c>
      <c r="BS119" s="24">
        <f t="shared" si="63"/>
        <v>0.65224134244322252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3.6</v>
      </c>
      <c r="N120" s="14">
        <f>IF('Données projet'!$A$36&gt;35,N119+M120-V119,IF(A120&lt;'Données projet'!$A$36,$K$205^A120,IF(A120='Données projet'!$A$36,'Données projet'!$B$36,N119+M120-V119)))</f>
        <v>273.20000000000005</v>
      </c>
      <c r="O120" s="14">
        <f>N120*VLOOKUP('Données projet'!$B$9,Paramètres!$A$1:$I$89,3,0)*VLOOKUP('Données projet'!$B$9,Paramètres!$A$1:$I$89,5,0)</f>
        <v>277.02480000000008</v>
      </c>
      <c r="P120" s="14">
        <f t="shared" si="87"/>
        <v>66.337873221533528</v>
      </c>
      <c r="Q120" s="22">
        <f t="shared" si="107"/>
        <v>598.02332252750432</v>
      </c>
      <c r="R120" s="62">
        <f t="shared" si="55"/>
        <v>879.52641770861396</v>
      </c>
      <c r="S120" s="62">
        <f ca="1">AVERAGE(OFFSET($R$3,0,0,'Données projet'!$E$9+1,1))-AVERAGE(OFFSET($H$3,0,0,'Données projet'!$E$9+1,1))</f>
        <v>446.90706503298787</v>
      </c>
      <c r="T120" s="62">
        <f t="shared" si="88"/>
        <v>275.54513370838777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0.27107928243685475</v>
      </c>
      <c r="AB120" s="23">
        <f>EXP(-LN(2)/2)*AB119+(1-EXP(-LN(2)/2))/(LN(2)/2)*V120*Y120*VLOOKUP('Données projet'!$B$9,Paramètres!$A$1:$I$89,3,0)*0.475*44/12</f>
        <v>1.1305890411800643E-12</v>
      </c>
      <c r="AC120" s="24">
        <f t="shared" si="57"/>
        <v>0.27107928243798535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3.6</v>
      </c>
      <c r="AI120" s="14">
        <f>IF('Données projet'!$A$62&gt;35,AI119+AH120-AQ119,IF(A120&lt;'Données projet'!$A$62,$AF$205^A120,IF(A120='Données projet'!$A$62,'Données projet'!$B$62,AI119+AH120-AQ119)))</f>
        <v>273.20000000000005</v>
      </c>
      <c r="AJ120" s="14">
        <f>AI120*VLOOKUP('Données projet'!$B$10,Paramètres!$A$1:$I$89,3,0)*VLOOKUP('Données projet'!$B$10,Paramètres!$A$1:$I$89,5,0)</f>
        <v>183.26256000000004</v>
      </c>
      <c r="AK120" s="14">
        <f t="shared" si="89"/>
        <v>46.047285068085202</v>
      </c>
      <c r="AL120" s="22">
        <f t="shared" si="58"/>
        <v>399.38131349358173</v>
      </c>
      <c r="AM120" s="62">
        <f t="shared" si="59"/>
        <v>680.88440867469137</v>
      </c>
      <c r="AN120" s="62">
        <f ca="1">AVERAGE(OFFSET($AM$3,0,0,'Données projet'!$E$10+1,1))-AVERAGE(OFFSET($H$3,0,0,'Données projet'!$E$10+1,1))</f>
        <v>312.88185844251097</v>
      </c>
      <c r="AO120" s="62">
        <f t="shared" si="90"/>
        <v>202.68317767036231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0.22103387644851213</v>
      </c>
      <c r="AW120" s="23">
        <f>EXP(-LN(2)/2)*AW119+(1-EXP(-LN(2)/2))/(LN(2)/2)*AQ120*AT120*VLOOKUP('Données projet'!$B$10,Paramètres!$A$1:$I$89,3,0)*0.475*44/12</f>
        <v>8.1988256432938808E-13</v>
      </c>
      <c r="AX120" s="23">
        <f t="shared" si="60"/>
        <v>0.22103387644933201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-1.1368683772161603E-13</v>
      </c>
      <c r="BE120" s="14">
        <f>BD120*VLOOKUP('Données projet'!$B$11,Paramètres!$A$1:$I$89,3,0)*VLOOKUP('Données projet'!$B$11,Paramètres!$A$1:$I$89,5,0)</f>
        <v>-9.9316821433603781E-14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287.22548699835653</v>
      </c>
      <c r="BJ120" s="62">
        <f t="shared" si="92"/>
        <v>276.01618888357268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0.63440576863278608</v>
      </c>
      <c r="BR120" s="23">
        <f>EXP(-LN(2)/2)*BR119+(1-EXP(-LN(2)/2))/(LN(2)/2)*BL120*BO120*VLOOKUP('Données projet'!$B$11,Paramètres!$A$1:$I$89,3,0)*0.475*44/12</f>
        <v>1.0505693395099066E-12</v>
      </c>
      <c r="BS120" s="24">
        <f t="shared" si="63"/>
        <v>0.63440576863383669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3.6</v>
      </c>
      <c r="N121" s="14">
        <f>IF('Données projet'!$A$36&gt;35,N120+M121-V120,IF(A121&lt;'Données projet'!$A$36,$K$205^A121,IF(A121='Données projet'!$A$36,'Données projet'!$B$36,N120+M121-V120)))</f>
        <v>276.80000000000007</v>
      </c>
      <c r="O121" s="14">
        <f>N121*VLOOKUP('Données projet'!$B$9,Paramètres!$A$1:$I$89,3,0)*VLOOKUP('Données projet'!$B$9,Paramètres!$A$1:$I$89,5,0)</f>
        <v>280.67520000000007</v>
      </c>
      <c r="P121" s="14">
        <f t="shared" si="87"/>
        <v>67.109678043026491</v>
      </c>
      <c r="Q121" s="22">
        <f t="shared" si="107"/>
        <v>605.72532925827124</v>
      </c>
      <c r="R121" s="62">
        <f t="shared" si="55"/>
        <v>887.4336526228717</v>
      </c>
      <c r="S121" s="62">
        <f ca="1">AVERAGE(OFFSET($R$3,0,0,'Données projet'!$E$9+1,1))-AVERAGE(OFFSET($H$3,0,0,'Données projet'!$E$9+1,1))</f>
        <v>446.90706503298787</v>
      </c>
      <c r="T121" s="62">
        <f t="shared" si="88"/>
        <v>275.54513370838777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0.26366660520317903</v>
      </c>
      <c r="AB121" s="23">
        <f>EXP(-LN(2)/2)*AB120+(1-EXP(-LN(2)/2))/(LN(2)/2)*V121*Y121*VLOOKUP('Données projet'!$B$9,Paramètres!$A$1:$I$89,3,0)*0.475*44/12</f>
        <v>7.9944717775362032E-13</v>
      </c>
      <c r="AC121" s="24">
        <f t="shared" si="57"/>
        <v>0.2636666052039785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3.6</v>
      </c>
      <c r="AI121" s="14">
        <f>IF('Données projet'!$A$62&gt;35,AI120+AH121-AQ120,IF(A121&lt;'Données projet'!$A$62,$AF$205^A121,IF(A121='Données projet'!$A$62,'Données projet'!$B$62,AI120+AH121-AQ120)))</f>
        <v>276.80000000000007</v>
      </c>
      <c r="AJ121" s="14">
        <f>AI121*VLOOKUP('Données projet'!$B$10,Paramètres!$A$1:$I$89,3,0)*VLOOKUP('Données projet'!$B$10,Paramètres!$A$1:$I$89,5,0)</f>
        <v>185.67744000000005</v>
      </c>
      <c r="AK121" s="14">
        <f t="shared" si="89"/>
        <v>46.583020009624946</v>
      </c>
      <c r="AL121" s="22">
        <f t="shared" si="58"/>
        <v>404.52030118343015</v>
      </c>
      <c r="AM121" s="62">
        <f t="shared" si="59"/>
        <v>686.22862454803055</v>
      </c>
      <c r="AN121" s="62">
        <f ca="1">AVERAGE(OFFSET($AM$3,0,0,'Données projet'!$E$10+1,1))-AVERAGE(OFFSET($H$3,0,0,'Données projet'!$E$10+1,1))</f>
        <v>312.88185844251097</v>
      </c>
      <c r="AO121" s="62">
        <f t="shared" si="90"/>
        <v>202.68317767036231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0.21498969347336119</v>
      </c>
      <c r="AW121" s="23">
        <f>EXP(-LN(2)/2)*AW120+(1-EXP(-LN(2)/2))/(LN(2)/2)*AQ121*AT121*VLOOKUP('Données projet'!$B$10,Paramètres!$A$1:$I$89,3,0)*0.475*44/12</f>
        <v>5.7974452101392608E-13</v>
      </c>
      <c r="AX121" s="23">
        <f t="shared" si="60"/>
        <v>0.21498969347394092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-1.1368683772161603E-13</v>
      </c>
      <c r="BE121" s="14">
        <f>BD121*VLOOKUP('Données projet'!$B$11,Paramètres!$A$1:$I$89,3,0)*VLOOKUP('Données projet'!$B$11,Paramètres!$A$1:$I$89,5,0)</f>
        <v>-9.9316821433603781E-14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287.22548699835653</v>
      </c>
      <c r="BJ121" s="62">
        <f t="shared" si="92"/>
        <v>276.01618888357268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0.61705790952757311</v>
      </c>
      <c r="BR121" s="23">
        <f>EXP(-LN(2)/2)*BR120+(1-EXP(-LN(2)/2))/(LN(2)/2)*BL121*BO121*VLOOKUP('Données projet'!$B$11,Paramètres!$A$1:$I$89,3,0)*0.475*44/12</f>
        <v>7.4286470407412727E-13</v>
      </c>
      <c r="BS121" s="24">
        <f t="shared" si="63"/>
        <v>0.61705790952831596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3.6</v>
      </c>
      <c r="N122" s="14">
        <f>IF('Données projet'!$A$36&gt;35,N121+M122-V121,IF(A122&lt;'Données projet'!$A$36,$K$205^A122,IF(A122='Données projet'!$A$36,'Données projet'!$B$36,N121+M122-V121)))</f>
        <v>280.40000000000009</v>
      </c>
      <c r="O122" s="14">
        <f>N122*VLOOKUP('Données projet'!$B$9,Paramètres!$A$1:$I$89,3,0)*VLOOKUP('Données projet'!$B$9,Paramètres!$A$1:$I$89,5,0)</f>
        <v>284.32560000000012</v>
      </c>
      <c r="P122" s="14">
        <f t="shared" si="87"/>
        <v>67.880315299331201</v>
      </c>
      <c r="Q122" s="22">
        <f t="shared" si="107"/>
        <v>613.42530247966863</v>
      </c>
      <c r="R122" s="62">
        <f t="shared" si="55"/>
        <v>895.33529377759783</v>
      </c>
      <c r="S122" s="62">
        <f ca="1">AVERAGE(OFFSET($R$3,0,0,'Données projet'!$E$9+1,1))-AVERAGE(OFFSET($H$3,0,0,'Données projet'!$E$9+1,1))</f>
        <v>446.90706503298787</v>
      </c>
      <c r="T122" s="62">
        <f t="shared" si="88"/>
        <v>275.54513370838777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0.25645662801827396</v>
      </c>
      <c r="AB122" s="23">
        <f>EXP(-LN(2)/2)*AB121+(1-EXP(-LN(2)/2))/(LN(2)/2)*V122*Y122*VLOOKUP('Données projet'!$B$9,Paramètres!$A$1:$I$89,3,0)*0.475*44/12</f>
        <v>5.6529452059003216E-13</v>
      </c>
      <c r="AC122" s="24">
        <f t="shared" si="57"/>
        <v>0.25645662801883923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3.6</v>
      </c>
      <c r="AI122" s="14">
        <f>IF('Données projet'!$A$62&gt;35,AI121+AH122-AQ121,IF(A122&lt;'Données projet'!$A$62,$AF$205^A122,IF(A122='Données projet'!$A$62,'Données projet'!$B$62,AI121+AH122-AQ121)))</f>
        <v>280.40000000000009</v>
      </c>
      <c r="AJ122" s="14">
        <f>AI122*VLOOKUP('Données projet'!$B$10,Paramètres!$A$1:$I$89,3,0)*VLOOKUP('Données projet'!$B$10,Paramètres!$A$1:$I$89,5,0)</f>
        <v>188.09232000000006</v>
      </c>
      <c r="AK122" s="14">
        <f t="shared" si="89"/>
        <v>47.117944506023008</v>
      </c>
      <c r="AL122" s="22">
        <f t="shared" si="58"/>
        <v>409.65787734799011</v>
      </c>
      <c r="AM122" s="62">
        <f t="shared" si="59"/>
        <v>691.56786864591925</v>
      </c>
      <c r="AN122" s="62">
        <f ca="1">AVERAGE(OFFSET($AM$3,0,0,'Données projet'!$E$10+1,1))-AVERAGE(OFFSET($H$3,0,0,'Données projet'!$E$10+1,1))</f>
        <v>312.88185844251097</v>
      </c>
      <c r="AO122" s="62">
        <f t="shared" si="90"/>
        <v>202.68317767036231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0.20911078899951552</v>
      </c>
      <c r="AW122" s="23">
        <f>EXP(-LN(2)/2)*AW121+(1-EXP(-LN(2)/2))/(LN(2)/2)*AQ122*AT122*VLOOKUP('Données projet'!$B$10,Paramètres!$A$1:$I$89,3,0)*0.475*44/12</f>
        <v>4.0994128216469404E-13</v>
      </c>
      <c r="AX122" s="23">
        <f t="shared" si="60"/>
        <v>0.20911078899992547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-1.1368683772161603E-13</v>
      </c>
      <c r="BE122" s="14">
        <f>BD122*VLOOKUP('Données projet'!$B$11,Paramètres!$A$1:$I$89,3,0)*VLOOKUP('Données projet'!$B$11,Paramètres!$A$1:$I$89,5,0)</f>
        <v>-9.9316821433603781E-14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287.22548699835653</v>
      </c>
      <c r="BJ122" s="62">
        <f t="shared" si="92"/>
        <v>276.01618888357268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0.60018442854187648</v>
      </c>
      <c r="BR122" s="23">
        <f>EXP(-LN(2)/2)*BR121+(1-EXP(-LN(2)/2))/(LN(2)/2)*BL122*BO122*VLOOKUP('Données projet'!$B$11,Paramètres!$A$1:$I$89,3,0)*0.475*44/12</f>
        <v>5.2528466975495329E-13</v>
      </c>
      <c r="BS122" s="24">
        <f t="shared" si="63"/>
        <v>0.60018442854240173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284</v>
      </c>
      <c r="L123" s="13">
        <f>VLOOKUP(A123,'Données projet'!$A$35:$I$55,9,0)</f>
        <v>3.6</v>
      </c>
      <c r="M123" s="13">
        <f t="array" ref="M123">INDEX(L:L,MIN(IF(ISNUMBER(L123:L319),ROW(L123:L319),"")))</f>
        <v>3.6</v>
      </c>
      <c r="N123" s="14">
        <f>IF('Données projet'!$A$36&gt;35,N122+M123-V122,IF(A123&lt;'Données projet'!$A$36,$K$205^A123,IF(A123='Données projet'!$A$36,'Données projet'!$B$36,N122+M123-V122)))</f>
        <v>284.00000000000011</v>
      </c>
      <c r="O123" s="14">
        <f>N123*VLOOKUP('Données projet'!$B$9,Paramètres!$A$1:$I$89,3,0)*VLOOKUP('Données projet'!$B$9,Paramètres!$A$1:$I$89,5,0)</f>
        <v>287.97600000000011</v>
      </c>
      <c r="P123" s="14">
        <f t="shared" si="87"/>
        <v>68.649801713863141</v>
      </c>
      <c r="Q123" s="22">
        <f t="shared" si="107"/>
        <v>621.12327131831182</v>
      </c>
      <c r="R123" s="62">
        <f t="shared" si="55"/>
        <v>903.23143206178838</v>
      </c>
      <c r="S123" s="62">
        <f ca="1">AVERAGE(OFFSET($R$3,0,0,'Données projet'!$E$9+1,1))-AVERAGE(OFFSET($H$3,0,0,'Données projet'!$E$9+1,1))</f>
        <v>446.90706503298787</v>
      </c>
      <c r="T123" s="62">
        <f t="shared" si="88"/>
        <v>275.54513370838777</v>
      </c>
      <c r="U123" s="16">
        <f>IF(ISNA(VLOOKUP(A123,'Données projet'!$A$35:$I$55,3,0)),0,VLOOKUP(A123,'Données projet'!$A$35:$I$55,3,0))</f>
        <v>20</v>
      </c>
      <c r="V123" s="16">
        <f>IF(ISNA(VLOOKUP(A123,'Données projet'!$A$35:$I$55,4,0)),0,VLOOKUP(A123,'Données projet'!$A$35:$I$55,4,0))</f>
        <v>284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0.24944380803864633</v>
      </c>
      <c r="AB123" s="23">
        <f>EXP(-LN(2)/2)*AB122+(1-EXP(-LN(2)/2))/(LN(2)/2)*V123*Y123*VLOOKUP('Données projet'!$B$9,Paramètres!$A$1:$I$89,3,0)*0.475*44/12</f>
        <v>3.9972358887681016E-13</v>
      </c>
      <c r="AC123" s="24">
        <f t="shared" si="57"/>
        <v>0.24944380803904606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284</v>
      </c>
      <c r="AG123" s="13">
        <f>VLOOKUP(A123,'Données projet'!$A$61:$I$81,9,0)</f>
        <v>3.6</v>
      </c>
      <c r="AH123" s="13">
        <f t="array" ref="AH123">INDEX(AG:AG,MIN(IF(ISNUMBER(AG123:AG319),ROW(AG123:AG319),"")))</f>
        <v>3.6</v>
      </c>
      <c r="AI123" s="14">
        <f>IF('Données projet'!$A$62&gt;35,AI122+AH123-AQ122,IF(A123&lt;'Données projet'!$A$62,$AF$205^A123,IF(A123='Données projet'!$A$62,'Données projet'!$B$62,AI122+AH123-AQ122)))</f>
        <v>284.00000000000011</v>
      </c>
      <c r="AJ123" s="14">
        <f>AI123*VLOOKUP('Données projet'!$B$10,Paramètres!$A$1:$I$89,3,0)*VLOOKUP('Données projet'!$B$10,Paramètres!$A$1:$I$89,5,0)</f>
        <v>190.50720000000007</v>
      </c>
      <c r="AK123" s="14">
        <f t="shared" si="89"/>
        <v>47.652070165548558</v>
      </c>
      <c r="AL123" s="22">
        <f t="shared" si="58"/>
        <v>414.79406220499715</v>
      </c>
      <c r="AM123" s="62">
        <f t="shared" si="59"/>
        <v>696.90222294847376</v>
      </c>
      <c r="AN123" s="62">
        <f ca="1">AVERAGE(OFFSET($AM$3,0,0,'Données projet'!$E$10+1,1))-AVERAGE(OFFSET($H$3,0,0,'Données projet'!$E$10+1,1))</f>
        <v>312.88185844251097</v>
      </c>
      <c r="AO123" s="62">
        <f t="shared" si="90"/>
        <v>202.68317767036231</v>
      </c>
      <c r="AP123" s="16">
        <f>IF(ISNA(VLOOKUP(A123,'Données projet'!$A$61:$I$81,3,0)),0,VLOOKUP(A123,'Données projet'!$A$61:$I$81,3,0))</f>
        <v>20</v>
      </c>
      <c r="AQ123" s="16">
        <f>IF(ISNA(VLOOKUP(A123,'Données projet'!$A$61:$I$81,4,0)),0,VLOOKUP(A123,'Données projet'!$A$61:$I$81,4,0))</f>
        <v>284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0.20339264347766531</v>
      </c>
      <c r="AW123" s="23">
        <f>EXP(-LN(2)/2)*AW122+(1-EXP(-LN(2)/2))/(LN(2)/2)*AQ123*AT123*VLOOKUP('Données projet'!$B$10,Paramètres!$A$1:$I$89,3,0)*0.475*44/12</f>
        <v>2.8987226050696304E-13</v>
      </c>
      <c r="AX123" s="23">
        <f t="shared" si="60"/>
        <v>0.20339264347795519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-1.1368683772161603E-13</v>
      </c>
      <c r="BE123" s="14">
        <f>BD123*VLOOKUP('Données projet'!$B$11,Paramètres!$A$1:$I$89,3,0)*VLOOKUP('Données projet'!$B$11,Paramètres!$A$1:$I$89,5,0)</f>
        <v>-9.9316821433603781E-14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287.22548699835653</v>
      </c>
      <c r="BJ123" s="62">
        <f t="shared" si="92"/>
        <v>276.01618888357268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0.58377235378107151</v>
      </c>
      <c r="BR123" s="23">
        <f>EXP(-LN(2)/2)*BR122+(1-EXP(-LN(2)/2))/(LN(2)/2)*BL123*BO123*VLOOKUP('Données projet'!$B$11,Paramètres!$A$1:$I$89,3,0)*0.475*44/12</f>
        <v>3.7143235203706363E-13</v>
      </c>
      <c r="BS123" s="24">
        <f t="shared" si="63"/>
        <v>0.58377235378144299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1.1527845344971866E-13</v>
      </c>
      <c r="P124" s="14">
        <f t="shared" si="87"/>
        <v>1.7033846239409443E-12</v>
      </c>
      <c r="Q124" s="22">
        <f t="shared" si="107"/>
        <v>3.1675048597887374E-12</v>
      </c>
      <c r="R124" s="62">
        <f t="shared" si="55"/>
        <v>282.30289239218757</v>
      </c>
      <c r="S124" s="62">
        <f ca="1">AVERAGE(OFFSET($R$3,0,0,'Données projet'!$E$9+1,1))-AVERAGE(OFFSET($H$3,0,0,'Données projet'!$E$9+1,1))</f>
        <v>446.90706503298787</v>
      </c>
      <c r="T124" s="62">
        <f t="shared" si="88"/>
        <v>275.54513370838777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0.24262275399014979</v>
      </c>
      <c r="AB124" s="23">
        <f>EXP(-LN(2)/2)*AB123+(1-EXP(-LN(2)/2))/(LN(2)/2)*V124*Y124*VLOOKUP('Données projet'!$B$9,Paramètres!$A$1:$I$89,3,0)*0.475*44/12</f>
        <v>2.8264726029501608E-13</v>
      </c>
      <c r="AC124" s="24">
        <f t="shared" si="57"/>
        <v>0.24262275399043243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1.1368683772161603E-13</v>
      </c>
      <c r="AJ124" s="14">
        <f>AI124*VLOOKUP('Données projet'!$B$10,Paramètres!$A$1:$I$89,3,0)*VLOOKUP('Données projet'!$B$10,Paramètres!$A$1:$I$89,5,0)</f>
        <v>7.626113074366004E-14</v>
      </c>
      <c r="AK124" s="14">
        <f t="shared" si="89"/>
        <v>1.1823749172251317E-12</v>
      </c>
      <c r="AL124" s="22">
        <f t="shared" si="58"/>
        <v>2.1921244502123119E-12</v>
      </c>
      <c r="AM124" s="62">
        <f t="shared" si="59"/>
        <v>282.30289239218661</v>
      </c>
      <c r="AN124" s="62">
        <f ca="1">AVERAGE(OFFSET($AM$3,0,0,'Données projet'!$E$10+1,1))-AVERAGE(OFFSET($H$3,0,0,'Données projet'!$E$10+1,1))</f>
        <v>312.88185844251097</v>
      </c>
      <c r="AO124" s="62">
        <f t="shared" si="90"/>
        <v>202.68317767036231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0.19783086094581429</v>
      </c>
      <c r="AW124" s="23">
        <f>EXP(-LN(2)/2)*AW123+(1-EXP(-LN(2)/2))/(LN(2)/2)*AQ124*AT124*VLOOKUP('Données projet'!$B$10,Paramètres!$A$1:$I$89,3,0)*0.475*44/12</f>
        <v>2.0497064108234702E-13</v>
      </c>
      <c r="AX124" s="23">
        <f t="shared" si="60"/>
        <v>0.19783086094601926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-1.1368683772161603E-13</v>
      </c>
      <c r="BE124" s="14">
        <f>BD124*VLOOKUP('Données projet'!$B$11,Paramètres!$A$1:$I$89,3,0)*VLOOKUP('Données projet'!$B$11,Paramètres!$A$1:$I$89,5,0)</f>
        <v>-9.9316821433603781E-14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287.22548699835653</v>
      </c>
      <c r="BJ124" s="62">
        <f t="shared" si="92"/>
        <v>276.01618888357268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0.56780906806767428</v>
      </c>
      <c r="BR124" s="23">
        <f>EXP(-LN(2)/2)*BR123+(1-EXP(-LN(2)/2))/(LN(2)/2)*BL124*BO124*VLOOKUP('Données projet'!$B$11,Paramètres!$A$1:$I$89,3,0)*0.475*44/12</f>
        <v>2.6264233487747664E-13</v>
      </c>
      <c r="BS124" s="24">
        <f t="shared" si="63"/>
        <v>0.56780906806793696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1.1527845344971866E-13</v>
      </c>
      <c r="P125" s="14">
        <f t="shared" si="87"/>
        <v>1.7033846239409443E-12</v>
      </c>
      <c r="Q125" s="22">
        <f t="shared" si="107"/>
        <v>3.1675048597887374E-12</v>
      </c>
      <c r="R125" s="62">
        <f t="shared" si="55"/>
        <v>282.49424588214498</v>
      </c>
      <c r="S125" s="62">
        <f ca="1">AVERAGE(OFFSET($R$3,0,0,'Données projet'!$E$9+1,1))-AVERAGE(OFFSET($H$3,0,0,'Données projet'!$E$9+1,1))</f>
        <v>446.90706503298787</v>
      </c>
      <c r="T125" s="62">
        <f t="shared" si="88"/>
        <v>275.54513370838777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0.23598822202331304</v>
      </c>
      <c r="AB125" s="23">
        <f>EXP(-LN(2)/2)*AB124+(1-EXP(-LN(2)/2))/(LN(2)/2)*V125*Y125*VLOOKUP('Données projet'!$B$9,Paramètres!$A$1:$I$89,3,0)*0.475*44/12</f>
        <v>1.9986179443840508E-13</v>
      </c>
      <c r="AC125" s="24">
        <f t="shared" si="57"/>
        <v>0.23598822202351291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1.1368683772161603E-13</v>
      </c>
      <c r="AJ125" s="14">
        <f>AI125*VLOOKUP('Données projet'!$B$10,Paramètres!$A$1:$I$89,3,0)*VLOOKUP('Données projet'!$B$10,Paramètres!$A$1:$I$89,5,0)</f>
        <v>7.626113074366004E-14</v>
      </c>
      <c r="AK125" s="14">
        <f t="shared" si="89"/>
        <v>1.1823749172251317E-12</v>
      </c>
      <c r="AL125" s="22">
        <f t="shared" si="58"/>
        <v>2.1921244502123119E-12</v>
      </c>
      <c r="AM125" s="62">
        <f t="shared" si="59"/>
        <v>282.49424588214401</v>
      </c>
      <c r="AN125" s="62">
        <f ca="1">AVERAGE(OFFSET($AM$3,0,0,'Données projet'!$E$10+1,1))-AVERAGE(OFFSET($H$3,0,0,'Données projet'!$E$10+1,1))</f>
        <v>312.88185844251097</v>
      </c>
      <c r="AO125" s="62">
        <f t="shared" si="90"/>
        <v>202.68317767036231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0.19242116564977815</v>
      </c>
      <c r="AW125" s="23">
        <f>EXP(-LN(2)/2)*AW124+(1-EXP(-LN(2)/2))/(LN(2)/2)*AQ125*AT125*VLOOKUP('Données projet'!$B$10,Paramètres!$A$1:$I$89,3,0)*0.475*44/12</f>
        <v>1.4493613025348152E-13</v>
      </c>
      <c r="AX125" s="23">
        <f t="shared" si="60"/>
        <v>0.19242116564992309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-1.1368683772161603E-13</v>
      </c>
      <c r="BE125" s="14">
        <f>BD125*VLOOKUP('Données projet'!$B$11,Paramètres!$A$1:$I$89,3,0)*VLOOKUP('Données projet'!$B$11,Paramètres!$A$1:$I$89,5,0)</f>
        <v>-9.9316821433603781E-14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287.22548699835653</v>
      </c>
      <c r="BJ125" s="62">
        <f t="shared" si="92"/>
        <v>276.01618888357268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0.55228229924158256</v>
      </c>
      <c r="BR125" s="23">
        <f>EXP(-LN(2)/2)*BR124+(1-EXP(-LN(2)/2))/(LN(2)/2)*BL125*BO125*VLOOKUP('Données projet'!$B$11,Paramètres!$A$1:$I$89,3,0)*0.475*44/12</f>
        <v>1.8571617601853182E-13</v>
      </c>
      <c r="BS125" s="24">
        <f t="shared" si="63"/>
        <v>0.5522822992417683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1.1527845344971866E-13</v>
      </c>
      <c r="P126" s="14">
        <f t="shared" si="87"/>
        <v>1.7033846239409443E-12</v>
      </c>
      <c r="Q126" s="22">
        <f t="shared" si="107"/>
        <v>3.1675048597887374E-12</v>
      </c>
      <c r="R126" s="62">
        <f t="shared" si="55"/>
        <v>282.68227981685385</v>
      </c>
      <c r="S126" s="62">
        <f ca="1">AVERAGE(OFFSET($R$3,0,0,'Données projet'!$E$9+1,1))-AVERAGE(OFFSET($H$3,0,0,'Données projet'!$E$9+1,1))</f>
        <v>446.90706503298787</v>
      </c>
      <c r="T126" s="62">
        <f t="shared" si="88"/>
        <v>275.54513370838777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0.2295351116820043</v>
      </c>
      <c r="AB126" s="23">
        <f>EXP(-LN(2)/2)*AB125+(1-EXP(-LN(2)/2))/(LN(2)/2)*V126*Y126*VLOOKUP('Données projet'!$B$9,Paramètres!$A$1:$I$89,3,0)*0.475*44/12</f>
        <v>1.4132363014750804E-13</v>
      </c>
      <c r="AC126" s="24">
        <f t="shared" si="57"/>
        <v>0.22953511168214563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1.1368683772161603E-13</v>
      </c>
      <c r="AJ126" s="14">
        <f>AI126*VLOOKUP('Données projet'!$B$10,Paramètres!$A$1:$I$89,3,0)*VLOOKUP('Données projet'!$B$10,Paramètres!$A$1:$I$89,5,0)</f>
        <v>7.626113074366004E-14</v>
      </c>
      <c r="AK126" s="14">
        <f t="shared" si="89"/>
        <v>1.1823749172251317E-12</v>
      </c>
      <c r="AL126" s="22">
        <f t="shared" si="58"/>
        <v>2.1921244502123119E-12</v>
      </c>
      <c r="AM126" s="62">
        <f t="shared" si="59"/>
        <v>282.68227981685288</v>
      </c>
      <c r="AN126" s="62">
        <f ca="1">AVERAGE(OFFSET($AM$3,0,0,'Données projet'!$E$10+1,1))-AVERAGE(OFFSET($H$3,0,0,'Données projet'!$E$10+1,1))</f>
        <v>312.88185844251097</v>
      </c>
      <c r="AO126" s="62">
        <f t="shared" si="90"/>
        <v>202.68317767036231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0.18715939875609566</v>
      </c>
      <c r="AW126" s="23">
        <f>EXP(-LN(2)/2)*AW125+(1-EXP(-LN(2)/2))/(LN(2)/2)*AQ126*AT126*VLOOKUP('Données projet'!$B$10,Paramètres!$A$1:$I$89,3,0)*0.475*44/12</f>
        <v>1.0248532054117351E-13</v>
      </c>
      <c r="AX126" s="23">
        <f t="shared" si="60"/>
        <v>0.18715939875619814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-1.1368683772161603E-13</v>
      </c>
      <c r="BE126" s="14">
        <f>BD126*VLOOKUP('Données projet'!$B$11,Paramètres!$A$1:$I$89,3,0)*VLOOKUP('Données projet'!$B$11,Paramètres!$A$1:$I$89,5,0)</f>
        <v>-9.9316821433603781E-14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287.22548699835653</v>
      </c>
      <c r="BJ126" s="62">
        <f t="shared" si="92"/>
        <v>276.01618888357268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0.5371801107255576</v>
      </c>
      <c r="BR126" s="23">
        <f>EXP(-LN(2)/2)*BR125+(1-EXP(-LN(2)/2))/(LN(2)/2)*BL126*BO126*VLOOKUP('Données projet'!$B$11,Paramètres!$A$1:$I$89,3,0)*0.475*44/12</f>
        <v>1.3132116743873832E-13</v>
      </c>
      <c r="BS126" s="24">
        <f t="shared" si="63"/>
        <v>0.53718011072568894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1.1527845344971866E-13</v>
      </c>
      <c r="P127" s="14">
        <f t="shared" si="87"/>
        <v>1.7033846239409443E-12</v>
      </c>
      <c r="Q127" s="22">
        <f t="shared" si="107"/>
        <v>3.1675048597887374E-12</v>
      </c>
      <c r="R127" s="62">
        <f t="shared" si="55"/>
        <v>282.86705178317652</v>
      </c>
      <c r="S127" s="62">
        <f ca="1">AVERAGE(OFFSET($R$3,0,0,'Données projet'!$E$9+1,1))-AVERAGE(OFFSET($H$3,0,0,'Données projet'!$E$9+1,1))</f>
        <v>446.90706503298787</v>
      </c>
      <c r="T127" s="62">
        <f t="shared" si="88"/>
        <v>275.54513370838777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0.22325846198233298</v>
      </c>
      <c r="AB127" s="23">
        <f>EXP(-LN(2)/2)*AB126+(1-EXP(-LN(2)/2))/(LN(2)/2)*V127*Y127*VLOOKUP('Données projet'!$B$9,Paramètres!$A$1:$I$89,3,0)*0.475*44/12</f>
        <v>9.993089721920254E-14</v>
      </c>
      <c r="AC127" s="24">
        <f t="shared" si="57"/>
        <v>0.2232584619824329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1.1368683772161603E-13</v>
      </c>
      <c r="AJ127" s="14">
        <f>AI127*VLOOKUP('Données projet'!$B$10,Paramètres!$A$1:$I$89,3,0)*VLOOKUP('Données projet'!$B$10,Paramètres!$A$1:$I$89,5,0)</f>
        <v>7.626113074366004E-14</v>
      </c>
      <c r="AK127" s="14">
        <f t="shared" si="89"/>
        <v>1.1823749172251317E-12</v>
      </c>
      <c r="AL127" s="22">
        <f t="shared" si="58"/>
        <v>2.1921244502123119E-12</v>
      </c>
      <c r="AM127" s="62">
        <f t="shared" si="59"/>
        <v>282.86705178317555</v>
      </c>
      <c r="AN127" s="62">
        <f ca="1">AVERAGE(OFFSET($AM$3,0,0,'Données projet'!$E$10+1,1))-AVERAGE(OFFSET($H$3,0,0,'Données projet'!$E$10+1,1))</f>
        <v>312.88185844251097</v>
      </c>
      <c r="AO127" s="62">
        <f t="shared" si="90"/>
        <v>202.68317767036231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0.1820415151548252</v>
      </c>
      <c r="AW127" s="23">
        <f>EXP(-LN(2)/2)*AW126+(1-EXP(-LN(2)/2))/(LN(2)/2)*AQ127*AT127*VLOOKUP('Données projet'!$B$10,Paramètres!$A$1:$I$89,3,0)*0.475*44/12</f>
        <v>7.246806512674076E-14</v>
      </c>
      <c r="AX127" s="23">
        <f t="shared" si="60"/>
        <v>0.18204151515489767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-1.1368683772161603E-13</v>
      </c>
      <c r="BE127" s="14">
        <f>BD127*VLOOKUP('Données projet'!$B$11,Paramètres!$A$1:$I$89,3,0)*VLOOKUP('Données projet'!$B$11,Paramètres!$A$1:$I$89,5,0)</f>
        <v>-9.9316821433603781E-14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287.22548699835653</v>
      </c>
      <c r="BJ127" s="62">
        <f t="shared" si="92"/>
        <v>276.01618888357268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0.52249089234869295</v>
      </c>
      <c r="BR127" s="23">
        <f>EXP(-LN(2)/2)*BR126+(1-EXP(-LN(2)/2))/(LN(2)/2)*BL127*BO127*VLOOKUP('Données projet'!$B$11,Paramètres!$A$1:$I$89,3,0)*0.475*44/12</f>
        <v>9.2858088009265908E-14</v>
      </c>
      <c r="BS127" s="24">
        <f t="shared" si="63"/>
        <v>0.52249089234878576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1.1527845344971866E-13</v>
      </c>
      <c r="P128" s="14">
        <f t="shared" si="87"/>
        <v>1.7033846239409443E-12</v>
      </c>
      <c r="Q128" s="22">
        <f t="shared" si="107"/>
        <v>3.1675048597887374E-12</v>
      </c>
      <c r="R128" s="62">
        <f t="shared" si="55"/>
        <v>283.04861836897169</v>
      </c>
      <c r="S128" s="62">
        <f ca="1">AVERAGE(OFFSET($R$3,0,0,'Données projet'!$E$9+1,1))-AVERAGE(OFFSET($H$3,0,0,'Données projet'!$E$9+1,1))</f>
        <v>446.90706503298787</v>
      </c>
      <c r="T128" s="62">
        <f t="shared" si="88"/>
        <v>275.54513370838777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0.21715344759877384</v>
      </c>
      <c r="AB128" s="23">
        <f>EXP(-LN(2)/2)*AB127+(1-EXP(-LN(2)/2))/(LN(2)/2)*V128*Y128*VLOOKUP('Données projet'!$B$9,Paramètres!$A$1:$I$89,3,0)*0.475*44/12</f>
        <v>7.066181507375402E-14</v>
      </c>
      <c r="AC128" s="24">
        <f t="shared" si="57"/>
        <v>0.2171534475988445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1.1368683772161603E-13</v>
      </c>
      <c r="AJ128" s="14">
        <f>AI128*VLOOKUP('Données projet'!$B$10,Paramètres!$A$1:$I$89,3,0)*VLOOKUP('Données projet'!$B$10,Paramètres!$A$1:$I$89,5,0)</f>
        <v>7.626113074366004E-14</v>
      </c>
      <c r="AK128" s="14">
        <f t="shared" si="89"/>
        <v>1.1823749172251317E-12</v>
      </c>
      <c r="AL128" s="22">
        <f t="shared" si="58"/>
        <v>2.1921244502123119E-12</v>
      </c>
      <c r="AM128" s="62">
        <f t="shared" si="59"/>
        <v>283.04861836897072</v>
      </c>
      <c r="AN128" s="62">
        <f ca="1">AVERAGE(OFFSET($AM$3,0,0,'Données projet'!$E$10+1,1))-AVERAGE(OFFSET($H$3,0,0,'Données projet'!$E$10+1,1))</f>
        <v>312.88185844251097</v>
      </c>
      <c r="AO128" s="62">
        <f t="shared" si="90"/>
        <v>202.68317767036231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0.17706358034976927</v>
      </c>
      <c r="AW128" s="23">
        <f>EXP(-LN(2)/2)*AW127+(1-EXP(-LN(2)/2))/(LN(2)/2)*AQ128*AT128*VLOOKUP('Données projet'!$B$10,Paramètres!$A$1:$I$89,3,0)*0.475*44/12</f>
        <v>5.1242660270586755E-14</v>
      </c>
      <c r="AX128" s="23">
        <f t="shared" si="60"/>
        <v>0.1770635803498205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-1.1368683772161603E-13</v>
      </c>
      <c r="BE128" s="14">
        <f>BD128*VLOOKUP('Données projet'!$B$11,Paramètres!$A$1:$I$89,3,0)*VLOOKUP('Données projet'!$B$11,Paramètres!$A$1:$I$89,5,0)</f>
        <v>-9.9316821433603781E-14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287.22548699835653</v>
      </c>
      <c r="BJ128" s="62">
        <f t="shared" si="92"/>
        <v>276.01618888357268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0.50820335142081607</v>
      </c>
      <c r="BR128" s="23">
        <f>EXP(-LN(2)/2)*BR127+(1-EXP(-LN(2)/2))/(LN(2)/2)*BL128*BO128*VLOOKUP('Données projet'!$B$11,Paramètres!$A$1:$I$89,3,0)*0.475*44/12</f>
        <v>6.5660583719369161E-14</v>
      </c>
      <c r="BS128" s="24">
        <f t="shared" si="63"/>
        <v>0.50820335142088169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1.1527845344971866E-13</v>
      </c>
      <c r="P129" s="14">
        <f t="shared" si="87"/>
        <v>1.7033846239409443E-12</v>
      </c>
      <c r="Q129" s="22">
        <f t="shared" si="107"/>
        <v>3.1675048597887374E-12</v>
      </c>
      <c r="R129" s="62">
        <f t="shared" si="55"/>
        <v>283.22703518042539</v>
      </c>
      <c r="S129" s="62">
        <f ca="1">AVERAGE(OFFSET($R$3,0,0,'Données projet'!$E$9+1,1))-AVERAGE(OFFSET($H$3,0,0,'Données projet'!$E$9+1,1))</f>
        <v>446.90706503298787</v>
      </c>
      <c r="T129" s="62">
        <f t="shared" si="88"/>
        <v>275.54513370838777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0.21121537515458186</v>
      </c>
      <c r="AB129" s="23">
        <f>EXP(-LN(2)/2)*AB128+(1-EXP(-LN(2)/2))/(LN(2)/2)*V129*Y129*VLOOKUP('Données projet'!$B$9,Paramètres!$A$1:$I$89,3,0)*0.475*44/12</f>
        <v>4.996544860960127E-14</v>
      </c>
      <c r="AC129" s="24">
        <f t="shared" si="57"/>
        <v>0.21121537515463182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1.1368683772161603E-13</v>
      </c>
      <c r="AJ129" s="14">
        <f>AI129*VLOOKUP('Données projet'!$B$10,Paramètres!$A$1:$I$89,3,0)*VLOOKUP('Données projet'!$B$10,Paramètres!$A$1:$I$89,5,0)</f>
        <v>7.626113074366004E-14</v>
      </c>
      <c r="AK129" s="14">
        <f t="shared" si="89"/>
        <v>1.1823749172251317E-12</v>
      </c>
      <c r="AL129" s="22">
        <f t="shared" si="58"/>
        <v>2.1921244502123119E-12</v>
      </c>
      <c r="AM129" s="62">
        <f t="shared" si="59"/>
        <v>283.22703518042442</v>
      </c>
      <c r="AN129" s="62">
        <f ca="1">AVERAGE(OFFSET($AM$3,0,0,'Données projet'!$E$10+1,1))-AVERAGE(OFFSET($H$3,0,0,'Données projet'!$E$10+1,1))</f>
        <v>312.88185844251097</v>
      </c>
      <c r="AO129" s="62">
        <f t="shared" si="90"/>
        <v>202.68317767036231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0.17222176743373582</v>
      </c>
      <c r="AW129" s="23">
        <f>EXP(-LN(2)/2)*AW128+(1-EXP(-LN(2)/2))/(LN(2)/2)*AQ129*AT129*VLOOKUP('Données projet'!$B$10,Paramètres!$A$1:$I$89,3,0)*0.475*44/12</f>
        <v>3.623403256337038E-14</v>
      </c>
      <c r="AX129" s="23">
        <f t="shared" si="60"/>
        <v>0.17222176743377204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-1.1368683772161603E-13</v>
      </c>
      <c r="BE129" s="14">
        <f>BD129*VLOOKUP('Données projet'!$B$11,Paramètres!$A$1:$I$89,3,0)*VLOOKUP('Données projet'!$B$11,Paramètres!$A$1:$I$89,5,0)</f>
        <v>-9.9316821433603781E-14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287.22548699835653</v>
      </c>
      <c r="BJ129" s="62">
        <f t="shared" si="92"/>
        <v>276.01618888357268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0.4943065040509611</v>
      </c>
      <c r="BR129" s="23">
        <f>EXP(-LN(2)/2)*BR128+(1-EXP(-LN(2)/2))/(LN(2)/2)*BL129*BO129*VLOOKUP('Données projet'!$B$11,Paramètres!$A$1:$I$89,3,0)*0.475*44/12</f>
        <v>4.6429044004632954E-14</v>
      </c>
      <c r="BS129" s="24">
        <f t="shared" si="63"/>
        <v>0.49430650405100751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1.1527845344971866E-13</v>
      </c>
      <c r="P130" s="14">
        <f t="shared" si="87"/>
        <v>1.7033846239409443E-12</v>
      </c>
      <c r="Q130" s="22">
        <f t="shared" si="107"/>
        <v>3.1675048597887374E-12</v>
      </c>
      <c r="R130" s="62">
        <f t="shared" si="55"/>
        <v>283.40235685908061</v>
      </c>
      <c r="S130" s="62">
        <f ca="1">AVERAGE(OFFSET($R$3,0,0,'Données projet'!$E$9+1,1))-AVERAGE(OFFSET($H$3,0,0,'Données projet'!$E$9+1,1))</f>
        <v>446.90706503298787</v>
      </c>
      <c r="T130" s="62">
        <f t="shared" si="88"/>
        <v>275.54513370838777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0.20543967961364598</v>
      </c>
      <c r="AB130" s="23">
        <f>EXP(-LN(2)/2)*AB129+(1-EXP(-LN(2)/2))/(LN(2)/2)*V130*Y130*VLOOKUP('Données projet'!$B$9,Paramètres!$A$1:$I$89,3,0)*0.475*44/12</f>
        <v>3.533090753687701E-14</v>
      </c>
      <c r="AC130" s="24">
        <f t="shared" si="57"/>
        <v>0.20543967961368131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1.1368683772161603E-13</v>
      </c>
      <c r="AJ130" s="14">
        <f>AI130*VLOOKUP('Données projet'!$B$10,Paramètres!$A$1:$I$89,3,0)*VLOOKUP('Données projet'!$B$10,Paramètres!$A$1:$I$89,5,0)</f>
        <v>7.626113074366004E-14</v>
      </c>
      <c r="AK130" s="14">
        <f t="shared" si="89"/>
        <v>1.1823749172251317E-12</v>
      </c>
      <c r="AL130" s="22">
        <f t="shared" si="58"/>
        <v>2.1921244502123119E-12</v>
      </c>
      <c r="AM130" s="62">
        <f t="shared" si="59"/>
        <v>283.40235685907965</v>
      </c>
      <c r="AN130" s="62">
        <f ca="1">AVERAGE(OFFSET($AM$3,0,0,'Données projet'!$E$10+1,1))-AVERAGE(OFFSET($H$3,0,0,'Données projet'!$E$10+1,1))</f>
        <v>312.88185844251097</v>
      </c>
      <c r="AO130" s="62">
        <f t="shared" si="90"/>
        <v>202.68317767036231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0.16751235414651119</v>
      </c>
      <c r="AW130" s="23">
        <f>EXP(-LN(2)/2)*AW129+(1-EXP(-LN(2)/2))/(LN(2)/2)*AQ130*AT130*VLOOKUP('Données projet'!$B$10,Paramètres!$A$1:$I$89,3,0)*0.475*44/12</f>
        <v>2.5621330135293377E-14</v>
      </c>
      <c r="AX130" s="23">
        <f t="shared" si="60"/>
        <v>0.16751235414653681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-1.1368683772161603E-13</v>
      </c>
      <c r="BE130" s="14">
        <f>BD130*VLOOKUP('Données projet'!$B$11,Paramètres!$A$1:$I$89,3,0)*VLOOKUP('Données projet'!$B$11,Paramètres!$A$1:$I$89,5,0)</f>
        <v>-9.9316821433603781E-14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287.22548699835653</v>
      </c>
      <c r="BJ130" s="62">
        <f t="shared" si="92"/>
        <v>276.01618888357268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0.48078966670323825</v>
      </c>
      <c r="BR130" s="23">
        <f>EXP(-LN(2)/2)*BR129+(1-EXP(-LN(2)/2))/(LN(2)/2)*BL130*BO130*VLOOKUP('Données projet'!$B$11,Paramètres!$A$1:$I$89,3,0)*0.475*44/12</f>
        <v>3.283029185968458E-14</v>
      </c>
      <c r="BS130" s="24">
        <f t="shared" si="63"/>
        <v>0.48078966670327106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1.1527845344971866E-13</v>
      </c>
      <c r="P131" s="14">
        <f t="shared" si="87"/>
        <v>1.7033846239409443E-12</v>
      </c>
      <c r="Q131" s="22">
        <f t="shared" ref="Q131:Q153" si="108">(O131+P131)*0.475*44/12</f>
        <v>3.1675048597887374E-12</v>
      </c>
      <c r="R131" s="62">
        <f t="shared" ref="R131:R194" si="109">Q131+(I131+J131)*44/12</f>
        <v>283.57463709857171</v>
      </c>
      <c r="S131" s="62">
        <f ca="1">AVERAGE(OFFSET($R$3,0,0,'Données projet'!$E$9+1,1))-AVERAGE(OFFSET($H$3,0,0,'Données projet'!$E$9+1,1))</f>
        <v>446.90706503298787</v>
      </c>
      <c r="T131" s="62">
        <f t="shared" si="88"/>
        <v>275.54513370838777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0.19982192077100763</v>
      </c>
      <c r="AB131" s="23">
        <f>EXP(-LN(2)/2)*AB130+(1-EXP(-LN(2)/2))/(LN(2)/2)*V131*Y131*VLOOKUP('Données projet'!$B$9,Paramètres!$A$1:$I$89,3,0)*0.475*44/12</f>
        <v>2.4982724304800635E-14</v>
      </c>
      <c r="AC131" s="24">
        <f t="shared" si="57"/>
        <v>0.19982192077103261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1.1368683772161603E-13</v>
      </c>
      <c r="AJ131" s="14">
        <f>AI131*VLOOKUP('Données projet'!$B$10,Paramètres!$A$1:$I$89,3,0)*VLOOKUP('Données projet'!$B$10,Paramètres!$A$1:$I$89,5,0)</f>
        <v>7.626113074366004E-14</v>
      </c>
      <c r="AK131" s="14">
        <f t="shared" si="89"/>
        <v>1.1823749172251317E-12</v>
      </c>
      <c r="AL131" s="22">
        <f t="shared" si="58"/>
        <v>2.1921244502123119E-12</v>
      </c>
      <c r="AM131" s="62">
        <f t="shared" si="59"/>
        <v>283.57463709857075</v>
      </c>
      <c r="AN131" s="62">
        <f ca="1">AVERAGE(OFFSET($AM$3,0,0,'Données projet'!$E$10+1,1))-AVERAGE(OFFSET($H$3,0,0,'Données projet'!$E$10+1,1))</f>
        <v>312.88185844251097</v>
      </c>
      <c r="AO131" s="62">
        <f t="shared" si="90"/>
        <v>202.68317767036231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0.16293172001328299</v>
      </c>
      <c r="AW131" s="23">
        <f>EXP(-LN(2)/2)*AW130+(1-EXP(-LN(2)/2))/(LN(2)/2)*AQ131*AT131*VLOOKUP('Données projet'!$B$10,Paramètres!$A$1:$I$89,3,0)*0.475*44/12</f>
        <v>1.811701628168519E-14</v>
      </c>
      <c r="AX131" s="23">
        <f t="shared" si="60"/>
        <v>0.16293172001330111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-1.1368683772161603E-13</v>
      </c>
      <c r="BE131" s="14">
        <f>BD131*VLOOKUP('Données projet'!$B$11,Paramètres!$A$1:$I$89,3,0)*VLOOKUP('Données projet'!$B$11,Paramètres!$A$1:$I$89,5,0)</f>
        <v>-9.9316821433603781E-14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287.22548699835653</v>
      </c>
      <c r="BJ131" s="62">
        <f t="shared" si="92"/>
        <v>276.01618888357268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0.46764244798360849</v>
      </c>
      <c r="BR131" s="23">
        <f>EXP(-LN(2)/2)*BR130+(1-EXP(-LN(2)/2))/(LN(2)/2)*BL131*BO131*VLOOKUP('Données projet'!$B$11,Paramètres!$A$1:$I$89,3,0)*0.475*44/12</f>
        <v>2.3214522002316477E-14</v>
      </c>
      <c r="BS131" s="24">
        <f t="shared" si="63"/>
        <v>0.46764244798363169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1.1527845344971866E-13</v>
      </c>
      <c r="P132" s="14">
        <f t="shared" si="87"/>
        <v>1.7033846239409443E-12</v>
      </c>
      <c r="Q132" s="22">
        <f t="shared" si="108"/>
        <v>3.1675048597887374E-12</v>
      </c>
      <c r="R132" s="62">
        <f t="shared" si="109"/>
        <v>283.74392866106854</v>
      </c>
      <c r="S132" s="62">
        <f ca="1">AVERAGE(OFFSET($R$3,0,0,'Données projet'!$E$9+1,1))-AVERAGE(OFFSET($H$3,0,0,'Données projet'!$E$9+1,1))</f>
        <v>446.90706503298787</v>
      </c>
      <c r="T132" s="62">
        <f t="shared" si="88"/>
        <v>275.54513370838777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0.19435777983934632</v>
      </c>
      <c r="AB132" s="23">
        <f>EXP(-LN(2)/2)*AB131+(1-EXP(-LN(2)/2))/(LN(2)/2)*V132*Y132*VLOOKUP('Données projet'!$B$9,Paramètres!$A$1:$I$89,3,0)*0.475*44/12</f>
        <v>1.7665453768438505E-14</v>
      </c>
      <c r="AC132" s="24">
        <f t="shared" ref="AC132:AC153" si="111">SUM(Z132:AB132)</f>
        <v>0.19435777983936398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1.1368683772161603E-13</v>
      </c>
      <c r="AJ132" s="14">
        <f>AI132*VLOOKUP('Données projet'!$B$10,Paramètres!$A$1:$I$89,3,0)*VLOOKUP('Données projet'!$B$10,Paramètres!$A$1:$I$89,5,0)</f>
        <v>7.626113074366004E-14</v>
      </c>
      <c r="AK132" s="14">
        <f t="shared" si="89"/>
        <v>1.1823749172251317E-12</v>
      </c>
      <c r="AL132" s="22">
        <f t="shared" ref="AL132:AL153" si="112">(AJ132+AK132)*0.475*44/12</f>
        <v>2.1921244502123119E-12</v>
      </c>
      <c r="AM132" s="62">
        <f t="shared" ref="AM132:AM195" si="113">AL132+(AD132+AE132)*44/12</f>
        <v>283.74392866106757</v>
      </c>
      <c r="AN132" s="62">
        <f ca="1">AVERAGE(OFFSET($AM$3,0,0,'Données projet'!$E$10+1,1))-AVERAGE(OFFSET($H$3,0,0,'Données projet'!$E$10+1,1))</f>
        <v>312.88185844251097</v>
      </c>
      <c r="AO132" s="62">
        <f t="shared" si="90"/>
        <v>202.68317767036231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0.15847634356131299</v>
      </c>
      <c r="AW132" s="23">
        <f>EXP(-LN(2)/2)*AW131+(1-EXP(-LN(2)/2))/(LN(2)/2)*AQ132*AT132*VLOOKUP('Données projet'!$B$10,Paramètres!$A$1:$I$89,3,0)*0.475*44/12</f>
        <v>1.2810665067646689E-14</v>
      </c>
      <c r="AX132" s="23">
        <f t="shared" ref="AX132:AX153" si="114">SUM(AU132:AW132)</f>
        <v>0.15847634356132581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-1.1368683772161603E-13</v>
      </c>
      <c r="BE132" s="14">
        <f>BD132*VLOOKUP('Données projet'!$B$11,Paramètres!$A$1:$I$89,3,0)*VLOOKUP('Données projet'!$B$11,Paramètres!$A$1:$I$89,5,0)</f>
        <v>-9.9316821433603781E-14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287.22548699835653</v>
      </c>
      <c r="BJ132" s="62">
        <f t="shared" si="92"/>
        <v>276.01618888357268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0.4548547406512492</v>
      </c>
      <c r="BR132" s="23">
        <f>EXP(-LN(2)/2)*BR131+(1-EXP(-LN(2)/2))/(LN(2)/2)*BL132*BO132*VLOOKUP('Données projet'!$B$11,Paramètres!$A$1:$I$89,3,0)*0.475*44/12</f>
        <v>1.641514592984229E-14</v>
      </c>
      <c r="BS132" s="24">
        <f t="shared" ref="BS132:BS153" si="117">SUM(BP132:BR132)</f>
        <v>0.45485474065126563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1.1527845344971866E-13</v>
      </c>
      <c r="P133" s="14">
        <f t="shared" ref="P133:P196" si="141">EXP(-1.0587+0.8836*LN(O133)+0.284)</f>
        <v>1.7033846239409443E-12</v>
      </c>
      <c r="Q133" s="22">
        <f t="shared" si="108"/>
        <v>3.1675048597887374E-12</v>
      </c>
      <c r="R133" s="62">
        <f t="shared" si="109"/>
        <v>283.91028339343529</v>
      </c>
      <c r="S133" s="62">
        <f ca="1">AVERAGE(OFFSET($R$3,0,0,'Données projet'!$E$9+1,1))-AVERAGE(OFFSET($H$3,0,0,'Données projet'!$E$9+1,1))</f>
        <v>446.90706503298787</v>
      </c>
      <c r="T133" s="62">
        <f t="shared" ref="T133:T196" si="142">$T$3</f>
        <v>275.54513370838777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0.18904305612880798</v>
      </c>
      <c r="AB133" s="23">
        <f>EXP(-LN(2)/2)*AB132+(1-EXP(-LN(2)/2))/(LN(2)/2)*V133*Y133*VLOOKUP('Données projet'!$B$9,Paramètres!$A$1:$I$89,3,0)*0.475*44/12</f>
        <v>1.2491362152400317E-14</v>
      </c>
      <c r="AC133" s="24">
        <f t="shared" si="111"/>
        <v>0.18904305612882047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1.1368683772161603E-13</v>
      </c>
      <c r="AJ133" s="14">
        <f>AI133*VLOOKUP('Données projet'!$B$10,Paramètres!$A$1:$I$89,3,0)*VLOOKUP('Données projet'!$B$10,Paramètres!$A$1:$I$89,5,0)</f>
        <v>7.626113074366004E-14</v>
      </c>
      <c r="AK133" s="14">
        <f t="shared" ref="AK133:AK153" si="143">EXP(-1.0587+0.8836*LN(AJ133)+0.284)</f>
        <v>1.1823749172251317E-12</v>
      </c>
      <c r="AL133" s="22">
        <f t="shared" si="112"/>
        <v>2.1921244502123119E-12</v>
      </c>
      <c r="AM133" s="62">
        <f t="shared" si="113"/>
        <v>283.91028339343433</v>
      </c>
      <c r="AN133" s="62">
        <f ca="1">AVERAGE(OFFSET($AM$3,0,0,'Données projet'!$E$10+1,1))-AVERAGE(OFFSET($H$3,0,0,'Données projet'!$E$10+1,1))</f>
        <v>312.88185844251097</v>
      </c>
      <c r="AO133" s="62">
        <f t="shared" ref="AO133:AO196" si="144">$AO$3</f>
        <v>202.68317767036231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0.15414279961272018</v>
      </c>
      <c r="AW133" s="23">
        <f>EXP(-LN(2)/2)*AW132+(1-EXP(-LN(2)/2))/(LN(2)/2)*AQ133*AT133*VLOOKUP('Données projet'!$B$10,Paramètres!$A$1:$I$89,3,0)*0.475*44/12</f>
        <v>9.058508140842595E-15</v>
      </c>
      <c r="AX133" s="23">
        <f t="shared" si="114"/>
        <v>0.15414279961272923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-1.1368683772161603E-13</v>
      </c>
      <c r="BE133" s="14">
        <f>BD133*VLOOKUP('Données projet'!$B$11,Paramètres!$A$1:$I$89,3,0)*VLOOKUP('Données projet'!$B$11,Paramètres!$A$1:$I$89,5,0)</f>
        <v>-9.9316821433603781E-14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287.22548699835653</v>
      </c>
      <c r="BJ133" s="62">
        <f t="shared" ref="BJ133:BJ196" si="146">$BJ$3</f>
        <v>276.01618888357268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0.44241671384836956</v>
      </c>
      <c r="BR133" s="23">
        <f>EXP(-LN(2)/2)*BR132+(1-EXP(-LN(2)/2))/(LN(2)/2)*BL133*BO133*VLOOKUP('Données projet'!$B$11,Paramètres!$A$1:$I$89,3,0)*0.475*44/12</f>
        <v>1.1607261001158239E-14</v>
      </c>
      <c r="BS133" s="24">
        <f t="shared" si="117"/>
        <v>0.44241671384838116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1.1527845344971866E-13</v>
      </c>
      <c r="P134" s="14">
        <f t="shared" si="141"/>
        <v>1.7033846239409443E-12</v>
      </c>
      <c r="Q134" s="22">
        <f t="shared" si="108"/>
        <v>3.1675048597887374E-12</v>
      </c>
      <c r="R134" s="62">
        <f t="shared" si="109"/>
        <v>284.07375224310891</v>
      </c>
      <c r="S134" s="62">
        <f ca="1">AVERAGE(OFFSET($R$3,0,0,'Données projet'!$E$9+1,1))-AVERAGE(OFFSET($H$3,0,0,'Données projet'!$E$9+1,1))</f>
        <v>446.90706503298787</v>
      </c>
      <c r="T134" s="62">
        <f t="shared" si="142"/>
        <v>275.54513370838777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0.18387366381762346</v>
      </c>
      <c r="AB134" s="23">
        <f>EXP(-LN(2)/2)*AB133+(1-EXP(-LN(2)/2))/(LN(2)/2)*V134*Y134*VLOOKUP('Données projet'!$B$9,Paramètres!$A$1:$I$89,3,0)*0.475*44/12</f>
        <v>8.8327268842192526E-15</v>
      </c>
      <c r="AC134" s="24">
        <f t="shared" si="111"/>
        <v>0.18387366381763229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1.1368683772161603E-13</v>
      </c>
      <c r="AJ134" s="14">
        <f>AI134*VLOOKUP('Données projet'!$B$10,Paramètres!$A$1:$I$89,3,0)*VLOOKUP('Données projet'!$B$10,Paramètres!$A$1:$I$89,5,0)</f>
        <v>7.626113074366004E-14</v>
      </c>
      <c r="AK134" s="14">
        <f t="shared" si="143"/>
        <v>1.1823749172251317E-12</v>
      </c>
      <c r="AL134" s="22">
        <f t="shared" si="112"/>
        <v>2.1921244502123119E-12</v>
      </c>
      <c r="AM134" s="62">
        <f t="shared" si="113"/>
        <v>284.07375224310795</v>
      </c>
      <c r="AN134" s="62">
        <f ca="1">AVERAGE(OFFSET($AM$3,0,0,'Données projet'!$E$10+1,1))-AVERAGE(OFFSET($H$3,0,0,'Données projet'!$E$10+1,1))</f>
        <v>312.88185844251097</v>
      </c>
      <c r="AO134" s="62">
        <f t="shared" si="144"/>
        <v>202.68317767036231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0.14992775665129282</v>
      </c>
      <c r="AW134" s="23">
        <f>EXP(-LN(2)/2)*AW133+(1-EXP(-LN(2)/2))/(LN(2)/2)*AQ134*AT134*VLOOKUP('Données projet'!$B$10,Paramètres!$A$1:$I$89,3,0)*0.475*44/12</f>
        <v>6.4053325338233444E-15</v>
      </c>
      <c r="AX134" s="23">
        <f t="shared" si="114"/>
        <v>0.14992775665129923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-1.1368683772161603E-13</v>
      </c>
      <c r="BE134" s="14">
        <f>BD134*VLOOKUP('Données projet'!$B$11,Paramètres!$A$1:$I$89,3,0)*VLOOKUP('Données projet'!$B$11,Paramètres!$A$1:$I$89,5,0)</f>
        <v>-9.9316821433603781E-14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287.22548699835653</v>
      </c>
      <c r="BJ134" s="62">
        <f t="shared" si="146"/>
        <v>276.01618888357268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0.43031880554250207</v>
      </c>
      <c r="BR134" s="23">
        <f>EXP(-LN(2)/2)*BR133+(1-EXP(-LN(2)/2))/(LN(2)/2)*BL134*BO134*VLOOKUP('Données projet'!$B$11,Paramètres!$A$1:$I$89,3,0)*0.475*44/12</f>
        <v>8.2075729649211451E-15</v>
      </c>
      <c r="BS134" s="24">
        <f t="shared" si="117"/>
        <v>0.43031880554251029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1.1527845344971866E-13</v>
      </c>
      <c r="P135" s="14">
        <f t="shared" si="141"/>
        <v>1.7033846239409443E-12</v>
      </c>
      <c r="Q135" s="22">
        <f t="shared" si="108"/>
        <v>3.1675048597887374E-12</v>
      </c>
      <c r="R135" s="62">
        <f t="shared" si="109"/>
        <v>284.23438527370234</v>
      </c>
      <c r="S135" s="62">
        <f ca="1">AVERAGE(OFFSET($R$3,0,0,'Données projet'!$E$9+1,1))-AVERAGE(OFFSET($H$3,0,0,'Données projet'!$E$9+1,1))</f>
        <v>446.90706503298787</v>
      </c>
      <c r="T135" s="62">
        <f t="shared" si="142"/>
        <v>275.54513370838777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0.17884562881103483</v>
      </c>
      <c r="AB135" s="23">
        <f>EXP(-LN(2)/2)*AB134+(1-EXP(-LN(2)/2))/(LN(2)/2)*V135*Y135*VLOOKUP('Données projet'!$B$9,Paramètres!$A$1:$I$89,3,0)*0.475*44/12</f>
        <v>6.2456810762001587E-15</v>
      </c>
      <c r="AC135" s="24">
        <f t="shared" si="111"/>
        <v>0.17884562881104107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1.1368683772161603E-13</v>
      </c>
      <c r="AJ135" s="14">
        <f>AI135*VLOOKUP('Données projet'!$B$10,Paramètres!$A$1:$I$89,3,0)*VLOOKUP('Données projet'!$B$10,Paramètres!$A$1:$I$89,5,0)</f>
        <v>7.626113074366004E-14</v>
      </c>
      <c r="AK135" s="14">
        <f t="shared" si="143"/>
        <v>1.1823749172251317E-12</v>
      </c>
      <c r="AL135" s="22">
        <f t="shared" si="112"/>
        <v>2.1921244502123119E-12</v>
      </c>
      <c r="AM135" s="62">
        <f t="shared" si="113"/>
        <v>284.23438527370138</v>
      </c>
      <c r="AN135" s="62">
        <f ca="1">AVERAGE(OFFSET($AM$3,0,0,'Données projet'!$E$10+1,1))-AVERAGE(OFFSET($H$3,0,0,'Données projet'!$E$10+1,1))</f>
        <v>312.88185844251097</v>
      </c>
      <c r="AO135" s="62">
        <f t="shared" si="144"/>
        <v>202.68317767036231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0.14582797426130517</v>
      </c>
      <c r="AW135" s="23">
        <f>EXP(-LN(2)/2)*AW134+(1-EXP(-LN(2)/2))/(LN(2)/2)*AQ135*AT135*VLOOKUP('Données projet'!$B$10,Paramètres!$A$1:$I$89,3,0)*0.475*44/12</f>
        <v>4.5292540704212975E-15</v>
      </c>
      <c r="AX135" s="23">
        <f t="shared" si="114"/>
        <v>0.1458279742613097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-1.1368683772161603E-13</v>
      </c>
      <c r="BE135" s="14">
        <f>BD135*VLOOKUP('Données projet'!$B$11,Paramètres!$A$1:$I$89,3,0)*VLOOKUP('Données projet'!$B$11,Paramètres!$A$1:$I$89,5,0)</f>
        <v>-9.9316821433603781E-14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287.22548699835653</v>
      </c>
      <c r="BJ135" s="62">
        <f t="shared" si="146"/>
        <v>276.01618888357268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0.41855171517545986</v>
      </c>
      <c r="BR135" s="23">
        <f>EXP(-LN(2)/2)*BR134+(1-EXP(-LN(2)/2))/(LN(2)/2)*BL135*BO135*VLOOKUP('Données projet'!$B$11,Paramètres!$A$1:$I$89,3,0)*0.475*44/12</f>
        <v>5.8036305005791193E-15</v>
      </c>
      <c r="BS135" s="24">
        <f t="shared" si="117"/>
        <v>0.41855171517546569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1.1527845344971866E-13</v>
      </c>
      <c r="P136" s="14">
        <f t="shared" si="141"/>
        <v>1.7033846239409443E-12</v>
      </c>
      <c r="Q136" s="22">
        <f t="shared" si="108"/>
        <v>3.1675048597887374E-12</v>
      </c>
      <c r="R136" s="62">
        <f t="shared" si="109"/>
        <v>284.39223168033658</v>
      </c>
      <c r="S136" s="62">
        <f ca="1">AVERAGE(OFFSET($R$3,0,0,'Données projet'!$E$9+1,1))-AVERAGE(OFFSET($H$3,0,0,'Données projet'!$E$9+1,1))</f>
        <v>446.90706503298787</v>
      </c>
      <c r="T136" s="62">
        <f t="shared" si="142"/>
        <v>275.54513370838777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0.17395508568611423</v>
      </c>
      <c r="AB136" s="23">
        <f>EXP(-LN(2)/2)*AB135+(1-EXP(-LN(2)/2))/(LN(2)/2)*V136*Y136*VLOOKUP('Données projet'!$B$9,Paramètres!$A$1:$I$89,3,0)*0.475*44/12</f>
        <v>4.4163634421096263E-15</v>
      </c>
      <c r="AC136" s="24">
        <f t="shared" si="111"/>
        <v>0.17395508568611864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1.1368683772161603E-13</v>
      </c>
      <c r="AJ136" s="14">
        <f>AI136*VLOOKUP('Données projet'!$B$10,Paramètres!$A$1:$I$89,3,0)*VLOOKUP('Données projet'!$B$10,Paramètres!$A$1:$I$89,5,0)</f>
        <v>7.626113074366004E-14</v>
      </c>
      <c r="AK136" s="14">
        <f t="shared" si="143"/>
        <v>1.1823749172251317E-12</v>
      </c>
      <c r="AL136" s="22">
        <f t="shared" si="112"/>
        <v>2.1921244502123119E-12</v>
      </c>
      <c r="AM136" s="62">
        <f t="shared" si="113"/>
        <v>284.39223168033561</v>
      </c>
      <c r="AN136" s="62">
        <f ca="1">AVERAGE(OFFSET($AM$3,0,0,'Données projet'!$E$10+1,1))-AVERAGE(OFFSET($H$3,0,0,'Données projet'!$E$10+1,1))</f>
        <v>312.88185844251097</v>
      </c>
      <c r="AO136" s="62">
        <f t="shared" si="144"/>
        <v>202.68317767036231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0.1418403006363699</v>
      </c>
      <c r="AW136" s="23">
        <f>EXP(-LN(2)/2)*AW135+(1-EXP(-LN(2)/2))/(LN(2)/2)*AQ136*AT136*VLOOKUP('Données projet'!$B$10,Paramètres!$A$1:$I$89,3,0)*0.475*44/12</f>
        <v>3.2026662669116722E-15</v>
      </c>
      <c r="AX136" s="23">
        <f t="shared" si="114"/>
        <v>0.1418403006363731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-1.1368683772161603E-13</v>
      </c>
      <c r="BE136" s="14">
        <f>BD136*VLOOKUP('Données projet'!$B$11,Paramètres!$A$1:$I$89,3,0)*VLOOKUP('Données projet'!$B$11,Paramètres!$A$1:$I$89,5,0)</f>
        <v>-9.9316821433603781E-14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287.22548699835653</v>
      </c>
      <c r="BJ136" s="62">
        <f t="shared" si="146"/>
        <v>276.01618888357268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0.40710639651330882</v>
      </c>
      <c r="BR136" s="23">
        <f>EXP(-LN(2)/2)*BR135+(1-EXP(-LN(2)/2))/(LN(2)/2)*BL136*BO136*VLOOKUP('Données projet'!$B$11,Paramètres!$A$1:$I$89,3,0)*0.475*44/12</f>
        <v>4.1037864824605725E-15</v>
      </c>
      <c r="BS136" s="24">
        <f t="shared" si="117"/>
        <v>0.40710639651331293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1.1527845344971866E-13</v>
      </c>
      <c r="P137" s="14">
        <f t="shared" si="141"/>
        <v>1.7033846239409443E-12</v>
      </c>
      <c r="Q137" s="22">
        <f t="shared" si="108"/>
        <v>3.1675048597887374E-12</v>
      </c>
      <c r="R137" s="62">
        <f t="shared" si="109"/>
        <v>284.54733980470746</v>
      </c>
      <c r="S137" s="62">
        <f ca="1">AVERAGE(OFFSET($R$3,0,0,'Données projet'!$E$9+1,1))-AVERAGE(OFFSET($H$3,0,0,'Données projet'!$E$9+1,1))</f>
        <v>446.90706503298787</v>
      </c>
      <c r="T137" s="62">
        <f t="shared" si="142"/>
        <v>275.54513370838777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0.16919827472012705</v>
      </c>
      <c r="AB137" s="23">
        <f>EXP(-LN(2)/2)*AB136+(1-EXP(-LN(2)/2))/(LN(2)/2)*V137*Y137*VLOOKUP('Données projet'!$B$9,Paramètres!$A$1:$I$89,3,0)*0.475*44/12</f>
        <v>3.1228405381000794E-15</v>
      </c>
      <c r="AC137" s="24">
        <f t="shared" si="111"/>
        <v>0.16919827472013019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1.1368683772161603E-13</v>
      </c>
      <c r="AJ137" s="14">
        <f>AI137*VLOOKUP('Données projet'!$B$10,Paramètres!$A$1:$I$89,3,0)*VLOOKUP('Données projet'!$B$10,Paramètres!$A$1:$I$89,5,0)</f>
        <v>7.626113074366004E-14</v>
      </c>
      <c r="AK137" s="14">
        <f t="shared" si="143"/>
        <v>1.1823749172251317E-12</v>
      </c>
      <c r="AL137" s="22">
        <f t="shared" si="112"/>
        <v>2.1921244502123119E-12</v>
      </c>
      <c r="AM137" s="62">
        <f t="shared" si="113"/>
        <v>284.5473398047065</v>
      </c>
      <c r="AN137" s="62">
        <f ca="1">AVERAGE(OFFSET($AM$3,0,0,'Données projet'!$E$10+1,1))-AVERAGE(OFFSET($H$3,0,0,'Données projet'!$E$10+1,1))</f>
        <v>312.88185844251097</v>
      </c>
      <c r="AO137" s="62">
        <f t="shared" si="144"/>
        <v>202.68317767036231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0.13796167015641114</v>
      </c>
      <c r="AW137" s="23">
        <f>EXP(-LN(2)/2)*AW136+(1-EXP(-LN(2)/2))/(LN(2)/2)*AQ137*AT137*VLOOKUP('Données projet'!$B$10,Paramètres!$A$1:$I$89,3,0)*0.475*44/12</f>
        <v>2.2646270352106488E-15</v>
      </c>
      <c r="AX137" s="23">
        <f t="shared" si="114"/>
        <v>0.13796167015641342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-1.1368683772161603E-13</v>
      </c>
      <c r="BE137" s="14">
        <f>BD137*VLOOKUP('Données projet'!$B$11,Paramètres!$A$1:$I$89,3,0)*VLOOKUP('Données projet'!$B$11,Paramètres!$A$1:$I$89,5,0)</f>
        <v>-9.9316821433603781E-14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287.22548699835653</v>
      </c>
      <c r="BJ137" s="62">
        <f t="shared" si="146"/>
        <v>276.01618888357268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0.39597405069185743</v>
      </c>
      <c r="BR137" s="23">
        <f>EXP(-LN(2)/2)*BR136+(1-EXP(-LN(2)/2))/(LN(2)/2)*BL137*BO137*VLOOKUP('Données projet'!$B$11,Paramètres!$A$1:$I$89,3,0)*0.475*44/12</f>
        <v>2.9018152502895596E-15</v>
      </c>
      <c r="BS137" s="24">
        <f t="shared" si="117"/>
        <v>0.39597405069186031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1.1527845344971866E-13</v>
      </c>
      <c r="P138" s="14">
        <f t="shared" si="141"/>
        <v>1.7033846239409443E-12</v>
      </c>
      <c r="Q138" s="22">
        <f t="shared" si="108"/>
        <v>3.1675048597887374E-12</v>
      </c>
      <c r="R138" s="62">
        <f t="shared" si="109"/>
        <v>284.69975714989033</v>
      </c>
      <c r="S138" s="62">
        <f ca="1">AVERAGE(OFFSET($R$3,0,0,'Données projet'!$E$9+1,1))-AVERAGE(OFFSET($H$3,0,0,'Données projet'!$E$9+1,1))</f>
        <v>446.90706503298787</v>
      </c>
      <c r="T138" s="62">
        <f t="shared" si="142"/>
        <v>275.54513370838777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0.16457153900015462</v>
      </c>
      <c r="AB138" s="23">
        <f>EXP(-LN(2)/2)*AB137+(1-EXP(-LN(2)/2))/(LN(2)/2)*V138*Y138*VLOOKUP('Données projet'!$B$9,Paramètres!$A$1:$I$89,3,0)*0.475*44/12</f>
        <v>2.2081817210548131E-15</v>
      </c>
      <c r="AC138" s="24">
        <f t="shared" si="111"/>
        <v>0.16457153900015684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1.1368683772161603E-13</v>
      </c>
      <c r="AJ138" s="14">
        <f>AI138*VLOOKUP('Données projet'!$B$10,Paramètres!$A$1:$I$89,3,0)*VLOOKUP('Données projet'!$B$10,Paramètres!$A$1:$I$89,5,0)</f>
        <v>7.626113074366004E-14</v>
      </c>
      <c r="AK138" s="14">
        <f t="shared" si="143"/>
        <v>1.1823749172251317E-12</v>
      </c>
      <c r="AL138" s="22">
        <f t="shared" si="112"/>
        <v>2.1921244502123119E-12</v>
      </c>
      <c r="AM138" s="62">
        <f t="shared" si="113"/>
        <v>284.69975714988936</v>
      </c>
      <c r="AN138" s="62">
        <f ca="1">AVERAGE(OFFSET($AM$3,0,0,'Données projet'!$E$10+1,1))-AVERAGE(OFFSET($H$3,0,0,'Données projet'!$E$10+1,1))</f>
        <v>312.88185844251097</v>
      </c>
      <c r="AO138" s="62">
        <f t="shared" si="144"/>
        <v>202.68317767036231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0.13418910103089515</v>
      </c>
      <c r="AW138" s="23">
        <f>EXP(-LN(2)/2)*AW137+(1-EXP(-LN(2)/2))/(LN(2)/2)*AQ138*AT138*VLOOKUP('Données projet'!$B$10,Paramètres!$A$1:$I$89,3,0)*0.475*44/12</f>
        <v>1.6013331334558361E-15</v>
      </c>
      <c r="AX138" s="23">
        <f t="shared" si="114"/>
        <v>0.13418910103089676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-1.1368683772161603E-13</v>
      </c>
      <c r="BE138" s="14">
        <f>BD138*VLOOKUP('Données projet'!$B$11,Paramètres!$A$1:$I$89,3,0)*VLOOKUP('Données projet'!$B$11,Paramètres!$A$1:$I$89,5,0)</f>
        <v>-9.9316821433603781E-14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287.22548699835653</v>
      </c>
      <c r="BJ138" s="62">
        <f t="shared" si="146"/>
        <v>276.01618888357268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0.38514611945231825</v>
      </c>
      <c r="BR138" s="23">
        <f>EXP(-LN(2)/2)*BR137+(1-EXP(-LN(2)/2))/(LN(2)/2)*BL138*BO138*VLOOKUP('Données projet'!$B$11,Paramètres!$A$1:$I$89,3,0)*0.475*44/12</f>
        <v>2.0518932412302863E-15</v>
      </c>
      <c r="BS138" s="24">
        <f t="shared" si="117"/>
        <v>0.3851461194523203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1.1527845344971866E-13</v>
      </c>
      <c r="P139" s="14">
        <f t="shared" si="141"/>
        <v>1.7033846239409443E-12</v>
      </c>
      <c r="Q139" s="22">
        <f t="shared" si="108"/>
        <v>3.1675048597887374E-12</v>
      </c>
      <c r="R139" s="62">
        <f t="shared" si="109"/>
        <v>284.8495303948884</v>
      </c>
      <c r="S139" s="62">
        <f ca="1">AVERAGE(OFFSET($R$3,0,0,'Données projet'!$E$9+1,1))-AVERAGE(OFFSET($H$3,0,0,'Données projet'!$E$9+1,1))</f>
        <v>446.90706503298787</v>
      </c>
      <c r="T139" s="62">
        <f t="shared" si="142"/>
        <v>275.54513370838777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0.16007132161175427</v>
      </c>
      <c r="AB139" s="23">
        <f>EXP(-LN(2)/2)*AB138+(1-EXP(-LN(2)/2))/(LN(2)/2)*V139*Y139*VLOOKUP('Données projet'!$B$9,Paramètres!$A$1:$I$89,3,0)*0.475*44/12</f>
        <v>1.5614202690500397E-15</v>
      </c>
      <c r="AC139" s="24">
        <f t="shared" si="111"/>
        <v>0.16007132161175583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1.1368683772161603E-13</v>
      </c>
      <c r="AJ139" s="14">
        <f>AI139*VLOOKUP('Données projet'!$B$10,Paramètres!$A$1:$I$89,3,0)*VLOOKUP('Données projet'!$B$10,Paramètres!$A$1:$I$89,5,0)</f>
        <v>7.626113074366004E-14</v>
      </c>
      <c r="AK139" s="14">
        <f t="shared" si="143"/>
        <v>1.1823749172251317E-12</v>
      </c>
      <c r="AL139" s="22">
        <f t="shared" si="112"/>
        <v>2.1921244502123119E-12</v>
      </c>
      <c r="AM139" s="62">
        <f t="shared" si="113"/>
        <v>284.84953039488744</v>
      </c>
      <c r="AN139" s="62">
        <f ca="1">AVERAGE(OFFSET($AM$3,0,0,'Données projet'!$E$10+1,1))-AVERAGE(OFFSET($H$3,0,0,'Données projet'!$E$10+1,1))</f>
        <v>312.88185844251097</v>
      </c>
      <c r="AO139" s="62">
        <f t="shared" si="144"/>
        <v>202.68317767036231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0.1305196930065072</v>
      </c>
      <c r="AW139" s="23">
        <f>EXP(-LN(2)/2)*AW138+(1-EXP(-LN(2)/2))/(LN(2)/2)*AQ139*AT139*VLOOKUP('Données projet'!$B$10,Paramètres!$A$1:$I$89,3,0)*0.475*44/12</f>
        <v>1.1323135176053244E-15</v>
      </c>
      <c r="AX139" s="23">
        <f t="shared" si="114"/>
        <v>0.13051969300650834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-1.1368683772161603E-13</v>
      </c>
      <c r="BE139" s="14">
        <f>BD139*VLOOKUP('Données projet'!$B$11,Paramètres!$A$1:$I$89,3,0)*VLOOKUP('Données projet'!$B$11,Paramètres!$A$1:$I$89,5,0)</f>
        <v>-9.9316821433603781E-14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287.22548699835653</v>
      </c>
      <c r="BJ139" s="62">
        <f t="shared" si="146"/>
        <v>276.01618888357268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0.37461427856194046</v>
      </c>
      <c r="BR139" s="23">
        <f>EXP(-LN(2)/2)*BR138+(1-EXP(-LN(2)/2))/(LN(2)/2)*BL139*BO139*VLOOKUP('Données projet'!$B$11,Paramètres!$A$1:$I$89,3,0)*0.475*44/12</f>
        <v>1.4509076251447798E-15</v>
      </c>
      <c r="BS139" s="24">
        <f t="shared" si="117"/>
        <v>0.3746142785619419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1.1527845344971866E-13</v>
      </c>
      <c r="P140" s="14">
        <f t="shared" si="141"/>
        <v>1.7033846239409443E-12</v>
      </c>
      <c r="Q140" s="22">
        <f t="shared" si="108"/>
        <v>3.1675048597887374E-12</v>
      </c>
      <c r="R140" s="62">
        <f t="shared" si="109"/>
        <v>284.99670540892856</v>
      </c>
      <c r="S140" s="62">
        <f ca="1">AVERAGE(OFFSET($R$3,0,0,'Données projet'!$E$9+1,1))-AVERAGE(OFFSET($H$3,0,0,'Données projet'!$E$9+1,1))</f>
        <v>446.90706503298787</v>
      </c>
      <c r="T140" s="62">
        <f t="shared" si="142"/>
        <v>275.54513370838777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0.15569416290449589</v>
      </c>
      <c r="AB140" s="23">
        <f>EXP(-LN(2)/2)*AB139+(1-EXP(-LN(2)/2))/(LN(2)/2)*V140*Y140*VLOOKUP('Données projet'!$B$9,Paramètres!$A$1:$I$89,3,0)*0.475*44/12</f>
        <v>1.1040908605274066E-15</v>
      </c>
      <c r="AC140" s="24">
        <f t="shared" si="111"/>
        <v>0.155694162904497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1.1368683772161603E-13</v>
      </c>
      <c r="AJ140" s="14">
        <f>AI140*VLOOKUP('Données projet'!$B$10,Paramètres!$A$1:$I$89,3,0)*VLOOKUP('Données projet'!$B$10,Paramètres!$A$1:$I$89,5,0)</f>
        <v>7.626113074366004E-14</v>
      </c>
      <c r="AK140" s="14">
        <f t="shared" si="143"/>
        <v>1.1823749172251317E-12</v>
      </c>
      <c r="AL140" s="22">
        <f t="shared" si="112"/>
        <v>2.1921244502123119E-12</v>
      </c>
      <c r="AM140" s="62">
        <f t="shared" si="113"/>
        <v>284.9967054089276</v>
      </c>
      <c r="AN140" s="62">
        <f ca="1">AVERAGE(OFFSET($AM$3,0,0,'Données projet'!$E$10+1,1))-AVERAGE(OFFSET($H$3,0,0,'Données projet'!$E$10+1,1))</f>
        <v>312.88185844251097</v>
      </c>
      <c r="AO140" s="62">
        <f t="shared" si="144"/>
        <v>202.68317767036231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0.1269506251375119</v>
      </c>
      <c r="AW140" s="23">
        <f>EXP(-LN(2)/2)*AW139+(1-EXP(-LN(2)/2))/(LN(2)/2)*AQ140*AT140*VLOOKUP('Données projet'!$B$10,Paramètres!$A$1:$I$89,3,0)*0.475*44/12</f>
        <v>8.0066656672791805E-16</v>
      </c>
      <c r="AX140" s="23">
        <f t="shared" si="114"/>
        <v>0.12695062513751271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-1.1368683772161603E-13</v>
      </c>
      <c r="BE140" s="14">
        <f>BD140*VLOOKUP('Données projet'!$B$11,Paramètres!$A$1:$I$89,3,0)*VLOOKUP('Données projet'!$B$11,Paramètres!$A$1:$I$89,5,0)</f>
        <v>-9.9316821433603781E-14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287.22548699835653</v>
      </c>
      <c r="BJ140" s="62">
        <f t="shared" si="146"/>
        <v>276.01618888357268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0.3643704314145555</v>
      </c>
      <c r="BR140" s="23">
        <f>EXP(-LN(2)/2)*BR139+(1-EXP(-LN(2)/2))/(LN(2)/2)*BL140*BO140*VLOOKUP('Données projet'!$B$11,Paramètres!$A$1:$I$89,3,0)*0.475*44/12</f>
        <v>1.0259466206151431E-15</v>
      </c>
      <c r="BS140" s="24">
        <f t="shared" si="117"/>
        <v>0.36437043141455649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1.1527845344971866E-13</v>
      </c>
      <c r="P141" s="14">
        <f t="shared" si="141"/>
        <v>1.7033846239409443E-12</v>
      </c>
      <c r="Q141" s="22">
        <f t="shared" si="108"/>
        <v>3.1675048597887374E-12</v>
      </c>
      <c r="R141" s="62">
        <f t="shared" si="109"/>
        <v>285.14132726550912</v>
      </c>
      <c r="S141" s="62">
        <f ca="1">AVERAGE(OFFSET($R$3,0,0,'Données projet'!$E$9+1,1))-AVERAGE(OFFSET($H$3,0,0,'Données projet'!$E$9+1,1))</f>
        <v>446.90706503298787</v>
      </c>
      <c r="T141" s="62">
        <f t="shared" si="142"/>
        <v>275.54513370838777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0.15143669783227226</v>
      </c>
      <c r="AB141" s="23">
        <f>EXP(-LN(2)/2)*AB140+(1-EXP(-LN(2)/2))/(LN(2)/2)*V141*Y141*VLOOKUP('Données projet'!$B$9,Paramètres!$A$1:$I$89,3,0)*0.475*44/12</f>
        <v>7.8071013452501984E-16</v>
      </c>
      <c r="AC141" s="24">
        <f t="shared" si="111"/>
        <v>0.15143669783227304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1.1368683772161603E-13</v>
      </c>
      <c r="AJ141" s="14">
        <f>AI141*VLOOKUP('Données projet'!$B$10,Paramètres!$A$1:$I$89,3,0)*VLOOKUP('Données projet'!$B$10,Paramètres!$A$1:$I$89,5,0)</f>
        <v>7.626113074366004E-14</v>
      </c>
      <c r="AK141" s="14">
        <f t="shared" si="143"/>
        <v>1.1823749172251317E-12</v>
      </c>
      <c r="AL141" s="22">
        <f t="shared" si="112"/>
        <v>2.1921244502123119E-12</v>
      </c>
      <c r="AM141" s="62">
        <f t="shared" si="113"/>
        <v>285.14132726550815</v>
      </c>
      <c r="AN141" s="62">
        <f ca="1">AVERAGE(OFFSET($AM$3,0,0,'Données projet'!$E$10+1,1))-AVERAGE(OFFSET($H$3,0,0,'Données projet'!$E$10+1,1))</f>
        <v>312.88185844251097</v>
      </c>
      <c r="AO141" s="62">
        <f t="shared" si="144"/>
        <v>202.68317767036231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0.12347915361708341</v>
      </c>
      <c r="AW141" s="23">
        <f>EXP(-LN(2)/2)*AW140+(1-EXP(-LN(2)/2))/(LN(2)/2)*AQ141*AT141*VLOOKUP('Données projet'!$B$10,Paramètres!$A$1:$I$89,3,0)*0.475*44/12</f>
        <v>5.6615675880266219E-16</v>
      </c>
      <c r="AX141" s="23">
        <f t="shared" si="114"/>
        <v>0.12347915361708398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-1.1368683772161603E-13</v>
      </c>
      <c r="BE141" s="14">
        <f>BD141*VLOOKUP('Données projet'!$B$11,Paramètres!$A$1:$I$89,3,0)*VLOOKUP('Données projet'!$B$11,Paramètres!$A$1:$I$89,5,0)</f>
        <v>-9.9316821433603781E-14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287.22548699835653</v>
      </c>
      <c r="BJ141" s="62">
        <f t="shared" si="146"/>
        <v>276.01618888357268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0.35440670280611625</v>
      </c>
      <c r="BR141" s="23">
        <f>EXP(-LN(2)/2)*BR140+(1-EXP(-LN(2)/2))/(LN(2)/2)*BL141*BO141*VLOOKUP('Données projet'!$B$11,Paramètres!$A$1:$I$89,3,0)*0.475*44/12</f>
        <v>7.2545381257238991E-16</v>
      </c>
      <c r="BS141" s="24">
        <f t="shared" si="117"/>
        <v>0.35440670280611697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1.1527845344971866E-13</v>
      </c>
      <c r="P142" s="14">
        <f t="shared" si="141"/>
        <v>1.7033846239409443E-12</v>
      </c>
      <c r="Q142" s="22">
        <f t="shared" si="108"/>
        <v>3.1675048597887374E-12</v>
      </c>
      <c r="R142" s="62">
        <f t="shared" si="109"/>
        <v>285.28344025620407</v>
      </c>
      <c r="S142" s="62">
        <f ca="1">AVERAGE(OFFSET($R$3,0,0,'Données projet'!$E$9+1,1))-AVERAGE(OFFSET($H$3,0,0,'Données projet'!$E$9+1,1))</f>
        <v>446.90706503298787</v>
      </c>
      <c r="T142" s="62">
        <f t="shared" si="142"/>
        <v>275.54513370838777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0.14729565336633896</v>
      </c>
      <c r="AB142" s="23">
        <f>EXP(-LN(2)/2)*AB141+(1-EXP(-LN(2)/2))/(LN(2)/2)*V142*Y142*VLOOKUP('Données projet'!$B$9,Paramètres!$A$1:$I$89,3,0)*0.475*44/12</f>
        <v>5.5204543026370328E-16</v>
      </c>
      <c r="AC142" s="24">
        <f t="shared" si="111"/>
        <v>0.14729565336633951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1.1368683772161603E-13</v>
      </c>
      <c r="AJ142" s="14">
        <f>AI142*VLOOKUP('Données projet'!$B$10,Paramètres!$A$1:$I$89,3,0)*VLOOKUP('Données projet'!$B$10,Paramètres!$A$1:$I$89,5,0)</f>
        <v>7.626113074366004E-14</v>
      </c>
      <c r="AK142" s="14">
        <f t="shared" si="143"/>
        <v>1.1823749172251317E-12</v>
      </c>
      <c r="AL142" s="22">
        <f t="shared" si="112"/>
        <v>2.1921244502123119E-12</v>
      </c>
      <c r="AM142" s="62">
        <f t="shared" si="113"/>
        <v>285.28344025620311</v>
      </c>
      <c r="AN142" s="62">
        <f ca="1">AVERAGE(OFFSET($AM$3,0,0,'Données projet'!$E$10+1,1))-AVERAGE(OFFSET($H$3,0,0,'Données projet'!$E$10+1,1))</f>
        <v>312.88185844251097</v>
      </c>
      <c r="AO142" s="62">
        <f t="shared" si="144"/>
        <v>202.68317767036231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0.12010260966793779</v>
      </c>
      <c r="AW142" s="23">
        <f>EXP(-LN(2)/2)*AW141+(1-EXP(-LN(2)/2))/(LN(2)/2)*AQ142*AT142*VLOOKUP('Données projet'!$B$10,Paramètres!$A$1:$I$89,3,0)*0.475*44/12</f>
        <v>4.0033328336395902E-16</v>
      </c>
      <c r="AX142" s="23">
        <f t="shared" si="114"/>
        <v>0.12010260966793819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-1.1368683772161603E-13</v>
      </c>
      <c r="BE142" s="14">
        <f>BD142*VLOOKUP('Données projet'!$B$11,Paramètres!$A$1:$I$89,3,0)*VLOOKUP('Données projet'!$B$11,Paramètres!$A$1:$I$89,5,0)</f>
        <v>-9.9316821433603781E-14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287.22548699835653</v>
      </c>
      <c r="BJ142" s="62">
        <f t="shared" si="146"/>
        <v>276.01618888357268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0.34471543288044448</v>
      </c>
      <c r="BR142" s="23">
        <f>EXP(-LN(2)/2)*BR141+(1-EXP(-LN(2)/2))/(LN(2)/2)*BL142*BO142*VLOOKUP('Données projet'!$B$11,Paramètres!$A$1:$I$89,3,0)*0.475*44/12</f>
        <v>5.1297331030757157E-16</v>
      </c>
      <c r="BS142" s="24">
        <f t="shared" si="117"/>
        <v>0.34471543288044498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1.1527845344971866E-13</v>
      </c>
      <c r="P143" s="14">
        <f t="shared" si="141"/>
        <v>1.7033846239409443E-12</v>
      </c>
      <c r="Q143" s="22">
        <f t="shared" si="108"/>
        <v>3.1675048597887374E-12</v>
      </c>
      <c r="R143" s="62">
        <f t="shared" si="109"/>
        <v>285.42308790422754</v>
      </c>
      <c r="S143" s="62">
        <f ca="1">AVERAGE(OFFSET($R$3,0,0,'Données projet'!$E$9+1,1))-AVERAGE(OFFSET($H$3,0,0,'Données projet'!$E$9+1,1))</f>
        <v>446.90706503298787</v>
      </c>
      <c r="T143" s="62">
        <f t="shared" si="142"/>
        <v>275.54513370838777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0.14326784597909464</v>
      </c>
      <c r="AB143" s="23">
        <f>EXP(-LN(2)/2)*AB142+(1-EXP(-LN(2)/2))/(LN(2)/2)*V143*Y143*VLOOKUP('Données projet'!$B$9,Paramètres!$A$1:$I$89,3,0)*0.475*44/12</f>
        <v>3.9035506726250992E-16</v>
      </c>
      <c r="AC143" s="24">
        <f t="shared" si="111"/>
        <v>0.14326784597909503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1.1368683772161603E-13</v>
      </c>
      <c r="AJ143" s="14">
        <f>AI143*VLOOKUP('Données projet'!$B$10,Paramètres!$A$1:$I$89,3,0)*VLOOKUP('Données projet'!$B$10,Paramètres!$A$1:$I$89,5,0)</f>
        <v>7.626113074366004E-14</v>
      </c>
      <c r="AK143" s="14">
        <f t="shared" si="143"/>
        <v>1.1823749172251317E-12</v>
      </c>
      <c r="AL143" s="22">
        <f t="shared" si="112"/>
        <v>2.1921244502123119E-12</v>
      </c>
      <c r="AM143" s="62">
        <f t="shared" si="113"/>
        <v>285.42308790422658</v>
      </c>
      <c r="AN143" s="62">
        <f ca="1">AVERAGE(OFFSET($AM$3,0,0,'Données projet'!$E$10+1,1))-AVERAGE(OFFSET($H$3,0,0,'Données projet'!$E$10+1,1))</f>
        <v>312.88185844251097</v>
      </c>
      <c r="AO143" s="62">
        <f t="shared" si="144"/>
        <v>202.68317767036231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0.11681839749064628</v>
      </c>
      <c r="AW143" s="23">
        <f>EXP(-LN(2)/2)*AW142+(1-EXP(-LN(2)/2))/(LN(2)/2)*AQ143*AT143*VLOOKUP('Données projet'!$B$10,Paramètres!$A$1:$I$89,3,0)*0.475*44/12</f>
        <v>2.830783794013311E-16</v>
      </c>
      <c r="AX143" s="23">
        <f t="shared" si="114"/>
        <v>0.11681839749064656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-1.1368683772161603E-13</v>
      </c>
      <c r="BE143" s="14">
        <f>BD143*VLOOKUP('Données projet'!$B$11,Paramètres!$A$1:$I$89,3,0)*VLOOKUP('Données projet'!$B$11,Paramètres!$A$1:$I$89,5,0)</f>
        <v>-9.9316821433603781E-14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287.22548699835653</v>
      </c>
      <c r="BJ143" s="62">
        <f t="shared" si="146"/>
        <v>276.01618888357268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0.33528917124053198</v>
      </c>
      <c r="BR143" s="23">
        <f>EXP(-LN(2)/2)*BR142+(1-EXP(-LN(2)/2))/(LN(2)/2)*BL143*BO143*VLOOKUP('Données projet'!$B$11,Paramètres!$A$1:$I$89,3,0)*0.475*44/12</f>
        <v>3.6272690628619495E-16</v>
      </c>
      <c r="BS143" s="24">
        <f t="shared" si="117"/>
        <v>0.33528917124053237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1.1527845344971866E-13</v>
      </c>
      <c r="P144" s="14">
        <f t="shared" si="141"/>
        <v>1.7033846239409443E-12</v>
      </c>
      <c r="Q144" s="22">
        <f t="shared" si="108"/>
        <v>3.1675048597887374E-12</v>
      </c>
      <c r="R144" s="62">
        <f t="shared" si="109"/>
        <v>285.5603129777632</v>
      </c>
      <c r="S144" s="62">
        <f ca="1">AVERAGE(OFFSET($R$3,0,0,'Données projet'!$E$9+1,1))-AVERAGE(OFFSET($H$3,0,0,'Données projet'!$E$9+1,1))</f>
        <v>446.90706503298787</v>
      </c>
      <c r="T144" s="62">
        <f t="shared" si="142"/>
        <v>275.54513370838777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0.13935017919666773</v>
      </c>
      <c r="AB144" s="23">
        <f>EXP(-LN(2)/2)*AB143+(1-EXP(-LN(2)/2))/(LN(2)/2)*V144*Y144*VLOOKUP('Données projet'!$B$9,Paramètres!$A$1:$I$89,3,0)*0.475*44/12</f>
        <v>2.7602271513185164E-16</v>
      </c>
      <c r="AC144" s="24">
        <f t="shared" si="111"/>
        <v>0.13935017919666801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1.1368683772161603E-13</v>
      </c>
      <c r="AJ144" s="14">
        <f>AI144*VLOOKUP('Données projet'!$B$10,Paramètres!$A$1:$I$89,3,0)*VLOOKUP('Données projet'!$B$10,Paramètres!$A$1:$I$89,5,0)</f>
        <v>7.626113074366004E-14</v>
      </c>
      <c r="AK144" s="14">
        <f t="shared" si="143"/>
        <v>1.1823749172251317E-12</v>
      </c>
      <c r="AL144" s="22">
        <f t="shared" si="112"/>
        <v>2.1921244502123119E-12</v>
      </c>
      <c r="AM144" s="62">
        <f t="shared" si="113"/>
        <v>285.56031297776224</v>
      </c>
      <c r="AN144" s="62">
        <f ca="1">AVERAGE(OFFSET($AM$3,0,0,'Données projet'!$E$10+1,1))-AVERAGE(OFFSET($H$3,0,0,'Données projet'!$E$10+1,1))</f>
        <v>312.88185844251097</v>
      </c>
      <c r="AO144" s="62">
        <f t="shared" si="144"/>
        <v>202.68317767036231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0.11362399226805202</v>
      </c>
      <c r="AW144" s="23">
        <f>EXP(-LN(2)/2)*AW143+(1-EXP(-LN(2)/2))/(LN(2)/2)*AQ144*AT144*VLOOKUP('Données projet'!$B$10,Paramètres!$A$1:$I$89,3,0)*0.475*44/12</f>
        <v>2.0016664168197951E-16</v>
      </c>
      <c r="AX144" s="23">
        <f t="shared" si="114"/>
        <v>0.11362399226805221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-1.1368683772161603E-13</v>
      </c>
      <c r="BE144" s="14">
        <f>BD144*VLOOKUP('Données projet'!$B$11,Paramètres!$A$1:$I$89,3,0)*VLOOKUP('Données projet'!$B$11,Paramètres!$A$1:$I$89,5,0)</f>
        <v>-9.9316821433603781E-14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287.22548699835653</v>
      </c>
      <c r="BJ144" s="62">
        <f t="shared" si="146"/>
        <v>276.01618888357268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0.32612067122086841</v>
      </c>
      <c r="BR144" s="23">
        <f>EXP(-LN(2)/2)*BR143+(1-EXP(-LN(2)/2))/(LN(2)/2)*BL144*BO144*VLOOKUP('Données projet'!$B$11,Paramètres!$A$1:$I$89,3,0)*0.475*44/12</f>
        <v>2.5648665515378578E-16</v>
      </c>
      <c r="BS144" s="24">
        <f t="shared" si="117"/>
        <v>0.32612067122086869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1.1527845344971866E-13</v>
      </c>
      <c r="P145" s="14">
        <f t="shared" si="141"/>
        <v>1.7033846239409443E-12</v>
      </c>
      <c r="Q145" s="22">
        <f t="shared" si="108"/>
        <v>3.1675048597887374E-12</v>
      </c>
      <c r="R145" s="62">
        <f t="shared" si="109"/>
        <v>285.69515750306226</v>
      </c>
      <c r="S145" s="62">
        <f ca="1">AVERAGE(OFFSET($R$3,0,0,'Données projet'!$E$9+1,1))-AVERAGE(OFFSET($H$3,0,0,'Données projet'!$E$9+1,1))</f>
        <v>446.90706503298787</v>
      </c>
      <c r="T145" s="62">
        <f t="shared" si="142"/>
        <v>275.54513370838777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0.1355396412184274</v>
      </c>
      <c r="AB145" s="23">
        <f>EXP(-LN(2)/2)*AB144+(1-EXP(-LN(2)/2))/(LN(2)/2)*V145*Y145*VLOOKUP('Données projet'!$B$9,Paramètres!$A$1:$I$89,3,0)*0.475*44/12</f>
        <v>1.9517753363125496E-16</v>
      </c>
      <c r="AC145" s="24">
        <f t="shared" si="111"/>
        <v>0.1355396412184276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1.1368683772161603E-13</v>
      </c>
      <c r="AJ145" s="14">
        <f>AI145*VLOOKUP('Données projet'!$B$10,Paramètres!$A$1:$I$89,3,0)*VLOOKUP('Données projet'!$B$10,Paramètres!$A$1:$I$89,5,0)</f>
        <v>7.626113074366004E-14</v>
      </c>
      <c r="AK145" s="14">
        <f t="shared" si="143"/>
        <v>1.1823749172251317E-12</v>
      </c>
      <c r="AL145" s="22">
        <f t="shared" si="112"/>
        <v>2.1921244502123119E-12</v>
      </c>
      <c r="AM145" s="62">
        <f t="shared" si="113"/>
        <v>285.6951575030613</v>
      </c>
      <c r="AN145" s="62">
        <f ca="1">AVERAGE(OFFSET($AM$3,0,0,'Données projet'!$E$10+1,1))-AVERAGE(OFFSET($H$3,0,0,'Données projet'!$E$10+1,1))</f>
        <v>312.88185844251097</v>
      </c>
      <c r="AO145" s="62">
        <f t="shared" si="144"/>
        <v>202.68317767036231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0.11051693822425607</v>
      </c>
      <c r="AW145" s="23">
        <f>EXP(-LN(2)/2)*AW144+(1-EXP(-LN(2)/2))/(LN(2)/2)*AQ145*AT145*VLOOKUP('Données projet'!$B$10,Paramètres!$A$1:$I$89,3,0)*0.475*44/12</f>
        <v>1.4153918970066555E-16</v>
      </c>
      <c r="AX145" s="23">
        <f t="shared" si="114"/>
        <v>0.11051693822425621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-1.1368683772161603E-13</v>
      </c>
      <c r="BE145" s="14">
        <f>BD145*VLOOKUP('Données projet'!$B$11,Paramètres!$A$1:$I$89,3,0)*VLOOKUP('Données projet'!$B$11,Paramètres!$A$1:$I$89,5,0)</f>
        <v>-9.9316821433603781E-14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287.22548699835653</v>
      </c>
      <c r="BJ145" s="62">
        <f t="shared" si="146"/>
        <v>276.01618888357268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0.31720288431639304</v>
      </c>
      <c r="BR145" s="23">
        <f>EXP(-LN(2)/2)*BR144+(1-EXP(-LN(2)/2))/(LN(2)/2)*BL145*BO145*VLOOKUP('Données projet'!$B$11,Paramètres!$A$1:$I$89,3,0)*0.475*44/12</f>
        <v>1.8136345314309748E-16</v>
      </c>
      <c r="BS145" s="24">
        <f t="shared" si="117"/>
        <v>0.31720288431639321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1.1527845344971866E-13</v>
      </c>
      <c r="P146" s="14">
        <f t="shared" si="141"/>
        <v>1.7033846239409443E-12</v>
      </c>
      <c r="Q146" s="22">
        <f t="shared" si="108"/>
        <v>3.1675048597887374E-12</v>
      </c>
      <c r="R146" s="62">
        <f t="shared" si="109"/>
        <v>285.82766277731463</v>
      </c>
      <c r="S146" s="62">
        <f ca="1">AVERAGE(OFFSET($R$3,0,0,'Données projet'!$E$9+1,1))-AVERAGE(OFFSET($H$3,0,0,'Données projet'!$E$9+1,1))</f>
        <v>446.90706503298787</v>
      </c>
      <c r="T146" s="62">
        <f t="shared" si="142"/>
        <v>275.54513370838777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0.13183330260158954</v>
      </c>
      <c r="AB146" s="23">
        <f>EXP(-LN(2)/2)*AB145+(1-EXP(-LN(2)/2))/(LN(2)/2)*V146*Y146*VLOOKUP('Données projet'!$B$9,Paramètres!$A$1:$I$89,3,0)*0.475*44/12</f>
        <v>1.3801135756592582E-16</v>
      </c>
      <c r="AC146" s="24">
        <f t="shared" si="111"/>
        <v>0.13183330260158968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1.1368683772161603E-13</v>
      </c>
      <c r="AJ146" s="14">
        <f>AI146*VLOOKUP('Données projet'!$B$10,Paramètres!$A$1:$I$89,3,0)*VLOOKUP('Données projet'!$B$10,Paramètres!$A$1:$I$89,5,0)</f>
        <v>7.626113074366004E-14</v>
      </c>
      <c r="AK146" s="14">
        <f t="shared" si="143"/>
        <v>1.1823749172251317E-12</v>
      </c>
      <c r="AL146" s="22">
        <f t="shared" si="112"/>
        <v>2.1921244502123119E-12</v>
      </c>
      <c r="AM146" s="62">
        <f t="shared" si="113"/>
        <v>285.82766277731366</v>
      </c>
      <c r="AN146" s="62">
        <f ca="1">AVERAGE(OFFSET($AM$3,0,0,'Données projet'!$E$10+1,1))-AVERAGE(OFFSET($H$3,0,0,'Données projet'!$E$10+1,1))</f>
        <v>312.88185844251097</v>
      </c>
      <c r="AO146" s="62">
        <f t="shared" si="144"/>
        <v>202.68317767036231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0.1074948467366806</v>
      </c>
      <c r="AW146" s="23">
        <f>EXP(-LN(2)/2)*AW145+(1-EXP(-LN(2)/2))/(LN(2)/2)*AQ146*AT146*VLOOKUP('Données projet'!$B$10,Paramètres!$A$1:$I$89,3,0)*0.475*44/12</f>
        <v>1.0008332084098976E-16</v>
      </c>
      <c r="AX146" s="23">
        <f t="shared" si="114"/>
        <v>0.10749484673668069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-1.1368683772161603E-13</v>
      </c>
      <c r="BE146" s="14">
        <f>BD146*VLOOKUP('Données projet'!$B$11,Paramètres!$A$1:$I$89,3,0)*VLOOKUP('Données projet'!$B$11,Paramètres!$A$1:$I$89,5,0)</f>
        <v>-9.9316821433603781E-14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287.22548699835653</v>
      </c>
      <c r="BJ146" s="62">
        <f t="shared" si="146"/>
        <v>276.01618888357268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0.30852895476378656</v>
      </c>
      <c r="BR146" s="23">
        <f>EXP(-LN(2)/2)*BR145+(1-EXP(-LN(2)/2))/(LN(2)/2)*BL146*BO146*VLOOKUP('Données projet'!$B$11,Paramètres!$A$1:$I$89,3,0)*0.475*44/12</f>
        <v>1.2824332757689289E-16</v>
      </c>
      <c r="BS146" s="24">
        <f t="shared" si="117"/>
        <v>0.30852895476378667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1.1527845344971866E-13</v>
      </c>
      <c r="P147" s="14">
        <f t="shared" si="141"/>
        <v>1.7033846239409443E-12</v>
      </c>
      <c r="Q147" s="22">
        <f t="shared" si="108"/>
        <v>3.1675048597887374E-12</v>
      </c>
      <c r="R147" s="62">
        <f t="shared" si="109"/>
        <v>285.95786938129606</v>
      </c>
      <c r="S147" s="62">
        <f ca="1">AVERAGE(OFFSET($R$3,0,0,'Données projet'!$E$9+1,1))-AVERAGE(OFFSET($H$3,0,0,'Données projet'!$E$9+1,1))</f>
        <v>446.90706503298787</v>
      </c>
      <c r="T147" s="62">
        <f t="shared" si="142"/>
        <v>275.54513370838777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0.12822831400913701</v>
      </c>
      <c r="AB147" s="23">
        <f>EXP(-LN(2)/2)*AB146+(1-EXP(-LN(2)/2))/(LN(2)/2)*V147*Y147*VLOOKUP('Données projet'!$B$9,Paramètres!$A$1:$I$89,3,0)*0.475*44/12</f>
        <v>9.758876681562748E-17</v>
      </c>
      <c r="AC147" s="24">
        <f t="shared" si="111"/>
        <v>0.12822831400913712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1.1368683772161603E-13</v>
      </c>
      <c r="AJ147" s="14">
        <f>AI147*VLOOKUP('Données projet'!$B$10,Paramètres!$A$1:$I$89,3,0)*VLOOKUP('Données projet'!$B$10,Paramètres!$A$1:$I$89,5,0)</f>
        <v>7.626113074366004E-14</v>
      </c>
      <c r="AK147" s="14">
        <f t="shared" si="143"/>
        <v>1.1823749172251317E-12</v>
      </c>
      <c r="AL147" s="22">
        <f t="shared" si="112"/>
        <v>2.1921244502123119E-12</v>
      </c>
      <c r="AM147" s="62">
        <f t="shared" si="113"/>
        <v>285.9578693812951</v>
      </c>
      <c r="AN147" s="62">
        <f ca="1">AVERAGE(OFFSET($AM$3,0,0,'Données projet'!$E$10+1,1))-AVERAGE(OFFSET($H$3,0,0,'Données projet'!$E$10+1,1))</f>
        <v>312.88185844251097</v>
      </c>
      <c r="AO147" s="62">
        <f t="shared" si="144"/>
        <v>202.68317767036231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0.10455539449975776</v>
      </c>
      <c r="AW147" s="23">
        <f>EXP(-LN(2)/2)*AW146+(1-EXP(-LN(2)/2))/(LN(2)/2)*AQ147*AT147*VLOOKUP('Données projet'!$B$10,Paramètres!$A$1:$I$89,3,0)*0.475*44/12</f>
        <v>7.0769594850332774E-17</v>
      </c>
      <c r="AX147" s="23">
        <f t="shared" si="114"/>
        <v>0.10455539449975783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-1.1368683772161603E-13</v>
      </c>
      <c r="BE147" s="14">
        <f>BD147*VLOOKUP('Données projet'!$B$11,Paramètres!$A$1:$I$89,3,0)*VLOOKUP('Données projet'!$B$11,Paramètres!$A$1:$I$89,5,0)</f>
        <v>-9.9316821433603781E-14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287.22548699835653</v>
      </c>
      <c r="BJ147" s="62">
        <f t="shared" si="146"/>
        <v>276.01618888357268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0.30009221427093824</v>
      </c>
      <c r="BR147" s="23">
        <f>EXP(-LN(2)/2)*BR146+(1-EXP(-LN(2)/2))/(LN(2)/2)*BL147*BO147*VLOOKUP('Données projet'!$B$11,Paramètres!$A$1:$I$89,3,0)*0.475*44/12</f>
        <v>9.0681726571548739E-17</v>
      </c>
      <c r="BS147" s="24">
        <f t="shared" si="117"/>
        <v>0.30009221427093835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1.1527845344971866E-13</v>
      </c>
      <c r="P148" s="14">
        <f t="shared" si="141"/>
        <v>1.7033846239409443E-12</v>
      </c>
      <c r="Q148" s="22">
        <f t="shared" si="108"/>
        <v>3.1675048597887374E-12</v>
      </c>
      <c r="R148" s="62">
        <f t="shared" si="109"/>
        <v>286.08581719179676</v>
      </c>
      <c r="S148" s="62">
        <f ca="1">AVERAGE(OFFSET($R$3,0,0,'Données projet'!$E$9+1,1))-AVERAGE(OFFSET($H$3,0,0,'Données projet'!$E$9+1,1))</f>
        <v>446.90706503298787</v>
      </c>
      <c r="T148" s="62">
        <f t="shared" si="142"/>
        <v>275.54513370838777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0.12472190401932319</v>
      </c>
      <c r="AB148" s="23">
        <f>EXP(-LN(2)/2)*AB147+(1-EXP(-LN(2)/2))/(LN(2)/2)*V148*Y148*VLOOKUP('Données projet'!$B$9,Paramètres!$A$1:$I$89,3,0)*0.475*44/12</f>
        <v>6.9005678782962911E-17</v>
      </c>
      <c r="AC148" s="24">
        <f t="shared" si="111"/>
        <v>0.12472190401932326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1.1368683772161603E-13</v>
      </c>
      <c r="AJ148" s="14">
        <f>AI148*VLOOKUP('Données projet'!$B$10,Paramètres!$A$1:$I$89,3,0)*VLOOKUP('Données projet'!$B$10,Paramètres!$A$1:$I$89,5,0)</f>
        <v>7.626113074366004E-14</v>
      </c>
      <c r="AK148" s="14">
        <f t="shared" si="143"/>
        <v>1.1823749172251317E-12</v>
      </c>
      <c r="AL148" s="22">
        <f t="shared" si="112"/>
        <v>2.1921244502123119E-12</v>
      </c>
      <c r="AM148" s="62">
        <f t="shared" si="113"/>
        <v>286.0858171917958</v>
      </c>
      <c r="AN148" s="62">
        <f ca="1">AVERAGE(OFFSET($AM$3,0,0,'Données projet'!$E$10+1,1))-AVERAGE(OFFSET($H$3,0,0,'Données projet'!$E$10+1,1))</f>
        <v>312.88185844251097</v>
      </c>
      <c r="AO148" s="62">
        <f t="shared" si="144"/>
        <v>202.68317767036231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0.10169632173883265</v>
      </c>
      <c r="AW148" s="23">
        <f>EXP(-LN(2)/2)*AW147+(1-EXP(-LN(2)/2))/(LN(2)/2)*AQ148*AT148*VLOOKUP('Données projet'!$B$10,Paramètres!$A$1:$I$89,3,0)*0.475*44/12</f>
        <v>5.0041660420494878E-17</v>
      </c>
      <c r="AX148" s="23">
        <f t="shared" si="114"/>
        <v>0.10169632173883271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-1.1368683772161603E-13</v>
      </c>
      <c r="BE148" s="14">
        <f>BD148*VLOOKUP('Données projet'!$B$11,Paramètres!$A$1:$I$89,3,0)*VLOOKUP('Données projet'!$B$11,Paramètres!$A$1:$I$89,5,0)</f>
        <v>-9.9316821433603781E-14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287.22548699835653</v>
      </c>
      <c r="BJ148" s="62">
        <f t="shared" si="146"/>
        <v>276.01618888357268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0.29188617689053575</v>
      </c>
      <c r="BR148" s="23">
        <f>EXP(-LN(2)/2)*BR147+(1-EXP(-LN(2)/2))/(LN(2)/2)*BL148*BO148*VLOOKUP('Données projet'!$B$11,Paramètres!$A$1:$I$89,3,0)*0.475*44/12</f>
        <v>6.4121663788446446E-17</v>
      </c>
      <c r="BS148" s="24">
        <f t="shared" si="117"/>
        <v>0.29188617689053581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1.1527845344971866E-13</v>
      </c>
      <c r="P149" s="14">
        <f t="shared" si="141"/>
        <v>1.7033846239409443E-12</v>
      </c>
      <c r="Q149" s="22">
        <f t="shared" si="108"/>
        <v>3.1675048597887374E-12</v>
      </c>
      <c r="R149" s="62">
        <f t="shared" si="109"/>
        <v>286.21154539383383</v>
      </c>
      <c r="S149" s="62">
        <f ca="1">AVERAGE(OFFSET($R$3,0,0,'Données projet'!$E$9+1,1))-AVERAGE(OFFSET($H$3,0,0,'Données projet'!$E$9+1,1))</f>
        <v>446.90706503298787</v>
      </c>
      <c r="T149" s="62">
        <f t="shared" si="142"/>
        <v>275.54513370838777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0.12131137699507492</v>
      </c>
      <c r="AB149" s="23">
        <f>EXP(-LN(2)/2)*AB148+(1-EXP(-LN(2)/2))/(LN(2)/2)*V149*Y149*VLOOKUP('Données projet'!$B$9,Paramètres!$A$1:$I$89,3,0)*0.475*44/12</f>
        <v>4.879438340781374E-17</v>
      </c>
      <c r="AC149" s="24">
        <f t="shared" si="111"/>
        <v>0.12131137699507498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1.1368683772161603E-13</v>
      </c>
      <c r="AJ149" s="14">
        <f>AI149*VLOOKUP('Données projet'!$B$10,Paramètres!$A$1:$I$89,3,0)*VLOOKUP('Données projet'!$B$10,Paramètres!$A$1:$I$89,5,0)</f>
        <v>7.626113074366004E-14</v>
      </c>
      <c r="AK149" s="14">
        <f t="shared" si="143"/>
        <v>1.1823749172251317E-12</v>
      </c>
      <c r="AL149" s="22">
        <f t="shared" si="112"/>
        <v>2.1921244502123119E-12</v>
      </c>
      <c r="AM149" s="62">
        <f t="shared" si="113"/>
        <v>286.21154539383286</v>
      </c>
      <c r="AN149" s="62">
        <f ca="1">AVERAGE(OFFSET($AM$3,0,0,'Données projet'!$E$10+1,1))-AVERAGE(OFFSET($H$3,0,0,'Données projet'!$E$10+1,1))</f>
        <v>312.88185844251097</v>
      </c>
      <c r="AO149" s="62">
        <f t="shared" si="144"/>
        <v>202.68317767036231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9.8915430472907143E-2</v>
      </c>
      <c r="AW149" s="23">
        <f>EXP(-LN(2)/2)*AW148+(1-EXP(-LN(2)/2))/(LN(2)/2)*AQ149*AT149*VLOOKUP('Données projet'!$B$10,Paramètres!$A$1:$I$89,3,0)*0.475*44/12</f>
        <v>3.5384797425166387E-17</v>
      </c>
      <c r="AX149" s="23">
        <f t="shared" si="114"/>
        <v>9.8915430472907184E-2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-1.1368683772161603E-13</v>
      </c>
      <c r="BE149" s="14">
        <f>BD149*VLOOKUP('Données projet'!$B$11,Paramètres!$A$1:$I$89,3,0)*VLOOKUP('Données projet'!$B$11,Paramètres!$A$1:$I$89,5,0)</f>
        <v>-9.9316821433603781E-14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287.22548699835653</v>
      </c>
      <c r="BJ149" s="62">
        <f t="shared" si="146"/>
        <v>276.01618888357268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0.28390453403383714</v>
      </c>
      <c r="BR149" s="23">
        <f>EXP(-LN(2)/2)*BR148+(1-EXP(-LN(2)/2))/(LN(2)/2)*BL149*BO149*VLOOKUP('Données projet'!$B$11,Paramètres!$A$1:$I$89,3,0)*0.475*44/12</f>
        <v>4.5340863285774369E-17</v>
      </c>
      <c r="BS149" s="24">
        <f t="shared" si="117"/>
        <v>0.2839045340338372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1.1527845344971866E-13</v>
      </c>
      <c r="P150" s="14">
        <f t="shared" si="141"/>
        <v>1.7033846239409443E-12</v>
      </c>
      <c r="Q150" s="22">
        <f t="shared" si="108"/>
        <v>3.1675048597887374E-12</v>
      </c>
      <c r="R150" s="62">
        <f t="shared" si="109"/>
        <v>286.3350924926516</v>
      </c>
      <c r="S150" s="62">
        <f ca="1">AVERAGE(OFFSET($R$3,0,0,'Données projet'!$E$9+1,1))-AVERAGE(OFFSET($H$3,0,0,'Données projet'!$E$9+1,1))</f>
        <v>446.90706503298787</v>
      </c>
      <c r="T150" s="62">
        <f t="shared" si="142"/>
        <v>275.54513370838777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0.11799411101165655</v>
      </c>
      <c r="AB150" s="23">
        <f>EXP(-LN(2)/2)*AB149+(1-EXP(-LN(2)/2))/(LN(2)/2)*V150*Y150*VLOOKUP('Données projet'!$B$9,Paramètres!$A$1:$I$89,3,0)*0.475*44/12</f>
        <v>3.4502839391481455E-17</v>
      </c>
      <c r="AC150" s="24">
        <f t="shared" si="111"/>
        <v>0.11799411101165658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1.1368683772161603E-13</v>
      </c>
      <c r="AJ150" s="14">
        <f>AI150*VLOOKUP('Données projet'!$B$10,Paramètres!$A$1:$I$89,3,0)*VLOOKUP('Données projet'!$B$10,Paramètres!$A$1:$I$89,5,0)</f>
        <v>7.626113074366004E-14</v>
      </c>
      <c r="AK150" s="14">
        <f t="shared" si="143"/>
        <v>1.1823749172251317E-12</v>
      </c>
      <c r="AL150" s="22">
        <f t="shared" si="112"/>
        <v>2.1921244502123119E-12</v>
      </c>
      <c r="AM150" s="62">
        <f t="shared" si="113"/>
        <v>286.33509249265063</v>
      </c>
      <c r="AN150" s="62">
        <f ca="1">AVERAGE(OFFSET($AM$3,0,0,'Données projet'!$E$10+1,1))-AVERAGE(OFFSET($H$3,0,0,'Données projet'!$E$10+1,1))</f>
        <v>312.88185844251097</v>
      </c>
      <c r="AO150" s="62">
        <f t="shared" si="144"/>
        <v>202.68317767036231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9.6210582824889077E-2</v>
      </c>
      <c r="AW150" s="23">
        <f>EXP(-LN(2)/2)*AW149+(1-EXP(-LN(2)/2))/(LN(2)/2)*AQ150*AT150*VLOOKUP('Données projet'!$B$10,Paramètres!$A$1:$I$89,3,0)*0.475*44/12</f>
        <v>2.5020830210247439E-17</v>
      </c>
      <c r="AX150" s="23">
        <f t="shared" si="114"/>
        <v>9.6210582824889104E-2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-1.1368683772161603E-13</v>
      </c>
      <c r="BE150" s="14">
        <f>BD150*VLOOKUP('Données projet'!$B$11,Paramètres!$A$1:$I$89,3,0)*VLOOKUP('Données projet'!$B$11,Paramètres!$A$1:$I$89,5,0)</f>
        <v>-9.9316821433603781E-14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287.22548699835653</v>
      </c>
      <c r="BJ150" s="62">
        <f t="shared" si="146"/>
        <v>276.01618888357268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0.27614114962079128</v>
      </c>
      <c r="BR150" s="23">
        <f>EXP(-LN(2)/2)*BR149+(1-EXP(-LN(2)/2))/(LN(2)/2)*BL150*BO150*VLOOKUP('Données projet'!$B$11,Paramètres!$A$1:$I$89,3,0)*0.475*44/12</f>
        <v>3.2060831894223223E-17</v>
      </c>
      <c r="BS150" s="24">
        <f t="shared" si="117"/>
        <v>0.27614114962079134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1.1527845344971866E-13</v>
      </c>
      <c r="P151" s="14">
        <f t="shared" si="141"/>
        <v>1.7033846239409443E-12</v>
      </c>
      <c r="Q151" s="22">
        <f t="shared" si="108"/>
        <v>3.1675048597887374E-12</v>
      </c>
      <c r="R151" s="62">
        <f t="shared" si="109"/>
        <v>286.45649632551488</v>
      </c>
      <c r="S151" s="62">
        <f ca="1">AVERAGE(OFFSET($R$3,0,0,'Données projet'!$E$9+1,1))-AVERAGE(OFFSET($H$3,0,0,'Données projet'!$E$9+1,1))</f>
        <v>446.90706503298787</v>
      </c>
      <c r="T151" s="62">
        <f t="shared" si="142"/>
        <v>275.54513370838777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0.11476755584100218</v>
      </c>
      <c r="AB151" s="23">
        <f>EXP(-LN(2)/2)*AB150+(1-EXP(-LN(2)/2))/(LN(2)/2)*V151*Y151*VLOOKUP('Données projet'!$B$9,Paramètres!$A$1:$I$89,3,0)*0.475*44/12</f>
        <v>2.439719170390687E-17</v>
      </c>
      <c r="AC151" s="24">
        <f t="shared" si="111"/>
        <v>0.11476755584100221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1.1368683772161603E-13</v>
      </c>
      <c r="AJ151" s="14">
        <f>AI151*VLOOKUP('Données projet'!$B$10,Paramètres!$A$1:$I$89,3,0)*VLOOKUP('Données projet'!$B$10,Paramètres!$A$1:$I$89,5,0)</f>
        <v>7.626113074366004E-14</v>
      </c>
      <c r="AK151" s="14">
        <f t="shared" si="143"/>
        <v>1.1823749172251317E-12</v>
      </c>
      <c r="AL151" s="22">
        <f t="shared" si="112"/>
        <v>2.1921244502123119E-12</v>
      </c>
      <c r="AM151" s="62">
        <f t="shared" si="113"/>
        <v>286.45649632551391</v>
      </c>
      <c r="AN151" s="62">
        <f ca="1">AVERAGE(OFFSET($AM$3,0,0,'Données projet'!$E$10+1,1))-AVERAGE(OFFSET($H$3,0,0,'Données projet'!$E$10+1,1))</f>
        <v>312.88185844251097</v>
      </c>
      <c r="AO151" s="62">
        <f t="shared" si="144"/>
        <v>202.68317767036231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9.3579699378047831E-2</v>
      </c>
      <c r="AW151" s="23">
        <f>EXP(-LN(2)/2)*AW150+(1-EXP(-LN(2)/2))/(LN(2)/2)*AQ151*AT151*VLOOKUP('Données projet'!$B$10,Paramètres!$A$1:$I$89,3,0)*0.475*44/12</f>
        <v>1.7692398712583193E-17</v>
      </c>
      <c r="AX151" s="23">
        <f t="shared" si="114"/>
        <v>9.3579699378047845E-2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-1.1368683772161603E-13</v>
      </c>
      <c r="BE151" s="14">
        <f>BD151*VLOOKUP('Données projet'!$B$11,Paramètres!$A$1:$I$89,3,0)*VLOOKUP('Données projet'!$B$11,Paramètres!$A$1:$I$89,5,0)</f>
        <v>-9.9316821433603781E-14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287.22548699835653</v>
      </c>
      <c r="BJ151" s="62">
        <f t="shared" si="146"/>
        <v>276.01618888357268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0.2685900553627788</v>
      </c>
      <c r="BR151" s="23">
        <f>EXP(-LN(2)/2)*BR150+(1-EXP(-LN(2)/2))/(LN(2)/2)*BL151*BO151*VLOOKUP('Données projet'!$B$11,Paramètres!$A$1:$I$89,3,0)*0.475*44/12</f>
        <v>2.2670431642887185E-17</v>
      </c>
      <c r="BS151" s="24">
        <f t="shared" si="117"/>
        <v>0.2685900553627788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1.1527845344971866E-13</v>
      </c>
      <c r="P152" s="14">
        <f t="shared" si="141"/>
        <v>1.7033846239409443E-12</v>
      </c>
      <c r="Q152" s="22">
        <f t="shared" si="108"/>
        <v>3.1675048597887374E-12</v>
      </c>
      <c r="R152" s="62">
        <f t="shared" si="109"/>
        <v>286.57579407329627</v>
      </c>
      <c r="S152" s="62">
        <f ca="1">AVERAGE(OFFSET($R$3,0,0,'Données projet'!$E$9+1,1))-AVERAGE(OFFSET($H$3,0,0,'Données projet'!$E$9+1,1))</f>
        <v>446.90706503298787</v>
      </c>
      <c r="T152" s="62">
        <f t="shared" si="142"/>
        <v>275.54513370838777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0.11162923099116652</v>
      </c>
      <c r="AB152" s="23">
        <f>EXP(-LN(2)/2)*AB151+(1-EXP(-LN(2)/2))/(LN(2)/2)*V152*Y152*VLOOKUP('Données projet'!$B$9,Paramètres!$A$1:$I$89,3,0)*0.475*44/12</f>
        <v>1.7251419695740728E-17</v>
      </c>
      <c r="AC152" s="24">
        <f t="shared" si="111"/>
        <v>0.11162923099116653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1.1368683772161603E-13</v>
      </c>
      <c r="AJ152" s="14">
        <f>AI152*VLOOKUP('Données projet'!$B$10,Paramètres!$A$1:$I$89,3,0)*VLOOKUP('Données projet'!$B$10,Paramètres!$A$1:$I$89,5,0)</f>
        <v>7.626113074366004E-14</v>
      </c>
      <c r="AK152" s="14">
        <f t="shared" si="143"/>
        <v>1.1823749172251317E-12</v>
      </c>
      <c r="AL152" s="22">
        <f t="shared" si="112"/>
        <v>2.1921244502123119E-12</v>
      </c>
      <c r="AM152" s="62">
        <f t="shared" si="113"/>
        <v>286.5757940732953</v>
      </c>
      <c r="AN152" s="62">
        <f ca="1">AVERAGE(OFFSET($AM$3,0,0,'Données projet'!$E$10+1,1))-AVERAGE(OFFSET($H$3,0,0,'Données projet'!$E$10+1,1))</f>
        <v>312.88185844251097</v>
      </c>
      <c r="AO152" s="62">
        <f t="shared" si="144"/>
        <v>202.68317767036231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9.1020757577412598E-2</v>
      </c>
      <c r="AW152" s="23">
        <f>EXP(-LN(2)/2)*AW151+(1-EXP(-LN(2)/2))/(LN(2)/2)*AQ152*AT152*VLOOKUP('Données projet'!$B$10,Paramètres!$A$1:$I$89,3,0)*0.475*44/12</f>
        <v>1.2510415105123719E-17</v>
      </c>
      <c r="AX152" s="23">
        <f t="shared" si="114"/>
        <v>9.1020757577412612E-2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-1.1368683772161603E-13</v>
      </c>
      <c r="BE152" s="14">
        <f>BD152*VLOOKUP('Données projet'!$B$11,Paramètres!$A$1:$I$89,3,0)*VLOOKUP('Données projet'!$B$11,Paramètres!$A$1:$I$89,5,0)</f>
        <v>-9.9316821433603781E-14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287.22548699835653</v>
      </c>
      <c r="BJ152" s="62">
        <f t="shared" si="146"/>
        <v>276.01618888357268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0.26124544617434647</v>
      </c>
      <c r="BR152" s="23">
        <f>EXP(-LN(2)/2)*BR151+(1-EXP(-LN(2)/2))/(LN(2)/2)*BL152*BO152*VLOOKUP('Données projet'!$B$11,Paramètres!$A$1:$I$89,3,0)*0.475*44/12</f>
        <v>1.6030415947111612E-17</v>
      </c>
      <c r="BS152" s="24">
        <f t="shared" si="117"/>
        <v>0.26124544617434647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1.1527845344971866E-13</v>
      </c>
      <c r="P153" s="14">
        <f t="shared" si="141"/>
        <v>1.7033846239409443E-12</v>
      </c>
      <c r="Q153" s="22">
        <f t="shared" si="108"/>
        <v>3.1675048597887374E-12</v>
      </c>
      <c r="R153" s="62">
        <f t="shared" si="109"/>
        <v>286.69302227186353</v>
      </c>
      <c r="S153" s="62">
        <f ca="1">AVERAGE(OFFSET($R$3,0,0,'Données projet'!$E$9+1,1))-AVERAGE(OFFSET($H$3,0,0,'Données projet'!$E$9+1,1))</f>
        <v>446.90706503298787</v>
      </c>
      <c r="T153" s="62">
        <f t="shared" si="142"/>
        <v>275.54513370838777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0.10857672379938695</v>
      </c>
      <c r="AB153" s="23">
        <f>EXP(-LN(2)/2)*AB152+(1-EXP(-LN(2)/2))/(LN(2)/2)*V153*Y153*VLOOKUP('Données projet'!$B$9,Paramètres!$A$1:$I$89,3,0)*0.475*44/12</f>
        <v>1.2198595851953435E-17</v>
      </c>
      <c r="AC153" s="24">
        <f t="shared" si="111"/>
        <v>0.10857672379938696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1.1368683772161603E-13</v>
      </c>
      <c r="AJ153" s="14">
        <f>AI153*VLOOKUP('Données projet'!$B$10,Paramètres!$A$1:$I$89,3,0)*VLOOKUP('Données projet'!$B$10,Paramètres!$A$1:$I$89,5,0)</f>
        <v>7.626113074366004E-14</v>
      </c>
      <c r="AK153" s="14">
        <f t="shared" si="143"/>
        <v>1.1823749172251317E-12</v>
      </c>
      <c r="AL153" s="22">
        <f t="shared" si="112"/>
        <v>2.1921244502123119E-12</v>
      </c>
      <c r="AM153" s="62">
        <f t="shared" si="113"/>
        <v>286.69302227186256</v>
      </c>
      <c r="AN153" s="62">
        <f ca="1">AVERAGE(OFFSET($AM$3,0,0,'Données projet'!$E$10+1,1))-AVERAGE(OFFSET($H$3,0,0,'Données projet'!$E$10+1,1))</f>
        <v>312.88185844251097</v>
      </c>
      <c r="AO153" s="62">
        <f t="shared" si="144"/>
        <v>202.68317767036231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8.8531790174884634E-2</v>
      </c>
      <c r="AW153" s="23">
        <f>EXP(-LN(2)/2)*AW152+(1-EXP(-LN(2)/2))/(LN(2)/2)*AQ153*AT153*VLOOKUP('Données projet'!$B$10,Paramètres!$A$1:$I$89,3,0)*0.475*44/12</f>
        <v>8.8461993562915967E-18</v>
      </c>
      <c r="AX153" s="23">
        <f t="shared" si="114"/>
        <v>8.8531790174884648E-2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-1.1368683772161603E-13</v>
      </c>
      <c r="BE153" s="14">
        <f>BD153*VLOOKUP('Données projet'!$B$11,Paramètres!$A$1:$I$89,3,0)*VLOOKUP('Données projet'!$B$11,Paramètres!$A$1:$I$89,5,0)</f>
        <v>-9.9316821433603781E-14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287.22548699835653</v>
      </c>
      <c r="BJ153" s="62">
        <f t="shared" si="146"/>
        <v>276.01618888357268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0.25410167571040804</v>
      </c>
      <c r="BR153" s="23">
        <f>EXP(-LN(2)/2)*BR152+(1-EXP(-LN(2)/2))/(LN(2)/2)*BL153*BO153*VLOOKUP('Données projet'!$B$11,Paramètres!$A$1:$I$89,3,0)*0.475*44/12</f>
        <v>1.1335215821443592E-17</v>
      </c>
      <c r="BS153" s="24">
        <f t="shared" si="117"/>
        <v>0.25410167571040804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1.1527845344971866E-13</v>
      </c>
      <c r="P154" s="14">
        <f t="shared" si="141"/>
        <v>1.7033846239409443E-12</v>
      </c>
      <c r="Q154" s="22">
        <f t="shared" ref="Q154:Q203" si="162">(O154+P154)*0.475*44/12</f>
        <v>3.1675048597887374E-12</v>
      </c>
      <c r="R154" s="62">
        <f t="shared" si="109"/>
        <v>286.80821682326854</v>
      </c>
      <c r="S154" s="62">
        <f ca="1">AVERAGE(OFFSET($R$3,0,0,'Données projet'!$E$9+1,1))-AVERAGE(OFFSET($H$3,0,0,'Données projet'!$E$9+1,1))</f>
        <v>446.90706503298787</v>
      </c>
      <c r="T154" s="62">
        <f t="shared" si="142"/>
        <v>275.54513370838777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0.10560768757729096</v>
      </c>
      <c r="AB154" s="23">
        <f>EXP(-LN(2)/2)*AB153+(1-EXP(-LN(2)/2))/(LN(2)/2)*V154*Y154*VLOOKUP('Données projet'!$B$9,Paramètres!$A$1:$I$89,3,0)*0.475*44/12</f>
        <v>8.6257098478703638E-18</v>
      </c>
      <c r="AC154" s="24">
        <f t="shared" ref="AC154:AC203" si="163">SUM(Z154:AB154)</f>
        <v>0.10560768757729097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1.1368683772161603E-13</v>
      </c>
      <c r="AJ154" s="14">
        <f>AI154*VLOOKUP('Données projet'!$B$10,Paramètres!$A$1:$I$89,3,0)*VLOOKUP('Données projet'!$B$10,Paramètres!$A$1:$I$89,5,0)</f>
        <v>7.626113074366004E-14</v>
      </c>
      <c r="AK154" s="14">
        <f t="shared" ref="AK154:AK203" si="164">EXP(-1.0587+0.8836*LN(AJ154)+0.284)</f>
        <v>1.1823749172251317E-12</v>
      </c>
      <c r="AL154" s="22">
        <f t="shared" ref="AL154:AL203" si="165">(AJ154+AK154)*0.475*44/12</f>
        <v>2.1921244502123119E-12</v>
      </c>
      <c r="AM154" s="62">
        <f t="shared" si="113"/>
        <v>286.80821682326757</v>
      </c>
      <c r="AN154" s="62">
        <f ca="1">AVERAGE(OFFSET($AM$3,0,0,'Données projet'!$E$10+1,1))-AVERAGE(OFFSET($H$3,0,0,'Données projet'!$E$10+1,1))</f>
        <v>312.88185844251097</v>
      </c>
      <c r="AO154" s="62">
        <f t="shared" si="144"/>
        <v>202.68317767036231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8.6110883716867911E-2</v>
      </c>
      <c r="AW154" s="23">
        <f>EXP(-LN(2)/2)*AW153+(1-EXP(-LN(2)/2))/(LN(2)/2)*AQ154*AT154*VLOOKUP('Données projet'!$B$10,Paramètres!$A$1:$I$89,3,0)*0.475*44/12</f>
        <v>6.2552075525618597E-18</v>
      </c>
      <c r="AX154" s="23">
        <f t="shared" ref="AX154:AX203" si="166">SUM(AU154:AW154)</f>
        <v>8.6110883716867911E-2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-1.1368683772161603E-13</v>
      </c>
      <c r="BE154" s="14">
        <f>BD154*VLOOKUP('Données projet'!$B$11,Paramètres!$A$1:$I$89,3,0)*VLOOKUP('Données projet'!$B$11,Paramètres!$A$1:$I$89,5,0)</f>
        <v>-9.9316821433603781E-14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287.22548699835653</v>
      </c>
      <c r="BJ154" s="62">
        <f t="shared" si="146"/>
        <v>276.01618888357268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0.24715325202548055</v>
      </c>
      <c r="BR154" s="23">
        <f>EXP(-LN(2)/2)*BR153+(1-EXP(-LN(2)/2))/(LN(2)/2)*BL154*BO154*VLOOKUP('Données projet'!$B$11,Paramètres!$A$1:$I$89,3,0)*0.475*44/12</f>
        <v>8.0152079735558058E-18</v>
      </c>
      <c r="BS154" s="24">
        <f t="shared" ref="BS154:BS203" si="169">SUM(BP154:BR154)</f>
        <v>0.24715325202548055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1.1527845344971866E-13</v>
      </c>
      <c r="P155" s="14">
        <f t="shared" si="141"/>
        <v>1.7033846239409443E-12</v>
      </c>
      <c r="Q155" s="22">
        <f t="shared" si="162"/>
        <v>3.1675048597887374E-12</v>
      </c>
      <c r="R155" s="62">
        <f t="shared" si="109"/>
        <v>286.92141300674308</v>
      </c>
      <c r="S155" s="62">
        <f ca="1">AVERAGE(OFFSET($R$3,0,0,'Données projet'!$E$9+1,1))-AVERAGE(OFFSET($H$3,0,0,'Données projet'!$E$9+1,1))</f>
        <v>446.90706503298787</v>
      </c>
      <c r="T155" s="62">
        <f t="shared" si="142"/>
        <v>275.54513370838777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0.10271983980682302</v>
      </c>
      <c r="AB155" s="23">
        <f>EXP(-LN(2)/2)*AB154+(1-EXP(-LN(2)/2))/(LN(2)/2)*V155*Y155*VLOOKUP('Données projet'!$B$9,Paramètres!$A$1:$I$89,3,0)*0.475*44/12</f>
        <v>6.0992979259767175E-18</v>
      </c>
      <c r="AC155" s="24">
        <f t="shared" si="163"/>
        <v>0.10271983980682302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1.1368683772161603E-13</v>
      </c>
      <c r="AJ155" s="14">
        <f>AI155*VLOOKUP('Données projet'!$B$10,Paramètres!$A$1:$I$89,3,0)*VLOOKUP('Données projet'!$B$10,Paramètres!$A$1:$I$89,5,0)</f>
        <v>7.626113074366004E-14</v>
      </c>
      <c r="AK155" s="14">
        <f t="shared" si="164"/>
        <v>1.1823749172251317E-12</v>
      </c>
      <c r="AL155" s="22">
        <f t="shared" si="165"/>
        <v>2.1921244502123119E-12</v>
      </c>
      <c r="AM155" s="62">
        <f t="shared" si="113"/>
        <v>286.92141300674211</v>
      </c>
      <c r="AN155" s="62">
        <f ca="1">AVERAGE(OFFSET($AM$3,0,0,'Données projet'!$E$10+1,1))-AVERAGE(OFFSET($H$3,0,0,'Données projet'!$E$10+1,1))</f>
        <v>312.88185844251097</v>
      </c>
      <c r="AO155" s="62">
        <f t="shared" si="144"/>
        <v>202.68317767036231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8.3756177073255597E-2</v>
      </c>
      <c r="AW155" s="23">
        <f>EXP(-LN(2)/2)*AW154+(1-EXP(-LN(2)/2))/(LN(2)/2)*AQ155*AT155*VLOOKUP('Données projet'!$B$10,Paramètres!$A$1:$I$89,3,0)*0.475*44/12</f>
        <v>4.4230996781457984E-18</v>
      </c>
      <c r="AX155" s="23">
        <f t="shared" si="166"/>
        <v>8.3756177073255597E-2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-1.1368683772161603E-13</v>
      </c>
      <c r="BE155" s="14">
        <f>BD155*VLOOKUP('Données projet'!$B$11,Paramètres!$A$1:$I$89,3,0)*VLOOKUP('Données projet'!$B$11,Paramètres!$A$1:$I$89,5,0)</f>
        <v>-9.9316821433603781E-14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287.22548699835653</v>
      </c>
      <c r="BJ155" s="62">
        <f t="shared" si="146"/>
        <v>276.01618888357268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0.24039483335161912</v>
      </c>
      <c r="BR155" s="23">
        <f>EXP(-LN(2)/2)*BR154+(1-EXP(-LN(2)/2))/(LN(2)/2)*BL155*BO155*VLOOKUP('Données projet'!$B$11,Paramètres!$A$1:$I$89,3,0)*0.475*44/12</f>
        <v>5.6676079107217962E-18</v>
      </c>
      <c r="BS155" s="24">
        <f t="shared" si="169"/>
        <v>0.24039483335161912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1.1527845344971866E-13</v>
      </c>
      <c r="P156" s="14">
        <f t="shared" si="141"/>
        <v>1.7033846239409443E-12</v>
      </c>
      <c r="Q156" s="22">
        <f t="shared" si="162"/>
        <v>3.1675048597887374E-12</v>
      </c>
      <c r="R156" s="62">
        <f t="shared" si="109"/>
        <v>287.03264548950318</v>
      </c>
      <c r="S156" s="62">
        <f ca="1">AVERAGE(OFFSET($R$3,0,0,'Données projet'!$E$9+1,1))-AVERAGE(OFFSET($H$3,0,0,'Données projet'!$E$9+1,1))</f>
        <v>446.90706503298787</v>
      </c>
      <c r="T156" s="62">
        <f t="shared" si="142"/>
        <v>275.54513370838777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9.991096038550383E-2</v>
      </c>
      <c r="AB156" s="23">
        <f>EXP(-LN(2)/2)*AB155+(1-EXP(-LN(2)/2))/(LN(2)/2)*V156*Y156*VLOOKUP('Données projet'!$B$9,Paramètres!$A$1:$I$89,3,0)*0.475*44/12</f>
        <v>4.3128549239351819E-18</v>
      </c>
      <c r="AC156" s="24">
        <f t="shared" si="163"/>
        <v>9.991096038550383E-2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1.1368683772161603E-13</v>
      </c>
      <c r="AJ156" s="14">
        <f>AI156*VLOOKUP('Données projet'!$B$10,Paramètres!$A$1:$I$89,3,0)*VLOOKUP('Données projet'!$B$10,Paramètres!$A$1:$I$89,5,0)</f>
        <v>7.626113074366004E-14</v>
      </c>
      <c r="AK156" s="14">
        <f t="shared" si="164"/>
        <v>1.1823749172251317E-12</v>
      </c>
      <c r="AL156" s="22">
        <f t="shared" si="165"/>
        <v>2.1921244502123119E-12</v>
      </c>
      <c r="AM156" s="62">
        <f t="shared" si="113"/>
        <v>287.03264548950222</v>
      </c>
      <c r="AN156" s="62">
        <f ca="1">AVERAGE(OFFSET($AM$3,0,0,'Données projet'!$E$10+1,1))-AVERAGE(OFFSET($H$3,0,0,'Données projet'!$E$10+1,1))</f>
        <v>312.88185844251097</v>
      </c>
      <c r="AO156" s="62">
        <f t="shared" si="144"/>
        <v>202.68317767036231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8.1465860006641494E-2</v>
      </c>
      <c r="AW156" s="23">
        <f>EXP(-LN(2)/2)*AW155+(1-EXP(-LN(2)/2))/(LN(2)/2)*AQ156*AT156*VLOOKUP('Données projet'!$B$10,Paramètres!$A$1:$I$89,3,0)*0.475*44/12</f>
        <v>3.1276037762809299E-18</v>
      </c>
      <c r="AX156" s="23">
        <f t="shared" si="166"/>
        <v>8.1465860006641494E-2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-1.1368683772161603E-13</v>
      </c>
      <c r="BE156" s="14">
        <f>BD156*VLOOKUP('Données projet'!$B$11,Paramètres!$A$1:$I$89,3,0)*VLOOKUP('Données projet'!$B$11,Paramètres!$A$1:$I$89,5,0)</f>
        <v>-9.9316821433603781E-14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287.22548699835653</v>
      </c>
      <c r="BJ156" s="62">
        <f t="shared" si="146"/>
        <v>276.01618888357268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0.23382122399180424</v>
      </c>
      <c r="BR156" s="23">
        <f>EXP(-LN(2)/2)*BR155+(1-EXP(-LN(2)/2))/(LN(2)/2)*BL156*BO156*VLOOKUP('Données projet'!$B$11,Paramètres!$A$1:$I$89,3,0)*0.475*44/12</f>
        <v>4.0076039867779029E-18</v>
      </c>
      <c r="BS156" s="24">
        <f t="shared" si="169"/>
        <v>0.23382122399180424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1.1527845344971866E-13</v>
      </c>
      <c r="P157" s="14">
        <f t="shared" si="141"/>
        <v>1.7033846239409443E-12</v>
      </c>
      <c r="Q157" s="22">
        <f t="shared" si="162"/>
        <v>3.1675048597887374E-12</v>
      </c>
      <c r="R157" s="62">
        <f t="shared" si="109"/>
        <v>287.14194833736593</v>
      </c>
      <c r="S157" s="62">
        <f ca="1">AVERAGE(OFFSET($R$3,0,0,'Données projet'!$E$9+1,1))-AVERAGE(OFFSET($H$3,0,0,'Données projet'!$E$9+1,1))</f>
        <v>446.90706503298787</v>
      </c>
      <c r="T157" s="62">
        <f t="shared" si="142"/>
        <v>275.54513370838777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9.7178889919673175E-2</v>
      </c>
      <c r="AB157" s="23">
        <f>EXP(-LN(2)/2)*AB156+(1-EXP(-LN(2)/2))/(LN(2)/2)*V157*Y157*VLOOKUP('Données projet'!$B$9,Paramètres!$A$1:$I$89,3,0)*0.475*44/12</f>
        <v>3.0496489629883588E-18</v>
      </c>
      <c r="AC157" s="24">
        <f t="shared" si="163"/>
        <v>9.7178889919673175E-2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1.1368683772161603E-13</v>
      </c>
      <c r="AJ157" s="14">
        <f>AI157*VLOOKUP('Données projet'!$B$10,Paramètres!$A$1:$I$89,3,0)*VLOOKUP('Données projet'!$B$10,Paramètres!$A$1:$I$89,5,0)</f>
        <v>7.626113074366004E-14</v>
      </c>
      <c r="AK157" s="14">
        <f t="shared" si="164"/>
        <v>1.1823749172251317E-12</v>
      </c>
      <c r="AL157" s="22">
        <f t="shared" si="165"/>
        <v>2.1921244502123119E-12</v>
      </c>
      <c r="AM157" s="62">
        <f t="shared" si="113"/>
        <v>287.14194833736497</v>
      </c>
      <c r="AN157" s="62">
        <f ca="1">AVERAGE(OFFSET($AM$3,0,0,'Données projet'!$E$10+1,1))-AVERAGE(OFFSET($H$3,0,0,'Données projet'!$E$10+1,1))</f>
        <v>312.88185844251097</v>
      </c>
      <c r="AO157" s="62">
        <f t="shared" si="144"/>
        <v>202.68317767036231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7.9238171780656494E-2</v>
      </c>
      <c r="AW157" s="23">
        <f>EXP(-LN(2)/2)*AW156+(1-EXP(-LN(2)/2))/(LN(2)/2)*AQ157*AT157*VLOOKUP('Données projet'!$B$10,Paramètres!$A$1:$I$89,3,0)*0.475*44/12</f>
        <v>2.2115498390728992E-18</v>
      </c>
      <c r="AX157" s="23">
        <f t="shared" si="166"/>
        <v>7.9238171780656494E-2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-1.1368683772161603E-13</v>
      </c>
      <c r="BE157" s="14">
        <f>BD157*VLOOKUP('Données projet'!$B$11,Paramètres!$A$1:$I$89,3,0)*VLOOKUP('Données projet'!$B$11,Paramètres!$A$1:$I$89,5,0)</f>
        <v>-9.9316821433603781E-14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287.22548699835653</v>
      </c>
      <c r="BJ157" s="62">
        <f t="shared" si="146"/>
        <v>276.01618888357268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0.2274273703256246</v>
      </c>
      <c r="BR157" s="23">
        <f>EXP(-LN(2)/2)*BR156+(1-EXP(-LN(2)/2))/(LN(2)/2)*BL157*BO157*VLOOKUP('Données projet'!$B$11,Paramètres!$A$1:$I$89,3,0)*0.475*44/12</f>
        <v>2.8338039553608981E-18</v>
      </c>
      <c r="BS157" s="24">
        <f t="shared" si="169"/>
        <v>0.2274273703256246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1.1527845344971866E-13</v>
      </c>
      <c r="P158" s="14">
        <f t="shared" si="141"/>
        <v>1.7033846239409443E-12</v>
      </c>
      <c r="Q158" s="22">
        <f t="shared" si="162"/>
        <v>3.1675048597887374E-12</v>
      </c>
      <c r="R158" s="62">
        <f t="shared" si="109"/>
        <v>287.24935502518287</v>
      </c>
      <c r="S158" s="62">
        <f ca="1">AVERAGE(OFFSET($R$3,0,0,'Données projet'!$E$9+1,1))-AVERAGE(OFFSET($H$3,0,0,'Données projet'!$E$9+1,1))</f>
        <v>446.90706503298787</v>
      </c>
      <c r="T158" s="62">
        <f t="shared" si="142"/>
        <v>275.54513370838777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9.4521528064404003E-2</v>
      </c>
      <c r="AB158" s="23">
        <f>EXP(-LN(2)/2)*AB157+(1-EXP(-LN(2)/2))/(LN(2)/2)*V158*Y158*VLOOKUP('Données projet'!$B$9,Paramètres!$A$1:$I$89,3,0)*0.475*44/12</f>
        <v>2.156427461967591E-18</v>
      </c>
      <c r="AC158" s="24">
        <f t="shared" si="163"/>
        <v>9.4521528064404003E-2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1.1368683772161603E-13</v>
      </c>
      <c r="AJ158" s="14">
        <f>AI158*VLOOKUP('Données projet'!$B$10,Paramètres!$A$1:$I$89,3,0)*VLOOKUP('Données projet'!$B$10,Paramètres!$A$1:$I$89,5,0)</f>
        <v>7.626113074366004E-14</v>
      </c>
      <c r="AK158" s="14">
        <f t="shared" si="164"/>
        <v>1.1823749172251317E-12</v>
      </c>
      <c r="AL158" s="22">
        <f t="shared" si="165"/>
        <v>2.1921244502123119E-12</v>
      </c>
      <c r="AM158" s="62">
        <f t="shared" si="113"/>
        <v>287.2493550251819</v>
      </c>
      <c r="AN158" s="62">
        <f ca="1">AVERAGE(OFFSET($AM$3,0,0,'Données projet'!$E$10+1,1))-AVERAGE(OFFSET($H$3,0,0,'Données projet'!$E$10+1,1))</f>
        <v>312.88185844251097</v>
      </c>
      <c r="AO158" s="62">
        <f t="shared" si="144"/>
        <v>202.68317767036231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7.7071399806360089E-2</v>
      </c>
      <c r="AW158" s="23">
        <f>EXP(-LN(2)/2)*AW157+(1-EXP(-LN(2)/2))/(LN(2)/2)*AQ158*AT158*VLOOKUP('Données projet'!$B$10,Paramètres!$A$1:$I$89,3,0)*0.475*44/12</f>
        <v>1.5638018881404649E-18</v>
      </c>
      <c r="AX158" s="23">
        <f t="shared" si="166"/>
        <v>7.7071399806360089E-2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-1.1368683772161603E-13</v>
      </c>
      <c r="BE158" s="14">
        <f>BD158*VLOOKUP('Données projet'!$B$11,Paramètres!$A$1:$I$89,3,0)*VLOOKUP('Données projet'!$B$11,Paramètres!$A$1:$I$89,5,0)</f>
        <v>-9.9316821433603781E-14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287.22548699835653</v>
      </c>
      <c r="BJ158" s="62">
        <f t="shared" si="146"/>
        <v>276.01618888357268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0.22120835692418478</v>
      </c>
      <c r="BR158" s="23">
        <f>EXP(-LN(2)/2)*BR157+(1-EXP(-LN(2)/2))/(LN(2)/2)*BL158*BO158*VLOOKUP('Données projet'!$B$11,Paramètres!$A$1:$I$89,3,0)*0.475*44/12</f>
        <v>2.0038019933889514E-18</v>
      </c>
      <c r="BS158" s="24">
        <f t="shared" si="169"/>
        <v>0.22120835692418478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1.1527845344971866E-13</v>
      </c>
      <c r="P159" s="14">
        <f t="shared" si="141"/>
        <v>1.7033846239409443E-12</v>
      </c>
      <c r="Q159" s="22">
        <f t="shared" si="162"/>
        <v>3.1675048597887374E-12</v>
      </c>
      <c r="R159" s="62">
        <f t="shared" si="109"/>
        <v>287.3548984470915</v>
      </c>
      <c r="S159" s="62">
        <f ca="1">AVERAGE(OFFSET($R$3,0,0,'Données projet'!$E$9+1,1))-AVERAGE(OFFSET($H$3,0,0,'Données projet'!$E$9+1,1))</f>
        <v>446.90706503298787</v>
      </c>
      <c r="T159" s="62">
        <f t="shared" si="142"/>
        <v>275.54513370838777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9.1936831908811745E-2</v>
      </c>
      <c r="AB159" s="23">
        <f>EXP(-LN(2)/2)*AB158+(1-EXP(-LN(2)/2))/(LN(2)/2)*V159*Y159*VLOOKUP('Données projet'!$B$9,Paramètres!$A$1:$I$89,3,0)*0.475*44/12</f>
        <v>1.5248244814941794E-18</v>
      </c>
      <c r="AC159" s="24">
        <f t="shared" si="163"/>
        <v>9.1936831908811745E-2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1.1368683772161603E-13</v>
      </c>
      <c r="AJ159" s="14">
        <f>AI159*VLOOKUP('Données projet'!$B$10,Paramètres!$A$1:$I$89,3,0)*VLOOKUP('Données projet'!$B$10,Paramètres!$A$1:$I$89,5,0)</f>
        <v>7.626113074366004E-14</v>
      </c>
      <c r="AK159" s="14">
        <f t="shared" si="164"/>
        <v>1.1823749172251317E-12</v>
      </c>
      <c r="AL159" s="22">
        <f t="shared" si="165"/>
        <v>2.1921244502123119E-12</v>
      </c>
      <c r="AM159" s="62">
        <f t="shared" si="113"/>
        <v>287.35489844709053</v>
      </c>
      <c r="AN159" s="62">
        <f ca="1">AVERAGE(OFFSET($AM$3,0,0,'Données projet'!$E$10+1,1))-AVERAGE(OFFSET($H$3,0,0,'Données projet'!$E$10+1,1))</f>
        <v>312.88185844251097</v>
      </c>
      <c r="AO159" s="62">
        <f t="shared" si="144"/>
        <v>202.68317767036231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7.496387832564641E-2</v>
      </c>
      <c r="AW159" s="23">
        <f>EXP(-LN(2)/2)*AW158+(1-EXP(-LN(2)/2))/(LN(2)/2)*AQ159*AT159*VLOOKUP('Données projet'!$B$10,Paramètres!$A$1:$I$89,3,0)*0.475*44/12</f>
        <v>1.1057749195364496E-18</v>
      </c>
      <c r="AX159" s="23">
        <f t="shared" si="166"/>
        <v>7.496387832564641E-2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-1.1368683772161603E-13</v>
      </c>
      <c r="BE159" s="14">
        <f>BD159*VLOOKUP('Données projet'!$B$11,Paramètres!$A$1:$I$89,3,0)*VLOOKUP('Données projet'!$B$11,Paramètres!$A$1:$I$89,5,0)</f>
        <v>-9.9316821433603781E-14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287.22548699835653</v>
      </c>
      <c r="BJ159" s="62">
        <f t="shared" si="146"/>
        <v>276.01618888357268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0.21515940277125103</v>
      </c>
      <c r="BR159" s="23">
        <f>EXP(-LN(2)/2)*BR158+(1-EXP(-LN(2)/2))/(LN(2)/2)*BL159*BO159*VLOOKUP('Données projet'!$B$11,Paramètres!$A$1:$I$89,3,0)*0.475*44/12</f>
        <v>1.416901977680449E-18</v>
      </c>
      <c r="BS159" s="24">
        <f t="shared" si="169"/>
        <v>0.21515940277125103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1.1527845344971866E-13</v>
      </c>
      <c r="P160" s="14">
        <f t="shared" si="141"/>
        <v>1.7033846239409443E-12</v>
      </c>
      <c r="Q160" s="22">
        <f t="shared" si="162"/>
        <v>3.1675048597887374E-12</v>
      </c>
      <c r="R160" s="62">
        <f t="shared" si="109"/>
        <v>287.45861092658976</v>
      </c>
      <c r="S160" s="62">
        <f ca="1">AVERAGE(OFFSET($R$3,0,0,'Données projet'!$E$9+1,1))-AVERAGE(OFFSET($H$3,0,0,'Données projet'!$E$9+1,1))</f>
        <v>446.90706503298787</v>
      </c>
      <c r="T160" s="62">
        <f t="shared" si="142"/>
        <v>275.54513370838777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8.9422814405517428E-2</v>
      </c>
      <c r="AB160" s="23">
        <f>EXP(-LN(2)/2)*AB159+(1-EXP(-LN(2)/2))/(LN(2)/2)*V160*Y160*VLOOKUP('Données projet'!$B$9,Paramètres!$A$1:$I$89,3,0)*0.475*44/12</f>
        <v>1.0782137309837955E-18</v>
      </c>
      <c r="AC160" s="24">
        <f t="shared" si="163"/>
        <v>8.9422814405517428E-2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1.1368683772161603E-13</v>
      </c>
      <c r="AJ160" s="14">
        <f>AI160*VLOOKUP('Données projet'!$B$10,Paramètres!$A$1:$I$89,3,0)*VLOOKUP('Données projet'!$B$10,Paramètres!$A$1:$I$89,5,0)</f>
        <v>7.626113074366004E-14</v>
      </c>
      <c r="AK160" s="14">
        <f t="shared" si="164"/>
        <v>1.1823749172251317E-12</v>
      </c>
      <c r="AL160" s="22">
        <f t="shared" si="165"/>
        <v>2.1921244502123119E-12</v>
      </c>
      <c r="AM160" s="62">
        <f t="shared" si="113"/>
        <v>287.45861092658879</v>
      </c>
      <c r="AN160" s="62">
        <f ca="1">AVERAGE(OFFSET($AM$3,0,0,'Données projet'!$E$10+1,1))-AVERAGE(OFFSET($H$3,0,0,'Données projet'!$E$10+1,1))</f>
        <v>312.88185844251097</v>
      </c>
      <c r="AO160" s="62">
        <f t="shared" si="144"/>
        <v>202.68317767036231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7.2913987130652586E-2</v>
      </c>
      <c r="AW160" s="23">
        <f>EXP(-LN(2)/2)*AW159+(1-EXP(-LN(2)/2))/(LN(2)/2)*AQ160*AT160*VLOOKUP('Données projet'!$B$10,Paramètres!$A$1:$I$89,3,0)*0.475*44/12</f>
        <v>7.8190094407023247E-19</v>
      </c>
      <c r="AX160" s="23">
        <f t="shared" si="166"/>
        <v>7.2913987130652586E-2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-1.1368683772161603E-13</v>
      </c>
      <c r="BE160" s="14">
        <f>BD160*VLOOKUP('Données projet'!$B$11,Paramètres!$A$1:$I$89,3,0)*VLOOKUP('Données projet'!$B$11,Paramètres!$A$1:$I$89,5,0)</f>
        <v>-9.9316821433603781E-14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287.22548699835653</v>
      </c>
      <c r="BJ160" s="62">
        <f t="shared" si="146"/>
        <v>276.01618888357268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0.20927585758772993</v>
      </c>
      <c r="BR160" s="23">
        <f>EXP(-LN(2)/2)*BR159+(1-EXP(-LN(2)/2))/(LN(2)/2)*BL160*BO160*VLOOKUP('Données projet'!$B$11,Paramètres!$A$1:$I$89,3,0)*0.475*44/12</f>
        <v>1.0019009966944757E-18</v>
      </c>
      <c r="BS160" s="24">
        <f t="shared" si="169"/>
        <v>0.20927585758772993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1.1527845344971866E-13</v>
      </c>
      <c r="P161" s="14">
        <f t="shared" si="141"/>
        <v>1.7033846239409443E-12</v>
      </c>
      <c r="Q161" s="22">
        <f t="shared" si="162"/>
        <v>3.1675048597887374E-12</v>
      </c>
      <c r="R161" s="62">
        <f t="shared" si="109"/>
        <v>287.56052422643518</v>
      </c>
      <c r="S161" s="62">
        <f ca="1">AVERAGE(OFFSET($R$3,0,0,'Données projet'!$E$9+1,1))-AVERAGE(OFFSET($H$3,0,0,'Données projet'!$E$9+1,1))</f>
        <v>446.90706503298787</v>
      </c>
      <c r="T161" s="62">
        <f t="shared" si="142"/>
        <v>275.54513370838777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8.6977542843057129E-2</v>
      </c>
      <c r="AB161" s="23">
        <f>EXP(-LN(2)/2)*AB160+(1-EXP(-LN(2)/2))/(LN(2)/2)*V161*Y161*VLOOKUP('Données projet'!$B$9,Paramètres!$A$1:$I$89,3,0)*0.475*44/12</f>
        <v>7.6241224074708969E-19</v>
      </c>
      <c r="AC161" s="24">
        <f t="shared" si="163"/>
        <v>8.6977542843057129E-2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1.1368683772161603E-13</v>
      </c>
      <c r="AJ161" s="14">
        <f>AI161*VLOOKUP('Données projet'!$B$10,Paramètres!$A$1:$I$89,3,0)*VLOOKUP('Données projet'!$B$10,Paramètres!$A$1:$I$89,5,0)</f>
        <v>7.626113074366004E-14</v>
      </c>
      <c r="AK161" s="14">
        <f t="shared" si="164"/>
        <v>1.1823749172251317E-12</v>
      </c>
      <c r="AL161" s="22">
        <f t="shared" si="165"/>
        <v>2.1921244502123119E-12</v>
      </c>
      <c r="AM161" s="62">
        <f t="shared" si="113"/>
        <v>287.56052422643421</v>
      </c>
      <c r="AN161" s="62">
        <f ca="1">AVERAGE(OFFSET($AM$3,0,0,'Données projet'!$E$10+1,1))-AVERAGE(OFFSET($H$3,0,0,'Données projet'!$E$10+1,1))</f>
        <v>312.88185844251097</v>
      </c>
      <c r="AO161" s="62">
        <f t="shared" si="144"/>
        <v>202.68317767036231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7.0920150318184952E-2</v>
      </c>
      <c r="AW161" s="23">
        <f>EXP(-LN(2)/2)*AW160+(1-EXP(-LN(2)/2))/(LN(2)/2)*AQ161*AT161*VLOOKUP('Données projet'!$B$10,Paramètres!$A$1:$I$89,3,0)*0.475*44/12</f>
        <v>5.5288745976822479E-19</v>
      </c>
      <c r="AX161" s="23">
        <f t="shared" si="166"/>
        <v>7.0920150318184952E-2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-1.1368683772161603E-13</v>
      </c>
      <c r="BE161" s="14">
        <f>BD161*VLOOKUP('Données projet'!$B$11,Paramètres!$A$1:$I$89,3,0)*VLOOKUP('Données projet'!$B$11,Paramètres!$A$1:$I$89,5,0)</f>
        <v>-9.9316821433603781E-14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287.22548699835653</v>
      </c>
      <c r="BJ161" s="62">
        <f t="shared" si="146"/>
        <v>276.01618888357268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0.20355319825665441</v>
      </c>
      <c r="BR161" s="23">
        <f>EXP(-LN(2)/2)*BR160+(1-EXP(-LN(2)/2))/(LN(2)/2)*BL161*BO161*VLOOKUP('Données projet'!$B$11,Paramètres!$A$1:$I$89,3,0)*0.475*44/12</f>
        <v>7.0845098884022452E-19</v>
      </c>
      <c r="BS161" s="24">
        <f t="shared" si="169"/>
        <v>0.20355319825665441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1.1527845344971866E-13</v>
      </c>
      <c r="P162" s="14">
        <f t="shared" si="141"/>
        <v>1.7033846239409443E-12</v>
      </c>
      <c r="Q162" s="22">
        <f t="shared" si="162"/>
        <v>3.1675048597887374E-12</v>
      </c>
      <c r="R162" s="62">
        <f t="shared" si="109"/>
        <v>287.66066955837215</v>
      </c>
      <c r="S162" s="62">
        <f ca="1">AVERAGE(OFFSET($R$3,0,0,'Données projet'!$E$9+1,1))-AVERAGE(OFFSET($H$3,0,0,'Données projet'!$E$9+1,1))</f>
        <v>446.90706503298787</v>
      </c>
      <c r="T162" s="62">
        <f t="shared" si="142"/>
        <v>275.54513370838777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8.4599137360063539E-2</v>
      </c>
      <c r="AB162" s="23">
        <f>EXP(-LN(2)/2)*AB161+(1-EXP(-LN(2)/2))/(LN(2)/2)*V162*Y162*VLOOKUP('Données projet'!$B$9,Paramètres!$A$1:$I$89,3,0)*0.475*44/12</f>
        <v>5.3910686549189774E-19</v>
      </c>
      <c r="AC162" s="24">
        <f t="shared" si="163"/>
        <v>8.4599137360063539E-2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1.1368683772161603E-13</v>
      </c>
      <c r="AJ162" s="14">
        <f>AI162*VLOOKUP('Données projet'!$B$10,Paramètres!$A$1:$I$89,3,0)*VLOOKUP('Données projet'!$B$10,Paramètres!$A$1:$I$89,5,0)</f>
        <v>7.626113074366004E-14</v>
      </c>
      <c r="AK162" s="14">
        <f t="shared" si="164"/>
        <v>1.1823749172251317E-12</v>
      </c>
      <c r="AL162" s="22">
        <f t="shared" si="165"/>
        <v>2.1921244502123119E-12</v>
      </c>
      <c r="AM162" s="62">
        <f t="shared" si="113"/>
        <v>287.66066955837118</v>
      </c>
      <c r="AN162" s="62">
        <f ca="1">AVERAGE(OFFSET($AM$3,0,0,'Données projet'!$E$10+1,1))-AVERAGE(OFFSET($H$3,0,0,'Données projet'!$E$10+1,1))</f>
        <v>312.88185844251097</v>
      </c>
      <c r="AO162" s="62">
        <f t="shared" si="144"/>
        <v>202.68317767036231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6.8980835078205571E-2</v>
      </c>
      <c r="AW162" s="23">
        <f>EXP(-LN(2)/2)*AW161+(1-EXP(-LN(2)/2))/(LN(2)/2)*AQ162*AT162*VLOOKUP('Données projet'!$B$10,Paramètres!$A$1:$I$89,3,0)*0.475*44/12</f>
        <v>3.9095047203511623E-19</v>
      </c>
      <c r="AX162" s="23">
        <f t="shared" si="166"/>
        <v>6.8980835078205571E-2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-1.1368683772161603E-13</v>
      </c>
      <c r="BE162" s="14">
        <f>BD162*VLOOKUP('Données projet'!$B$11,Paramètres!$A$1:$I$89,3,0)*VLOOKUP('Données projet'!$B$11,Paramètres!$A$1:$I$89,5,0)</f>
        <v>-9.9316821433603781E-14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287.22548699835653</v>
      </c>
      <c r="BJ162" s="62">
        <f t="shared" si="146"/>
        <v>276.01618888357268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0.19798702534592871</v>
      </c>
      <c r="BR162" s="23">
        <f>EXP(-LN(2)/2)*BR161+(1-EXP(-LN(2)/2))/(LN(2)/2)*BL162*BO162*VLOOKUP('Données projet'!$B$11,Paramètres!$A$1:$I$89,3,0)*0.475*44/12</f>
        <v>5.0095049834723786E-19</v>
      </c>
      <c r="BS162" s="24">
        <f t="shared" si="169"/>
        <v>0.19798702534592871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1.1527845344971866E-13</v>
      </c>
      <c r="P163" s="14">
        <f t="shared" si="141"/>
        <v>1.7033846239409443E-12</v>
      </c>
      <c r="Q163" s="22">
        <f t="shared" si="162"/>
        <v>3.1675048597887374E-12</v>
      </c>
      <c r="R163" s="62">
        <f t="shared" si="109"/>
        <v>287.75907759269154</v>
      </c>
      <c r="S163" s="62">
        <f ca="1">AVERAGE(OFFSET($R$3,0,0,'Données projet'!$E$9+1,1))-AVERAGE(OFFSET($H$3,0,0,'Données projet'!$E$9+1,1))</f>
        <v>446.90706503298787</v>
      </c>
      <c r="T163" s="62">
        <f t="shared" si="142"/>
        <v>275.54513370838777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8.2285769500077321E-2</v>
      </c>
      <c r="AB163" s="23">
        <f>EXP(-LN(2)/2)*AB162+(1-EXP(-LN(2)/2))/(LN(2)/2)*V163*Y163*VLOOKUP('Données projet'!$B$9,Paramètres!$A$1:$I$89,3,0)*0.475*44/12</f>
        <v>3.8120612037354484E-19</v>
      </c>
      <c r="AC163" s="24">
        <f t="shared" si="163"/>
        <v>8.2285769500077321E-2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1.1368683772161603E-13</v>
      </c>
      <c r="AJ163" s="14">
        <f>AI163*VLOOKUP('Données projet'!$B$10,Paramètres!$A$1:$I$89,3,0)*VLOOKUP('Données projet'!$B$10,Paramètres!$A$1:$I$89,5,0)</f>
        <v>7.626113074366004E-14</v>
      </c>
      <c r="AK163" s="14">
        <f t="shared" si="164"/>
        <v>1.1823749172251317E-12</v>
      </c>
      <c r="AL163" s="22">
        <f t="shared" si="165"/>
        <v>2.1921244502123119E-12</v>
      </c>
      <c r="AM163" s="62">
        <f t="shared" si="113"/>
        <v>287.75907759269057</v>
      </c>
      <c r="AN163" s="62">
        <f ca="1">AVERAGE(OFFSET($AM$3,0,0,'Données projet'!$E$10+1,1))-AVERAGE(OFFSET($H$3,0,0,'Données projet'!$E$10+1,1))</f>
        <v>312.88185844251097</v>
      </c>
      <c r="AO163" s="62">
        <f t="shared" si="144"/>
        <v>202.68317767036231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6.7094550515447576E-2</v>
      </c>
      <c r="AW163" s="23">
        <f>EXP(-LN(2)/2)*AW162+(1-EXP(-LN(2)/2))/(LN(2)/2)*AQ163*AT163*VLOOKUP('Données projet'!$B$10,Paramètres!$A$1:$I$89,3,0)*0.475*44/12</f>
        <v>2.764437298841124E-19</v>
      </c>
      <c r="AX163" s="23">
        <f t="shared" si="166"/>
        <v>6.7094550515447576E-2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-1.1368683772161603E-13</v>
      </c>
      <c r="BE163" s="14">
        <f>BD163*VLOOKUP('Données projet'!$B$11,Paramètres!$A$1:$I$89,3,0)*VLOOKUP('Données projet'!$B$11,Paramètres!$A$1:$I$89,5,0)</f>
        <v>-9.9316821433603781E-14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287.22548699835653</v>
      </c>
      <c r="BJ163" s="62">
        <f t="shared" si="146"/>
        <v>276.01618888357268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0.19257305972615912</v>
      </c>
      <c r="BR163" s="23">
        <f>EXP(-LN(2)/2)*BR162+(1-EXP(-LN(2)/2))/(LN(2)/2)*BL163*BO163*VLOOKUP('Données projet'!$B$11,Paramètres!$A$1:$I$89,3,0)*0.475*44/12</f>
        <v>3.5422549442011226E-19</v>
      </c>
      <c r="BS163" s="24">
        <f t="shared" si="169"/>
        <v>0.19257305972615912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1.1527845344971866E-13</v>
      </c>
      <c r="P164" s="14">
        <f t="shared" si="141"/>
        <v>1.7033846239409443E-12</v>
      </c>
      <c r="Q164" s="22">
        <f t="shared" si="162"/>
        <v>3.1675048597887374E-12</v>
      </c>
      <c r="R164" s="62">
        <f t="shared" si="109"/>
        <v>287.85577846762288</v>
      </c>
      <c r="S164" s="62">
        <f ca="1">AVERAGE(OFFSET($R$3,0,0,'Données projet'!$E$9+1,1))-AVERAGE(OFFSET($H$3,0,0,'Données projet'!$E$9+1,1))</f>
        <v>446.90706503298787</v>
      </c>
      <c r="T164" s="62">
        <f t="shared" si="142"/>
        <v>275.54513370838777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8.0035660805877151E-2</v>
      </c>
      <c r="AB164" s="23">
        <f>EXP(-LN(2)/2)*AB163+(1-EXP(-LN(2)/2))/(LN(2)/2)*V164*Y164*VLOOKUP('Données projet'!$B$9,Paramètres!$A$1:$I$89,3,0)*0.475*44/12</f>
        <v>2.6955343274594887E-19</v>
      </c>
      <c r="AC164" s="24">
        <f t="shared" si="163"/>
        <v>8.0035660805877151E-2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1.1368683772161603E-13</v>
      </c>
      <c r="AJ164" s="14">
        <f>AI164*VLOOKUP('Données projet'!$B$10,Paramètres!$A$1:$I$89,3,0)*VLOOKUP('Données projet'!$B$10,Paramètres!$A$1:$I$89,5,0)</f>
        <v>7.626113074366004E-14</v>
      </c>
      <c r="AK164" s="14">
        <f t="shared" si="164"/>
        <v>1.1823749172251317E-12</v>
      </c>
      <c r="AL164" s="22">
        <f t="shared" si="165"/>
        <v>2.1921244502123119E-12</v>
      </c>
      <c r="AM164" s="62">
        <f t="shared" si="113"/>
        <v>287.85577846762192</v>
      </c>
      <c r="AN164" s="62">
        <f ca="1">AVERAGE(OFFSET($AM$3,0,0,'Données projet'!$E$10+1,1))-AVERAGE(OFFSET($H$3,0,0,'Données projet'!$E$10+1,1))</f>
        <v>312.88185844251097</v>
      </c>
      <c r="AO164" s="62">
        <f t="shared" si="144"/>
        <v>202.68317767036231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6.5259846503253602E-2</v>
      </c>
      <c r="AW164" s="23">
        <f>EXP(-LN(2)/2)*AW163+(1-EXP(-LN(2)/2))/(LN(2)/2)*AQ164*AT164*VLOOKUP('Données projet'!$B$10,Paramètres!$A$1:$I$89,3,0)*0.475*44/12</f>
        <v>1.9547523601755812E-19</v>
      </c>
      <c r="AX164" s="23">
        <f t="shared" si="166"/>
        <v>6.5259846503253602E-2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-1.1368683772161603E-13</v>
      </c>
      <c r="BE164" s="14">
        <f>BD164*VLOOKUP('Données projet'!$B$11,Paramètres!$A$1:$I$89,3,0)*VLOOKUP('Données projet'!$B$11,Paramètres!$A$1:$I$89,5,0)</f>
        <v>-9.9316821433603781E-14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287.22548699835653</v>
      </c>
      <c r="BJ164" s="62">
        <f t="shared" si="146"/>
        <v>276.01618888357268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0.18730713928097023</v>
      </c>
      <c r="BR164" s="23">
        <f>EXP(-LN(2)/2)*BR163+(1-EXP(-LN(2)/2))/(LN(2)/2)*BL164*BO164*VLOOKUP('Données projet'!$B$11,Paramètres!$A$1:$I$89,3,0)*0.475*44/12</f>
        <v>2.5047524917361893E-19</v>
      </c>
      <c r="BS164" s="24">
        <f t="shared" si="169"/>
        <v>0.18730713928097023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1.1527845344971866E-13</v>
      </c>
      <c r="P165" s="14">
        <f t="shared" si="141"/>
        <v>1.7033846239409443E-12</v>
      </c>
      <c r="Q165" s="22">
        <f t="shared" si="162"/>
        <v>3.1675048597887374E-12</v>
      </c>
      <c r="R165" s="62">
        <f t="shared" si="109"/>
        <v>287.9508017985649</v>
      </c>
      <c r="S165" s="62">
        <f ca="1">AVERAGE(OFFSET($R$3,0,0,'Données projet'!$E$9+1,1))-AVERAGE(OFFSET($H$3,0,0,'Données projet'!$E$9+1,1))</f>
        <v>446.90706503298787</v>
      </c>
      <c r="T165" s="62">
        <f t="shared" si="142"/>
        <v>275.54513370838777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7.784708145224796E-2</v>
      </c>
      <c r="AB165" s="23">
        <f>EXP(-LN(2)/2)*AB164+(1-EXP(-LN(2)/2))/(LN(2)/2)*V165*Y165*VLOOKUP('Données projet'!$B$9,Paramètres!$A$1:$I$89,3,0)*0.475*44/12</f>
        <v>1.9060306018677242E-19</v>
      </c>
      <c r="AC165" s="24">
        <f t="shared" si="163"/>
        <v>7.784708145224796E-2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1.1368683772161603E-13</v>
      </c>
      <c r="AJ165" s="14">
        <f>AI165*VLOOKUP('Données projet'!$B$10,Paramètres!$A$1:$I$89,3,0)*VLOOKUP('Données projet'!$B$10,Paramètres!$A$1:$I$89,5,0)</f>
        <v>7.626113074366004E-14</v>
      </c>
      <c r="AK165" s="14">
        <f t="shared" si="164"/>
        <v>1.1823749172251317E-12</v>
      </c>
      <c r="AL165" s="22">
        <f t="shared" si="165"/>
        <v>2.1921244502123119E-12</v>
      </c>
      <c r="AM165" s="62">
        <f t="shared" si="113"/>
        <v>287.95080179856393</v>
      </c>
      <c r="AN165" s="62">
        <f ca="1">AVERAGE(OFFSET($AM$3,0,0,'Données projet'!$E$10+1,1))-AVERAGE(OFFSET($H$3,0,0,'Données projet'!$E$10+1,1))</f>
        <v>312.88185844251097</v>
      </c>
      <c r="AO165" s="62">
        <f t="shared" si="144"/>
        <v>202.68317767036231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6.3475312568755951E-2</v>
      </c>
      <c r="AW165" s="23">
        <f>EXP(-LN(2)/2)*AW164+(1-EXP(-LN(2)/2))/(LN(2)/2)*AQ165*AT165*VLOOKUP('Données projet'!$B$10,Paramètres!$A$1:$I$89,3,0)*0.475*44/12</f>
        <v>1.382218649420562E-19</v>
      </c>
      <c r="AX165" s="23">
        <f t="shared" si="166"/>
        <v>6.3475312568755951E-2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-1.1368683772161603E-13</v>
      </c>
      <c r="BE165" s="14">
        <f>BD165*VLOOKUP('Données projet'!$B$11,Paramètres!$A$1:$I$89,3,0)*VLOOKUP('Données projet'!$B$11,Paramètres!$A$1:$I$89,5,0)</f>
        <v>-9.9316821433603781E-14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287.22548699835653</v>
      </c>
      <c r="BJ165" s="62">
        <f t="shared" si="146"/>
        <v>276.01618888357268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0.18218521570727775</v>
      </c>
      <c r="BR165" s="23">
        <f>EXP(-LN(2)/2)*BR164+(1-EXP(-LN(2)/2))/(LN(2)/2)*BL165*BO165*VLOOKUP('Données projet'!$B$11,Paramètres!$A$1:$I$89,3,0)*0.475*44/12</f>
        <v>1.7711274721005613E-19</v>
      </c>
      <c r="BS165" s="24">
        <f t="shared" si="169"/>
        <v>0.18218521570727775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1.1527845344971866E-13</v>
      </c>
      <c r="P166" s="14">
        <f t="shared" si="141"/>
        <v>1.7033846239409443E-12</v>
      </c>
      <c r="Q166" s="22">
        <f t="shared" si="162"/>
        <v>3.1675048597887374E-12</v>
      </c>
      <c r="R166" s="62">
        <f t="shared" si="109"/>
        <v>288.04417668715541</v>
      </c>
      <c r="S166" s="62">
        <f ca="1">AVERAGE(OFFSET($R$3,0,0,'Données projet'!$E$9+1,1))-AVERAGE(OFFSET($H$3,0,0,'Données projet'!$E$9+1,1))</f>
        <v>446.90706503298787</v>
      </c>
      <c r="T166" s="62">
        <f t="shared" si="142"/>
        <v>275.54513370838777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7.5718348916136144E-2</v>
      </c>
      <c r="AB166" s="23">
        <f>EXP(-LN(2)/2)*AB165+(1-EXP(-LN(2)/2))/(LN(2)/2)*V166*Y166*VLOOKUP('Données projet'!$B$9,Paramètres!$A$1:$I$89,3,0)*0.475*44/12</f>
        <v>1.3477671637297443E-19</v>
      </c>
      <c r="AC166" s="24">
        <f t="shared" si="163"/>
        <v>7.5718348916136144E-2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1.1368683772161603E-13</v>
      </c>
      <c r="AJ166" s="14">
        <f>AI166*VLOOKUP('Données projet'!$B$10,Paramètres!$A$1:$I$89,3,0)*VLOOKUP('Données projet'!$B$10,Paramètres!$A$1:$I$89,5,0)</f>
        <v>7.626113074366004E-14</v>
      </c>
      <c r="AK166" s="14">
        <f t="shared" si="164"/>
        <v>1.1823749172251317E-12</v>
      </c>
      <c r="AL166" s="22">
        <f t="shared" si="165"/>
        <v>2.1921244502123119E-12</v>
      </c>
      <c r="AM166" s="62">
        <f t="shared" si="113"/>
        <v>288.04417668715445</v>
      </c>
      <c r="AN166" s="62">
        <f ca="1">AVERAGE(OFFSET($AM$3,0,0,'Données projet'!$E$10+1,1))-AVERAGE(OFFSET($H$3,0,0,'Données projet'!$E$10+1,1))</f>
        <v>312.88185844251097</v>
      </c>
      <c r="AO166" s="62">
        <f t="shared" si="144"/>
        <v>202.68317767036231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6.1739576808541703E-2</v>
      </c>
      <c r="AW166" s="23">
        <f>EXP(-LN(2)/2)*AW165+(1-EXP(-LN(2)/2))/(LN(2)/2)*AQ166*AT166*VLOOKUP('Données projet'!$B$10,Paramètres!$A$1:$I$89,3,0)*0.475*44/12</f>
        <v>9.7737618008779058E-20</v>
      </c>
      <c r="AX166" s="23">
        <f t="shared" si="166"/>
        <v>6.1739576808541703E-2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-1.1368683772161603E-13</v>
      </c>
      <c r="BE166" s="14">
        <f>BD166*VLOOKUP('Données projet'!$B$11,Paramètres!$A$1:$I$89,3,0)*VLOOKUP('Données projet'!$B$11,Paramètres!$A$1:$I$89,5,0)</f>
        <v>-9.9316821433603781E-14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287.22548699835653</v>
      </c>
      <c r="BJ166" s="62">
        <f t="shared" si="146"/>
        <v>276.01618888357268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0.17720335140305812</v>
      </c>
      <c r="BR166" s="23">
        <f>EXP(-LN(2)/2)*BR165+(1-EXP(-LN(2)/2))/(LN(2)/2)*BL166*BO166*VLOOKUP('Données projet'!$B$11,Paramètres!$A$1:$I$89,3,0)*0.475*44/12</f>
        <v>1.2523762458680946E-19</v>
      </c>
      <c r="BS166" s="24">
        <f t="shared" si="169"/>
        <v>0.17720335140305812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1.1527845344971866E-13</v>
      </c>
      <c r="P167" s="14">
        <f t="shared" si="141"/>
        <v>1.7033846239409443E-12</v>
      </c>
      <c r="Q167" s="22">
        <f t="shared" si="162"/>
        <v>3.1675048597887374E-12</v>
      </c>
      <c r="R167" s="62">
        <f t="shared" si="109"/>
        <v>288.13593173018387</v>
      </c>
      <c r="S167" s="62">
        <f ca="1">AVERAGE(OFFSET($R$3,0,0,'Données projet'!$E$9+1,1))-AVERAGE(OFFSET($H$3,0,0,'Données projet'!$E$9+1,1))</f>
        <v>446.90706503298787</v>
      </c>
      <c r="T167" s="62">
        <f t="shared" si="142"/>
        <v>275.54513370838777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7.3647826683169493E-2</v>
      </c>
      <c r="AB167" s="23">
        <f>EXP(-LN(2)/2)*AB166+(1-EXP(-LN(2)/2))/(LN(2)/2)*V167*Y167*VLOOKUP('Données projet'!$B$9,Paramètres!$A$1:$I$89,3,0)*0.475*44/12</f>
        <v>9.5301530093386211E-20</v>
      </c>
      <c r="AC167" s="24">
        <f t="shared" si="163"/>
        <v>7.3647826683169493E-2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1.1368683772161603E-13</v>
      </c>
      <c r="AJ167" s="14">
        <f>AI167*VLOOKUP('Données projet'!$B$10,Paramètres!$A$1:$I$89,3,0)*VLOOKUP('Données projet'!$B$10,Paramètres!$A$1:$I$89,5,0)</f>
        <v>7.626113074366004E-14</v>
      </c>
      <c r="AK167" s="14">
        <f t="shared" si="164"/>
        <v>1.1823749172251317E-12</v>
      </c>
      <c r="AL167" s="22">
        <f t="shared" si="165"/>
        <v>2.1921244502123119E-12</v>
      </c>
      <c r="AM167" s="62">
        <f t="shared" si="113"/>
        <v>288.1359317301829</v>
      </c>
      <c r="AN167" s="62">
        <f ca="1">AVERAGE(OFFSET($AM$3,0,0,'Données projet'!$E$10+1,1))-AVERAGE(OFFSET($H$3,0,0,'Données projet'!$E$10+1,1))</f>
        <v>312.88185844251097</v>
      </c>
      <c r="AO167" s="62">
        <f t="shared" si="144"/>
        <v>202.68317767036231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6.0051304833968894E-2</v>
      </c>
      <c r="AW167" s="23">
        <f>EXP(-LN(2)/2)*AW166+(1-EXP(-LN(2)/2))/(LN(2)/2)*AQ167*AT167*VLOOKUP('Données projet'!$B$10,Paramètres!$A$1:$I$89,3,0)*0.475*44/12</f>
        <v>6.9110932471028099E-20</v>
      </c>
      <c r="AX167" s="23">
        <f t="shared" si="166"/>
        <v>6.0051304833968894E-2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-1.1368683772161603E-13</v>
      </c>
      <c r="BE167" s="14">
        <f>BD167*VLOOKUP('Données projet'!$B$11,Paramètres!$A$1:$I$89,3,0)*VLOOKUP('Données projet'!$B$11,Paramètres!$A$1:$I$89,5,0)</f>
        <v>-9.9316821433603781E-14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287.22548699835653</v>
      </c>
      <c r="BJ167" s="62">
        <f t="shared" si="146"/>
        <v>276.01618888357268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0.17235771644022224</v>
      </c>
      <c r="BR167" s="23">
        <f>EXP(-LN(2)/2)*BR166+(1-EXP(-LN(2)/2))/(LN(2)/2)*BL167*BO167*VLOOKUP('Données projet'!$B$11,Paramètres!$A$1:$I$89,3,0)*0.475*44/12</f>
        <v>8.8556373605028065E-20</v>
      </c>
      <c r="BS167" s="24">
        <f t="shared" si="169"/>
        <v>0.17235771644022224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1.1527845344971866E-13</v>
      </c>
      <c r="P168" s="14">
        <f t="shared" si="141"/>
        <v>1.7033846239409443E-12</v>
      </c>
      <c r="Q168" s="22">
        <f t="shared" si="162"/>
        <v>3.1675048597887374E-12</v>
      </c>
      <c r="R168" s="62">
        <f t="shared" si="109"/>
        <v>288.22609502834933</v>
      </c>
      <c r="S168" s="62">
        <f ca="1">AVERAGE(OFFSET($R$3,0,0,'Données projet'!$E$9+1,1))-AVERAGE(OFFSET($H$3,0,0,'Données projet'!$E$9+1,1))</f>
        <v>446.90706503298787</v>
      </c>
      <c r="T168" s="62">
        <f t="shared" si="142"/>
        <v>275.54513370838777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7.1633922989547336E-2</v>
      </c>
      <c r="AB168" s="23">
        <f>EXP(-LN(2)/2)*AB167+(1-EXP(-LN(2)/2))/(LN(2)/2)*V168*Y168*VLOOKUP('Données projet'!$B$9,Paramètres!$A$1:$I$89,3,0)*0.475*44/12</f>
        <v>6.7388358186487217E-20</v>
      </c>
      <c r="AC168" s="24">
        <f t="shared" si="163"/>
        <v>7.1633922989547336E-2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1.1368683772161603E-13</v>
      </c>
      <c r="AJ168" s="14">
        <f>AI168*VLOOKUP('Données projet'!$B$10,Paramètres!$A$1:$I$89,3,0)*VLOOKUP('Données projet'!$B$10,Paramètres!$A$1:$I$89,5,0)</f>
        <v>7.626113074366004E-14</v>
      </c>
      <c r="AK168" s="14">
        <f t="shared" si="164"/>
        <v>1.1823749172251317E-12</v>
      </c>
      <c r="AL168" s="22">
        <f t="shared" si="165"/>
        <v>2.1921244502123119E-12</v>
      </c>
      <c r="AM168" s="62">
        <f t="shared" si="113"/>
        <v>288.22609502834837</v>
      </c>
      <c r="AN168" s="62">
        <f ca="1">AVERAGE(OFFSET($AM$3,0,0,'Données projet'!$E$10+1,1))-AVERAGE(OFFSET($H$3,0,0,'Données projet'!$E$10+1,1))</f>
        <v>312.88185844251097</v>
      </c>
      <c r="AO168" s="62">
        <f t="shared" si="144"/>
        <v>202.68317767036231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5.8409198745323139E-2</v>
      </c>
      <c r="AW168" s="23">
        <f>EXP(-LN(2)/2)*AW167+(1-EXP(-LN(2)/2))/(LN(2)/2)*AQ168*AT168*VLOOKUP('Données projet'!$B$10,Paramètres!$A$1:$I$89,3,0)*0.475*44/12</f>
        <v>4.8868809004389529E-20</v>
      </c>
      <c r="AX168" s="23">
        <f t="shared" si="166"/>
        <v>5.8409198745323139E-2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-1.1368683772161603E-13</v>
      </c>
      <c r="BE168" s="14">
        <f>BD168*VLOOKUP('Données projet'!$B$11,Paramètres!$A$1:$I$89,3,0)*VLOOKUP('Données projet'!$B$11,Paramètres!$A$1:$I$89,5,0)</f>
        <v>-9.9316821433603781E-14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287.22548699835653</v>
      </c>
      <c r="BJ168" s="62">
        <f t="shared" si="146"/>
        <v>276.01618888357268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0.16764458562026599</v>
      </c>
      <c r="BR168" s="23">
        <f>EXP(-LN(2)/2)*BR167+(1-EXP(-LN(2)/2))/(LN(2)/2)*BL168*BO168*VLOOKUP('Données projet'!$B$11,Paramètres!$A$1:$I$89,3,0)*0.475*44/12</f>
        <v>6.2618812293404732E-20</v>
      </c>
      <c r="BS168" s="24">
        <f t="shared" si="169"/>
        <v>0.16764458562026599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1.1527845344971866E-13</v>
      </c>
      <c r="P169" s="14">
        <f t="shared" si="141"/>
        <v>1.7033846239409443E-12</v>
      </c>
      <c r="Q169" s="22">
        <f t="shared" si="162"/>
        <v>3.1675048597887374E-12</v>
      </c>
      <c r="R169" s="62">
        <f t="shared" si="109"/>
        <v>288.3146941948666</v>
      </c>
      <c r="S169" s="62">
        <f ca="1">AVERAGE(OFFSET($R$3,0,0,'Données projet'!$E$9+1,1))-AVERAGE(OFFSET($H$3,0,0,'Données projet'!$E$9+1,1))</f>
        <v>446.90706503298787</v>
      </c>
      <c r="T169" s="62">
        <f t="shared" si="142"/>
        <v>275.54513370838777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6.9675089598333878E-2</v>
      </c>
      <c r="AB169" s="23">
        <f>EXP(-LN(2)/2)*AB168+(1-EXP(-LN(2)/2))/(LN(2)/2)*V169*Y169*VLOOKUP('Données projet'!$B$9,Paramètres!$A$1:$I$89,3,0)*0.475*44/12</f>
        <v>4.7650765046693106E-20</v>
      </c>
      <c r="AC169" s="24">
        <f t="shared" si="163"/>
        <v>6.9675089598333878E-2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1.1368683772161603E-13</v>
      </c>
      <c r="AJ169" s="14">
        <f>AI169*VLOOKUP('Données projet'!$B$10,Paramètres!$A$1:$I$89,3,0)*VLOOKUP('Données projet'!$B$10,Paramètres!$A$1:$I$89,5,0)</f>
        <v>7.626113074366004E-14</v>
      </c>
      <c r="AK169" s="14">
        <f t="shared" si="164"/>
        <v>1.1823749172251317E-12</v>
      </c>
      <c r="AL169" s="22">
        <f t="shared" si="165"/>
        <v>2.1921244502123119E-12</v>
      </c>
      <c r="AM169" s="62">
        <f t="shared" si="113"/>
        <v>288.31469419486564</v>
      </c>
      <c r="AN169" s="62">
        <f ca="1">AVERAGE(OFFSET($AM$3,0,0,'Données projet'!$E$10+1,1))-AVERAGE(OFFSET($H$3,0,0,'Données projet'!$E$10+1,1))</f>
        <v>312.88185844251097</v>
      </c>
      <c r="AO169" s="62">
        <f t="shared" si="144"/>
        <v>202.68317767036231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5.6811996134026009E-2</v>
      </c>
      <c r="AW169" s="23">
        <f>EXP(-LN(2)/2)*AW168+(1-EXP(-LN(2)/2))/(LN(2)/2)*AQ169*AT169*VLOOKUP('Données projet'!$B$10,Paramètres!$A$1:$I$89,3,0)*0.475*44/12</f>
        <v>3.455546623551405E-20</v>
      </c>
      <c r="AX169" s="23">
        <f t="shared" si="166"/>
        <v>5.6811996134026009E-2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-1.1368683772161603E-13</v>
      </c>
      <c r="BE169" s="14">
        <f>BD169*VLOOKUP('Données projet'!$B$11,Paramètres!$A$1:$I$89,3,0)*VLOOKUP('Données projet'!$B$11,Paramètres!$A$1:$I$89,5,0)</f>
        <v>-9.9316821433603781E-14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287.22548699835653</v>
      </c>
      <c r="BJ169" s="62">
        <f t="shared" si="146"/>
        <v>276.01618888357268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0.1630603356104342</v>
      </c>
      <c r="BR169" s="23">
        <f>EXP(-LN(2)/2)*BR168+(1-EXP(-LN(2)/2))/(LN(2)/2)*BL169*BO169*VLOOKUP('Données projet'!$B$11,Paramètres!$A$1:$I$89,3,0)*0.475*44/12</f>
        <v>4.4278186802514032E-20</v>
      </c>
      <c r="BS169" s="24">
        <f t="shared" si="169"/>
        <v>0.1630603356104342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1.1527845344971866E-13</v>
      </c>
      <c r="P170" s="14">
        <f t="shared" si="141"/>
        <v>1.7033846239409443E-12</v>
      </c>
      <c r="Q170" s="22">
        <f t="shared" si="162"/>
        <v>3.1675048597887374E-12</v>
      </c>
      <c r="R170" s="62">
        <f t="shared" si="109"/>
        <v>288.4017563639228</v>
      </c>
      <c r="S170" s="62">
        <f ca="1">AVERAGE(OFFSET($R$3,0,0,'Données projet'!$E$9+1,1))-AVERAGE(OFFSET($H$3,0,0,'Données projet'!$E$9+1,1))</f>
        <v>446.90706503298787</v>
      </c>
      <c r="T170" s="62">
        <f t="shared" si="142"/>
        <v>275.54513370838777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6.7769820609213716E-2</v>
      </c>
      <c r="AB170" s="23">
        <f>EXP(-LN(2)/2)*AB169+(1-EXP(-LN(2)/2))/(LN(2)/2)*V170*Y170*VLOOKUP('Données projet'!$B$9,Paramètres!$A$1:$I$89,3,0)*0.475*44/12</f>
        <v>3.3694179093243609E-20</v>
      </c>
      <c r="AC170" s="24">
        <f t="shared" si="163"/>
        <v>6.7769820609213716E-2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1.1368683772161603E-13</v>
      </c>
      <c r="AJ170" s="14">
        <f>AI170*VLOOKUP('Données projet'!$B$10,Paramètres!$A$1:$I$89,3,0)*VLOOKUP('Données projet'!$B$10,Paramètres!$A$1:$I$89,5,0)</f>
        <v>7.626113074366004E-14</v>
      </c>
      <c r="AK170" s="14">
        <f t="shared" si="164"/>
        <v>1.1823749172251317E-12</v>
      </c>
      <c r="AL170" s="22">
        <f t="shared" si="165"/>
        <v>2.1921244502123119E-12</v>
      </c>
      <c r="AM170" s="62">
        <f t="shared" si="113"/>
        <v>288.40175636392183</v>
      </c>
      <c r="AN170" s="62">
        <f ca="1">AVERAGE(OFFSET($AM$3,0,0,'Données projet'!$E$10+1,1))-AVERAGE(OFFSET($H$3,0,0,'Données projet'!$E$10+1,1))</f>
        <v>312.88185844251097</v>
      </c>
      <c r="AO170" s="62">
        <f t="shared" si="144"/>
        <v>202.68317767036231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5.5258469112128034E-2</v>
      </c>
      <c r="AW170" s="23">
        <f>EXP(-LN(2)/2)*AW169+(1-EXP(-LN(2)/2))/(LN(2)/2)*AQ170*AT170*VLOOKUP('Données projet'!$B$10,Paramètres!$A$1:$I$89,3,0)*0.475*44/12</f>
        <v>2.4434404502194765E-20</v>
      </c>
      <c r="AX170" s="23">
        <f t="shared" si="166"/>
        <v>5.5258469112128034E-2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-1.1368683772161603E-13</v>
      </c>
      <c r="BE170" s="14">
        <f>BD170*VLOOKUP('Données projet'!$B$11,Paramètres!$A$1:$I$89,3,0)*VLOOKUP('Données projet'!$B$11,Paramètres!$A$1:$I$89,5,0)</f>
        <v>-9.9316821433603781E-14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287.22548699835653</v>
      </c>
      <c r="BJ170" s="62">
        <f t="shared" si="146"/>
        <v>276.01618888357268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0.15860144215819652</v>
      </c>
      <c r="BR170" s="23">
        <f>EXP(-LN(2)/2)*BR169+(1-EXP(-LN(2)/2))/(LN(2)/2)*BL170*BO170*VLOOKUP('Données projet'!$B$11,Paramètres!$A$1:$I$89,3,0)*0.475*44/12</f>
        <v>3.1309406146702366E-20</v>
      </c>
      <c r="BS170" s="24">
        <f t="shared" si="169"/>
        <v>0.15860144215819652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1.1527845344971866E-13</v>
      </c>
      <c r="P171" s="14">
        <f t="shared" si="141"/>
        <v>1.7033846239409443E-12</v>
      </c>
      <c r="Q171" s="22">
        <f t="shared" si="162"/>
        <v>3.1675048597887374E-12</v>
      </c>
      <c r="R171" s="62">
        <f t="shared" si="109"/>
        <v>288.48730819898771</v>
      </c>
      <c r="S171" s="62">
        <f ca="1">AVERAGE(OFFSET($R$3,0,0,'Données projet'!$E$9+1,1))-AVERAGE(OFFSET($H$3,0,0,'Données projet'!$E$9+1,1))</f>
        <v>446.90706503298787</v>
      </c>
      <c r="T171" s="62">
        <f t="shared" si="142"/>
        <v>275.54513370838777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6.5916651300794785E-2</v>
      </c>
      <c r="AB171" s="23">
        <f>EXP(-LN(2)/2)*AB170+(1-EXP(-LN(2)/2))/(LN(2)/2)*V171*Y171*VLOOKUP('Données projet'!$B$9,Paramètres!$A$1:$I$89,3,0)*0.475*44/12</f>
        <v>2.3825382523346553E-20</v>
      </c>
      <c r="AC171" s="24">
        <f t="shared" si="163"/>
        <v>6.5916651300794785E-2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1.1368683772161603E-13</v>
      </c>
      <c r="AJ171" s="14">
        <f>AI171*VLOOKUP('Données projet'!$B$10,Paramètres!$A$1:$I$89,3,0)*VLOOKUP('Données projet'!$B$10,Paramètres!$A$1:$I$89,5,0)</f>
        <v>7.626113074366004E-14</v>
      </c>
      <c r="AK171" s="14">
        <f t="shared" si="164"/>
        <v>1.1823749172251317E-12</v>
      </c>
      <c r="AL171" s="22">
        <f t="shared" si="165"/>
        <v>2.1921244502123119E-12</v>
      </c>
      <c r="AM171" s="62">
        <f t="shared" si="113"/>
        <v>288.48730819898674</v>
      </c>
      <c r="AN171" s="62">
        <f ca="1">AVERAGE(OFFSET($AM$3,0,0,'Données projet'!$E$10+1,1))-AVERAGE(OFFSET($H$3,0,0,'Données projet'!$E$10+1,1))</f>
        <v>312.88185844251097</v>
      </c>
      <c r="AO171" s="62">
        <f t="shared" si="144"/>
        <v>202.68317767036231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5.3747423368340298E-2</v>
      </c>
      <c r="AW171" s="23">
        <f>EXP(-LN(2)/2)*AW170+(1-EXP(-LN(2)/2))/(LN(2)/2)*AQ171*AT171*VLOOKUP('Données projet'!$B$10,Paramètres!$A$1:$I$89,3,0)*0.475*44/12</f>
        <v>1.7277733117757025E-20</v>
      </c>
      <c r="AX171" s="23">
        <f t="shared" si="166"/>
        <v>5.3747423368340298E-2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-1.1368683772161603E-13</v>
      </c>
      <c r="BE171" s="14">
        <f>BD171*VLOOKUP('Données projet'!$B$11,Paramètres!$A$1:$I$89,3,0)*VLOOKUP('Données projet'!$B$11,Paramètres!$A$1:$I$89,5,0)</f>
        <v>-9.9316821433603781E-14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287.22548699835653</v>
      </c>
      <c r="BJ171" s="62">
        <f t="shared" si="146"/>
        <v>276.01618888357268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0.15426447738189328</v>
      </c>
      <c r="BR171" s="23">
        <f>EXP(-LN(2)/2)*BR170+(1-EXP(-LN(2)/2))/(LN(2)/2)*BL171*BO171*VLOOKUP('Données projet'!$B$11,Paramètres!$A$1:$I$89,3,0)*0.475*44/12</f>
        <v>2.2139093401257016E-20</v>
      </c>
      <c r="BS171" s="24">
        <f t="shared" si="169"/>
        <v>0.15426447738189328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1.1527845344971866E-13</v>
      </c>
      <c r="P172" s="14">
        <f t="shared" si="141"/>
        <v>1.7033846239409443E-12</v>
      </c>
      <c r="Q172" s="22">
        <f t="shared" si="162"/>
        <v>3.1675048597887374E-12</v>
      </c>
      <c r="R172" s="62">
        <f t="shared" si="109"/>
        <v>288.5713759009796</v>
      </c>
      <c r="S172" s="62">
        <f ca="1">AVERAGE(OFFSET($R$3,0,0,'Données projet'!$E$9+1,1))-AVERAGE(OFFSET($H$3,0,0,'Données projet'!$E$9+1,1))</f>
        <v>446.90706503298787</v>
      </c>
      <c r="T172" s="62">
        <f t="shared" si="142"/>
        <v>275.54513370838777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6.4114157004568517E-2</v>
      </c>
      <c r="AB172" s="23">
        <f>EXP(-LN(2)/2)*AB171+(1-EXP(-LN(2)/2))/(LN(2)/2)*V172*Y172*VLOOKUP('Données projet'!$B$9,Paramètres!$A$1:$I$89,3,0)*0.475*44/12</f>
        <v>1.6847089546621804E-20</v>
      </c>
      <c r="AC172" s="24">
        <f t="shared" si="163"/>
        <v>6.4114157004568517E-2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1.1368683772161603E-13</v>
      </c>
      <c r="AJ172" s="14">
        <f>AI172*VLOOKUP('Données projet'!$B$10,Paramètres!$A$1:$I$89,3,0)*VLOOKUP('Données projet'!$B$10,Paramètres!$A$1:$I$89,5,0)</f>
        <v>7.626113074366004E-14</v>
      </c>
      <c r="AK172" s="14">
        <f t="shared" si="164"/>
        <v>1.1823749172251317E-12</v>
      </c>
      <c r="AL172" s="22">
        <f t="shared" si="165"/>
        <v>2.1921244502123119E-12</v>
      </c>
      <c r="AM172" s="62">
        <f t="shared" si="113"/>
        <v>288.57137590097864</v>
      </c>
      <c r="AN172" s="62">
        <f ca="1">AVERAGE(OFFSET($AM$3,0,0,'Données projet'!$E$10+1,1))-AVERAGE(OFFSET($H$3,0,0,'Données projet'!$E$10+1,1))</f>
        <v>312.88185844251097</v>
      </c>
      <c r="AO172" s="62">
        <f t="shared" si="144"/>
        <v>202.68317767036231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5.2277697249878879E-2</v>
      </c>
      <c r="AW172" s="23">
        <f>EXP(-LN(2)/2)*AW171+(1-EXP(-LN(2)/2))/(LN(2)/2)*AQ172*AT172*VLOOKUP('Données projet'!$B$10,Paramètres!$A$1:$I$89,3,0)*0.475*44/12</f>
        <v>1.2217202251097382E-20</v>
      </c>
      <c r="AX172" s="23">
        <f t="shared" si="166"/>
        <v>5.2277697249878879E-2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-1.1368683772161603E-13</v>
      </c>
      <c r="BE172" s="14">
        <f>BD172*VLOOKUP('Données projet'!$B$11,Paramètres!$A$1:$I$89,3,0)*VLOOKUP('Données projet'!$B$11,Paramètres!$A$1:$I$89,5,0)</f>
        <v>-9.9316821433603781E-14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287.22548699835653</v>
      </c>
      <c r="BJ172" s="62">
        <f t="shared" si="146"/>
        <v>276.01618888357268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0.15004610713546912</v>
      </c>
      <c r="BR172" s="23">
        <f>EXP(-LN(2)/2)*BR171+(1-EXP(-LN(2)/2))/(LN(2)/2)*BL172*BO172*VLOOKUP('Données projet'!$B$11,Paramètres!$A$1:$I$89,3,0)*0.475*44/12</f>
        <v>1.5654703073351183E-20</v>
      </c>
      <c r="BS172" s="24">
        <f t="shared" si="169"/>
        <v>0.15004610713546912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1.1527845344971866E-13</v>
      </c>
      <c r="P173" s="14">
        <f t="shared" si="141"/>
        <v>1.7033846239409443E-12</v>
      </c>
      <c r="Q173" s="22">
        <f t="shared" si="162"/>
        <v>3.1675048597887374E-12</v>
      </c>
      <c r="R173" s="62">
        <f t="shared" si="109"/>
        <v>288.65398521628907</v>
      </c>
      <c r="S173" s="62">
        <f ca="1">AVERAGE(OFFSET($R$3,0,0,'Données projet'!$E$9+1,1))-AVERAGE(OFFSET($H$3,0,0,'Données projet'!$E$9+1,1))</f>
        <v>446.90706503298787</v>
      </c>
      <c r="T173" s="62">
        <f t="shared" si="142"/>
        <v>275.54513370838777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6.2360952009661609E-2</v>
      </c>
      <c r="AB173" s="23">
        <f>EXP(-LN(2)/2)*AB172+(1-EXP(-LN(2)/2))/(LN(2)/2)*V173*Y173*VLOOKUP('Données projet'!$B$9,Paramètres!$A$1:$I$89,3,0)*0.475*44/12</f>
        <v>1.1912691261673276E-20</v>
      </c>
      <c r="AC173" s="24">
        <f t="shared" si="163"/>
        <v>6.2360952009661609E-2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1.1368683772161603E-13</v>
      </c>
      <c r="AJ173" s="14">
        <f>AI173*VLOOKUP('Données projet'!$B$10,Paramètres!$A$1:$I$89,3,0)*VLOOKUP('Données projet'!$B$10,Paramètres!$A$1:$I$89,5,0)</f>
        <v>7.626113074366004E-14</v>
      </c>
      <c r="AK173" s="14">
        <f t="shared" si="164"/>
        <v>1.1823749172251317E-12</v>
      </c>
      <c r="AL173" s="22">
        <f t="shared" si="165"/>
        <v>2.1921244502123119E-12</v>
      </c>
      <c r="AM173" s="62">
        <f t="shared" si="113"/>
        <v>288.65398521628811</v>
      </c>
      <c r="AN173" s="62">
        <f ca="1">AVERAGE(OFFSET($AM$3,0,0,'Données projet'!$E$10+1,1))-AVERAGE(OFFSET($H$3,0,0,'Données projet'!$E$10+1,1))</f>
        <v>312.88185844251097</v>
      </c>
      <c r="AO173" s="62">
        <f t="shared" si="144"/>
        <v>202.68317767036231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5.0848160869416327E-2</v>
      </c>
      <c r="AW173" s="23">
        <f>EXP(-LN(2)/2)*AW172+(1-EXP(-LN(2)/2))/(LN(2)/2)*AQ173*AT173*VLOOKUP('Données projet'!$B$10,Paramètres!$A$1:$I$89,3,0)*0.475*44/12</f>
        <v>8.6388665588785124E-21</v>
      </c>
      <c r="AX173" s="23">
        <f t="shared" si="166"/>
        <v>5.0848160869416327E-2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-1.1368683772161603E-13</v>
      </c>
      <c r="BE173" s="14">
        <f>BD173*VLOOKUP('Données projet'!$B$11,Paramètres!$A$1:$I$89,3,0)*VLOOKUP('Données projet'!$B$11,Paramètres!$A$1:$I$89,5,0)</f>
        <v>-9.9316821433603781E-14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287.22548699835653</v>
      </c>
      <c r="BJ173" s="62">
        <f t="shared" si="146"/>
        <v>276.01618888357268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0.14594308844526788</v>
      </c>
      <c r="BR173" s="23">
        <f>EXP(-LN(2)/2)*BR172+(1-EXP(-LN(2)/2))/(LN(2)/2)*BL173*BO173*VLOOKUP('Données projet'!$B$11,Paramètres!$A$1:$I$89,3,0)*0.475*44/12</f>
        <v>1.1069546700628508E-20</v>
      </c>
      <c r="BS173" s="24">
        <f t="shared" si="169"/>
        <v>0.14594308844526788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1.1527845344971866E-13</v>
      </c>
      <c r="P174" s="14">
        <f t="shared" si="141"/>
        <v>1.7033846239409443E-12</v>
      </c>
      <c r="Q174" s="22">
        <f t="shared" si="162"/>
        <v>3.1675048597887374E-12</v>
      </c>
      <c r="R174" s="62">
        <f t="shared" si="109"/>
        <v>288.7351614446647</v>
      </c>
      <c r="S174" s="62">
        <f ca="1">AVERAGE(OFFSET($R$3,0,0,'Données projet'!$E$9+1,1))-AVERAGE(OFFSET($H$3,0,0,'Données projet'!$E$9+1,1))</f>
        <v>446.90706503298787</v>
      </c>
      <c r="T174" s="62">
        <f t="shared" si="142"/>
        <v>275.54513370838777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6.0655688497537476E-2</v>
      </c>
      <c r="AB174" s="23">
        <f>EXP(-LN(2)/2)*AB173+(1-EXP(-LN(2)/2))/(LN(2)/2)*V174*Y174*VLOOKUP('Données projet'!$B$9,Paramètres!$A$1:$I$89,3,0)*0.475*44/12</f>
        <v>8.4235447733109022E-21</v>
      </c>
      <c r="AC174" s="24">
        <f t="shared" si="163"/>
        <v>6.0655688497537476E-2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1.1368683772161603E-13</v>
      </c>
      <c r="AJ174" s="14">
        <f>AI174*VLOOKUP('Données projet'!$B$10,Paramètres!$A$1:$I$89,3,0)*VLOOKUP('Données projet'!$B$10,Paramètres!$A$1:$I$89,5,0)</f>
        <v>7.626113074366004E-14</v>
      </c>
      <c r="AK174" s="14">
        <f t="shared" si="164"/>
        <v>1.1823749172251317E-12</v>
      </c>
      <c r="AL174" s="22">
        <f t="shared" si="165"/>
        <v>2.1921244502123119E-12</v>
      </c>
      <c r="AM174" s="62">
        <f t="shared" si="113"/>
        <v>288.73516144466373</v>
      </c>
      <c r="AN174" s="62">
        <f ca="1">AVERAGE(OFFSET($AM$3,0,0,'Données projet'!$E$10+1,1))-AVERAGE(OFFSET($H$3,0,0,'Données projet'!$E$10+1,1))</f>
        <v>312.88185844251097</v>
      </c>
      <c r="AO174" s="62">
        <f t="shared" si="144"/>
        <v>202.68317767036231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4.9457715236453571E-2</v>
      </c>
      <c r="AW174" s="23">
        <f>EXP(-LN(2)/2)*AW173+(1-EXP(-LN(2)/2))/(LN(2)/2)*AQ174*AT174*VLOOKUP('Données projet'!$B$10,Paramètres!$A$1:$I$89,3,0)*0.475*44/12</f>
        <v>6.1086011255486912E-21</v>
      </c>
      <c r="AX174" s="23">
        <f t="shared" si="166"/>
        <v>4.9457715236453571E-2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-1.1368683772161603E-13</v>
      </c>
      <c r="BE174" s="14">
        <f>BD174*VLOOKUP('Données projet'!$B$11,Paramètres!$A$1:$I$89,3,0)*VLOOKUP('Données projet'!$B$11,Paramètres!$A$1:$I$89,5,0)</f>
        <v>-9.9316821433603781E-14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287.22548699835653</v>
      </c>
      <c r="BJ174" s="62">
        <f t="shared" si="146"/>
        <v>276.01618888357268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0.14195226701691857</v>
      </c>
      <c r="BR174" s="23">
        <f>EXP(-LN(2)/2)*BR173+(1-EXP(-LN(2)/2))/(LN(2)/2)*BL174*BO174*VLOOKUP('Données projet'!$B$11,Paramètres!$A$1:$I$89,3,0)*0.475*44/12</f>
        <v>7.8273515366755916E-21</v>
      </c>
      <c r="BS174" s="24">
        <f t="shared" si="169"/>
        <v>0.14195226701691857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1.1527845344971866E-13</v>
      </c>
      <c r="P175" s="14">
        <f t="shared" si="141"/>
        <v>1.7033846239409443E-12</v>
      </c>
      <c r="Q175" s="22">
        <f t="shared" si="162"/>
        <v>3.1675048597887374E-12</v>
      </c>
      <c r="R175" s="62">
        <f t="shared" si="109"/>
        <v>288.81492944696083</v>
      </c>
      <c r="S175" s="62">
        <f ca="1">AVERAGE(OFFSET($R$3,0,0,'Données projet'!$E$9+1,1))-AVERAGE(OFFSET($H$3,0,0,'Données projet'!$E$9+1,1))</f>
        <v>446.90706503298787</v>
      </c>
      <c r="T175" s="62">
        <f t="shared" si="142"/>
        <v>275.54513370838777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5.8997055505828289E-2</v>
      </c>
      <c r="AB175" s="23">
        <f>EXP(-LN(2)/2)*AB174+(1-EXP(-LN(2)/2))/(LN(2)/2)*V175*Y175*VLOOKUP('Données projet'!$B$9,Paramètres!$A$1:$I$89,3,0)*0.475*44/12</f>
        <v>5.9563456308366382E-21</v>
      </c>
      <c r="AC175" s="24">
        <f t="shared" si="163"/>
        <v>5.8997055505828289E-2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1.1368683772161603E-13</v>
      </c>
      <c r="AJ175" s="14">
        <f>AI175*VLOOKUP('Données projet'!$B$10,Paramètres!$A$1:$I$89,3,0)*VLOOKUP('Données projet'!$B$10,Paramètres!$A$1:$I$89,5,0)</f>
        <v>7.626113074366004E-14</v>
      </c>
      <c r="AK175" s="14">
        <f t="shared" si="164"/>
        <v>1.1823749172251317E-12</v>
      </c>
      <c r="AL175" s="22">
        <f t="shared" si="165"/>
        <v>2.1921244502123119E-12</v>
      </c>
      <c r="AM175" s="62">
        <f t="shared" si="113"/>
        <v>288.81492944695987</v>
      </c>
      <c r="AN175" s="62">
        <f ca="1">AVERAGE(OFFSET($AM$3,0,0,'Données projet'!$E$10+1,1))-AVERAGE(OFFSET($H$3,0,0,'Données projet'!$E$10+1,1))</f>
        <v>312.88185844251097</v>
      </c>
      <c r="AO175" s="62">
        <f t="shared" si="144"/>
        <v>202.68317767036231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4.8105291412444538E-2</v>
      </c>
      <c r="AW175" s="23">
        <f>EXP(-LN(2)/2)*AW174+(1-EXP(-LN(2)/2))/(LN(2)/2)*AQ175*AT175*VLOOKUP('Données projet'!$B$10,Paramètres!$A$1:$I$89,3,0)*0.475*44/12</f>
        <v>4.3194332794392562E-21</v>
      </c>
      <c r="AX175" s="23">
        <f t="shared" si="166"/>
        <v>4.8105291412444538E-2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-1.1368683772161603E-13</v>
      </c>
      <c r="BE175" s="14">
        <f>BD175*VLOOKUP('Données projet'!$B$11,Paramètres!$A$1:$I$89,3,0)*VLOOKUP('Données projet'!$B$11,Paramètres!$A$1:$I$89,5,0)</f>
        <v>-9.9316821433603781E-14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287.22548699835653</v>
      </c>
      <c r="BJ175" s="62">
        <f t="shared" si="146"/>
        <v>276.01618888357268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0.13807057481039564</v>
      </c>
      <c r="BR175" s="23">
        <f>EXP(-LN(2)/2)*BR174+(1-EXP(-LN(2)/2))/(LN(2)/2)*BL175*BO175*VLOOKUP('Données projet'!$B$11,Paramètres!$A$1:$I$89,3,0)*0.475*44/12</f>
        <v>5.5347733503142541E-21</v>
      </c>
      <c r="BS175" s="24">
        <f t="shared" si="169"/>
        <v>0.13807057481039564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1.1527845344971866E-13</v>
      </c>
      <c r="P176" s="14">
        <f t="shared" si="141"/>
        <v>1.7033846239409443E-12</v>
      </c>
      <c r="Q176" s="22">
        <f t="shared" si="162"/>
        <v>3.1675048597887374E-12</v>
      </c>
      <c r="R176" s="62">
        <f t="shared" si="109"/>
        <v>288.89331365275166</v>
      </c>
      <c r="S176" s="62">
        <f ca="1">AVERAGE(OFFSET($R$3,0,0,'Données projet'!$E$9+1,1))-AVERAGE(OFFSET($H$3,0,0,'Données projet'!$E$9+1,1))</f>
        <v>446.90706503298787</v>
      </c>
      <c r="T176" s="62">
        <f t="shared" si="142"/>
        <v>275.54513370838777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5.7383777920501103E-2</v>
      </c>
      <c r="AB176" s="23">
        <f>EXP(-LN(2)/2)*AB175+(1-EXP(-LN(2)/2))/(LN(2)/2)*V176*Y176*VLOOKUP('Données projet'!$B$9,Paramètres!$A$1:$I$89,3,0)*0.475*44/12</f>
        <v>4.2117723866554511E-21</v>
      </c>
      <c r="AC176" s="24">
        <f t="shared" si="163"/>
        <v>5.7383777920501103E-2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1.1368683772161603E-13</v>
      </c>
      <c r="AJ176" s="14">
        <f>AI176*VLOOKUP('Données projet'!$B$10,Paramètres!$A$1:$I$89,3,0)*VLOOKUP('Données projet'!$B$10,Paramètres!$A$1:$I$89,5,0)</f>
        <v>7.626113074366004E-14</v>
      </c>
      <c r="AK176" s="14">
        <f t="shared" si="164"/>
        <v>1.1823749172251317E-12</v>
      </c>
      <c r="AL176" s="22">
        <f t="shared" si="165"/>
        <v>2.1921244502123119E-12</v>
      </c>
      <c r="AM176" s="62">
        <f t="shared" si="113"/>
        <v>288.89331365275069</v>
      </c>
      <c r="AN176" s="62">
        <f ca="1">AVERAGE(OFFSET($AM$3,0,0,'Données projet'!$E$10+1,1))-AVERAGE(OFFSET($H$3,0,0,'Données projet'!$E$10+1,1))</f>
        <v>312.88185844251097</v>
      </c>
      <c r="AO176" s="62">
        <f t="shared" si="144"/>
        <v>202.68317767036231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4.6789849689023916E-2</v>
      </c>
      <c r="AW176" s="23">
        <f>EXP(-LN(2)/2)*AW175+(1-EXP(-LN(2)/2))/(LN(2)/2)*AQ176*AT176*VLOOKUP('Données projet'!$B$10,Paramètres!$A$1:$I$89,3,0)*0.475*44/12</f>
        <v>3.0543005627743456E-21</v>
      </c>
      <c r="AX176" s="23">
        <f t="shared" si="166"/>
        <v>4.6789849689023916E-2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-1.1368683772161603E-13</v>
      </c>
      <c r="BE176" s="14">
        <f>BD176*VLOOKUP('Données projet'!$B$11,Paramètres!$A$1:$I$89,3,0)*VLOOKUP('Données projet'!$B$11,Paramètres!$A$1:$I$89,5,0)</f>
        <v>-9.9316821433603781E-14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287.22548699835653</v>
      </c>
      <c r="BJ176" s="62">
        <f t="shared" si="146"/>
        <v>276.01618888357268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0.1342950276813894</v>
      </c>
      <c r="BR176" s="23">
        <f>EXP(-LN(2)/2)*BR175+(1-EXP(-LN(2)/2))/(LN(2)/2)*BL176*BO176*VLOOKUP('Données projet'!$B$11,Paramètres!$A$1:$I$89,3,0)*0.475*44/12</f>
        <v>3.9136757683377958E-21</v>
      </c>
      <c r="BS176" s="24">
        <f t="shared" si="169"/>
        <v>0.1342950276813894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1.1527845344971866E-13</v>
      </c>
      <c r="P177" s="14">
        <f t="shared" si="141"/>
        <v>1.7033846239409443E-12</v>
      </c>
      <c r="Q177" s="22">
        <f t="shared" si="162"/>
        <v>3.1675048597887374E-12</v>
      </c>
      <c r="R177" s="62">
        <f t="shared" si="109"/>
        <v>288.97033806781292</v>
      </c>
      <c r="S177" s="62">
        <f ca="1">AVERAGE(OFFSET($R$3,0,0,'Données projet'!$E$9+1,1))-AVERAGE(OFFSET($H$3,0,0,'Données projet'!$E$9+1,1))</f>
        <v>446.90706503298787</v>
      </c>
      <c r="T177" s="62">
        <f t="shared" si="142"/>
        <v>275.54513370838777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5.5814615495583274E-2</v>
      </c>
      <c r="AB177" s="23">
        <f>EXP(-LN(2)/2)*AB176+(1-EXP(-LN(2)/2))/(LN(2)/2)*V177*Y177*VLOOKUP('Données projet'!$B$9,Paramètres!$A$1:$I$89,3,0)*0.475*44/12</f>
        <v>2.9781728154183191E-21</v>
      </c>
      <c r="AC177" s="24">
        <f t="shared" si="163"/>
        <v>5.5814615495583274E-2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1.1368683772161603E-13</v>
      </c>
      <c r="AJ177" s="14">
        <f>AI177*VLOOKUP('Données projet'!$B$10,Paramètres!$A$1:$I$89,3,0)*VLOOKUP('Données projet'!$B$10,Paramètres!$A$1:$I$89,5,0)</f>
        <v>7.626113074366004E-14</v>
      </c>
      <c r="AK177" s="14">
        <f t="shared" si="164"/>
        <v>1.1823749172251317E-12</v>
      </c>
      <c r="AL177" s="22">
        <f t="shared" si="165"/>
        <v>2.1921244502123119E-12</v>
      </c>
      <c r="AM177" s="62">
        <f t="shared" si="113"/>
        <v>288.97033806781195</v>
      </c>
      <c r="AN177" s="62">
        <f ca="1">AVERAGE(OFFSET($AM$3,0,0,'Données projet'!$E$10+1,1))-AVERAGE(OFFSET($H$3,0,0,'Données projet'!$E$10+1,1))</f>
        <v>312.88185844251097</v>
      </c>
      <c r="AO177" s="62">
        <f t="shared" si="144"/>
        <v>202.68317767036231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4.5510378788706299E-2</v>
      </c>
      <c r="AW177" s="23">
        <f>EXP(-LN(2)/2)*AW176+(1-EXP(-LN(2)/2))/(LN(2)/2)*AQ177*AT177*VLOOKUP('Données projet'!$B$10,Paramètres!$A$1:$I$89,3,0)*0.475*44/12</f>
        <v>2.1597166397196281E-21</v>
      </c>
      <c r="AX177" s="23">
        <f t="shared" si="166"/>
        <v>4.5510378788706299E-2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-1.1368683772161603E-13</v>
      </c>
      <c r="BE177" s="14">
        <f>BD177*VLOOKUP('Données projet'!$B$11,Paramètres!$A$1:$I$89,3,0)*VLOOKUP('Données projet'!$B$11,Paramètres!$A$1:$I$89,5,0)</f>
        <v>-9.9316821433603781E-14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287.22548699835653</v>
      </c>
      <c r="BJ177" s="62">
        <f t="shared" si="146"/>
        <v>276.01618888357268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0.13062272308717324</v>
      </c>
      <c r="BR177" s="23">
        <f>EXP(-LN(2)/2)*BR176+(1-EXP(-LN(2)/2))/(LN(2)/2)*BL177*BO177*VLOOKUP('Données projet'!$B$11,Paramètres!$A$1:$I$89,3,0)*0.475*44/12</f>
        <v>2.767386675157127E-21</v>
      </c>
      <c r="BS177" s="24">
        <f t="shared" si="169"/>
        <v>0.13062272308717324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1.1527845344971866E-13</v>
      </c>
      <c r="P178" s="14">
        <f t="shared" si="141"/>
        <v>1.7033846239409443E-12</v>
      </c>
      <c r="Q178" s="22">
        <f t="shared" si="162"/>
        <v>3.1675048597887374E-12</v>
      </c>
      <c r="R178" s="62">
        <f t="shared" si="109"/>
        <v>289.04602628147359</v>
      </c>
      <c r="S178" s="62">
        <f ca="1">AVERAGE(OFFSET($R$3,0,0,'Données projet'!$E$9+1,1))-AVERAGE(OFFSET($H$3,0,0,'Données projet'!$E$9+1,1))</f>
        <v>446.90706503298787</v>
      </c>
      <c r="T178" s="62">
        <f t="shared" si="142"/>
        <v>275.54513370838777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5.4288361899693487E-2</v>
      </c>
      <c r="AB178" s="23">
        <f>EXP(-LN(2)/2)*AB177+(1-EXP(-LN(2)/2))/(LN(2)/2)*V178*Y178*VLOOKUP('Données projet'!$B$9,Paramètres!$A$1:$I$89,3,0)*0.475*44/12</f>
        <v>2.1058861933277255E-21</v>
      </c>
      <c r="AC178" s="24">
        <f t="shared" si="163"/>
        <v>5.4288361899693487E-2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1.1368683772161603E-13</v>
      </c>
      <c r="AJ178" s="14">
        <f>AI178*VLOOKUP('Données projet'!$B$10,Paramètres!$A$1:$I$89,3,0)*VLOOKUP('Données projet'!$B$10,Paramètres!$A$1:$I$89,5,0)</f>
        <v>7.626113074366004E-14</v>
      </c>
      <c r="AK178" s="14">
        <f t="shared" si="164"/>
        <v>1.1823749172251317E-12</v>
      </c>
      <c r="AL178" s="22">
        <f t="shared" si="165"/>
        <v>2.1921244502123119E-12</v>
      </c>
      <c r="AM178" s="62">
        <f t="shared" si="113"/>
        <v>289.04602628147262</v>
      </c>
      <c r="AN178" s="62">
        <f ca="1">AVERAGE(OFFSET($AM$3,0,0,'Données projet'!$E$10+1,1))-AVERAGE(OFFSET($H$3,0,0,'Données projet'!$E$10+1,1))</f>
        <v>312.88185844251097</v>
      </c>
      <c r="AO178" s="62">
        <f t="shared" si="144"/>
        <v>202.68317767036231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4.4265895087442317E-2</v>
      </c>
      <c r="AW178" s="23">
        <f>EXP(-LN(2)/2)*AW177+(1-EXP(-LN(2)/2))/(LN(2)/2)*AQ178*AT178*VLOOKUP('Données projet'!$B$10,Paramètres!$A$1:$I$89,3,0)*0.475*44/12</f>
        <v>1.5271502813871728E-21</v>
      </c>
      <c r="AX178" s="23">
        <f t="shared" si="166"/>
        <v>4.4265895087442317E-2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-1.1368683772161603E-13</v>
      </c>
      <c r="BE178" s="14">
        <f>BD178*VLOOKUP('Données projet'!$B$11,Paramètres!$A$1:$I$89,3,0)*VLOOKUP('Données projet'!$B$11,Paramètres!$A$1:$I$89,5,0)</f>
        <v>-9.9316821433603781E-14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287.22548699835653</v>
      </c>
      <c r="BJ178" s="62">
        <f t="shared" si="146"/>
        <v>276.01618888357268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0.12705083785520402</v>
      </c>
      <c r="BR178" s="23">
        <f>EXP(-LN(2)/2)*BR177+(1-EXP(-LN(2)/2))/(LN(2)/2)*BL178*BO178*VLOOKUP('Données projet'!$B$11,Paramètres!$A$1:$I$89,3,0)*0.475*44/12</f>
        <v>1.9568378841688979E-21</v>
      </c>
      <c r="BS178" s="24">
        <f t="shared" si="169"/>
        <v>0.12705083785520402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1.1527845344971866E-13</v>
      </c>
      <c r="P179" s="14">
        <f t="shared" si="141"/>
        <v>1.7033846239409443E-12</v>
      </c>
      <c r="Q179" s="22">
        <f t="shared" si="162"/>
        <v>3.1675048597887374E-12</v>
      </c>
      <c r="R179" s="62">
        <f t="shared" si="109"/>
        <v>289.12040147384079</v>
      </c>
      <c r="S179" s="62">
        <f ca="1">AVERAGE(OFFSET($R$3,0,0,'Données projet'!$E$9+1,1))-AVERAGE(OFFSET($H$3,0,0,'Données projet'!$E$9+1,1))</f>
        <v>446.90706503298787</v>
      </c>
      <c r="T179" s="62">
        <f t="shared" si="142"/>
        <v>275.54513370838777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5.2803843788645492E-2</v>
      </c>
      <c r="AB179" s="23">
        <f>EXP(-LN(2)/2)*AB178+(1-EXP(-LN(2)/2))/(LN(2)/2)*V179*Y179*VLOOKUP('Données projet'!$B$9,Paramètres!$A$1:$I$89,3,0)*0.475*44/12</f>
        <v>1.4890864077091596E-21</v>
      </c>
      <c r="AC179" s="24">
        <f t="shared" si="163"/>
        <v>5.2803843788645492E-2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1.1368683772161603E-13</v>
      </c>
      <c r="AJ179" s="14">
        <f>AI179*VLOOKUP('Données projet'!$B$10,Paramètres!$A$1:$I$89,3,0)*VLOOKUP('Données projet'!$B$10,Paramètres!$A$1:$I$89,5,0)</f>
        <v>7.626113074366004E-14</v>
      </c>
      <c r="AK179" s="14">
        <f t="shared" si="164"/>
        <v>1.1823749172251317E-12</v>
      </c>
      <c r="AL179" s="22">
        <f t="shared" si="165"/>
        <v>2.1921244502123119E-12</v>
      </c>
      <c r="AM179" s="62">
        <f t="shared" si="113"/>
        <v>289.12040147383982</v>
      </c>
      <c r="AN179" s="62">
        <f ca="1">AVERAGE(OFFSET($AM$3,0,0,'Données projet'!$E$10+1,1))-AVERAGE(OFFSET($H$3,0,0,'Données projet'!$E$10+1,1))</f>
        <v>312.88185844251097</v>
      </c>
      <c r="AO179" s="62">
        <f t="shared" si="144"/>
        <v>202.68317767036231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4.3055441858433956E-2</v>
      </c>
      <c r="AW179" s="23">
        <f>EXP(-LN(2)/2)*AW178+(1-EXP(-LN(2)/2))/(LN(2)/2)*AQ179*AT179*VLOOKUP('Données projet'!$B$10,Paramètres!$A$1:$I$89,3,0)*0.475*44/12</f>
        <v>1.0798583198598141E-21</v>
      </c>
      <c r="AX179" s="23">
        <f t="shared" si="166"/>
        <v>4.3055441858433956E-2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-1.1368683772161603E-13</v>
      </c>
      <c r="BE179" s="14">
        <f>BD179*VLOOKUP('Données projet'!$B$11,Paramètres!$A$1:$I$89,3,0)*VLOOKUP('Données projet'!$B$11,Paramètres!$A$1:$I$89,5,0)</f>
        <v>-9.9316821433603781E-14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287.22548699835653</v>
      </c>
      <c r="BJ179" s="62">
        <f t="shared" si="146"/>
        <v>276.01618888357268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0.12357662601274028</v>
      </c>
      <c r="BR179" s="23">
        <f>EXP(-LN(2)/2)*BR178+(1-EXP(-LN(2)/2))/(LN(2)/2)*BL179*BO179*VLOOKUP('Données projet'!$B$11,Paramètres!$A$1:$I$89,3,0)*0.475*44/12</f>
        <v>1.3836933375785635E-21</v>
      </c>
      <c r="BS179" s="24">
        <f t="shared" si="169"/>
        <v>0.12357662601274028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1.1527845344971866E-13</v>
      </c>
      <c r="P180" s="14">
        <f t="shared" si="141"/>
        <v>1.7033846239409443E-12</v>
      </c>
      <c r="Q180" s="22">
        <f t="shared" si="162"/>
        <v>3.1675048597887374E-12</v>
      </c>
      <c r="R180" s="62">
        <f t="shared" si="109"/>
        <v>289.19348642289845</v>
      </c>
      <c r="S180" s="62">
        <f ca="1">AVERAGE(OFFSET($R$3,0,0,'Données projet'!$E$9+1,1))-AVERAGE(OFFSET($H$3,0,0,'Données projet'!$E$9+1,1))</f>
        <v>446.90706503298787</v>
      </c>
      <c r="T180" s="62">
        <f t="shared" si="142"/>
        <v>275.54513370838777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5.1359919903411523E-2</v>
      </c>
      <c r="AB180" s="23">
        <f>EXP(-LN(2)/2)*AB179+(1-EXP(-LN(2)/2))/(LN(2)/2)*V180*Y180*VLOOKUP('Données projet'!$B$9,Paramètres!$A$1:$I$89,3,0)*0.475*44/12</f>
        <v>1.0529430966638628E-21</v>
      </c>
      <c r="AC180" s="24">
        <f t="shared" si="163"/>
        <v>5.1359919903411523E-2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1.1368683772161603E-13</v>
      </c>
      <c r="AJ180" s="14">
        <f>AI180*VLOOKUP('Données projet'!$B$10,Paramètres!$A$1:$I$89,3,0)*VLOOKUP('Données projet'!$B$10,Paramètres!$A$1:$I$89,5,0)</f>
        <v>7.626113074366004E-14</v>
      </c>
      <c r="AK180" s="14">
        <f t="shared" si="164"/>
        <v>1.1823749172251317E-12</v>
      </c>
      <c r="AL180" s="22">
        <f t="shared" si="165"/>
        <v>2.1921244502123119E-12</v>
      </c>
      <c r="AM180" s="62">
        <f t="shared" si="113"/>
        <v>289.19348642289748</v>
      </c>
      <c r="AN180" s="62">
        <f ca="1">AVERAGE(OFFSET($AM$3,0,0,'Données projet'!$E$10+1,1))-AVERAGE(OFFSET($H$3,0,0,'Données projet'!$E$10+1,1))</f>
        <v>312.88185844251097</v>
      </c>
      <c r="AO180" s="62">
        <f t="shared" si="144"/>
        <v>202.68317767036231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4.1878088536627799E-2</v>
      </c>
      <c r="AW180" s="23">
        <f>EXP(-LN(2)/2)*AW179+(1-EXP(-LN(2)/2))/(LN(2)/2)*AQ180*AT180*VLOOKUP('Données projet'!$B$10,Paramètres!$A$1:$I$89,3,0)*0.475*44/12</f>
        <v>7.6357514069358639E-22</v>
      </c>
      <c r="AX180" s="23">
        <f t="shared" si="166"/>
        <v>4.1878088536627799E-2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-1.1368683772161603E-13</v>
      </c>
      <c r="BE180" s="14">
        <f>BD180*VLOOKUP('Données projet'!$B$11,Paramètres!$A$1:$I$89,3,0)*VLOOKUP('Données projet'!$B$11,Paramètres!$A$1:$I$89,5,0)</f>
        <v>-9.9316821433603781E-14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287.22548699835653</v>
      </c>
      <c r="BJ180" s="62">
        <f t="shared" si="146"/>
        <v>276.01618888357268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0.12019741667580956</v>
      </c>
      <c r="BR180" s="23">
        <f>EXP(-LN(2)/2)*BR179+(1-EXP(-LN(2)/2))/(LN(2)/2)*BL180*BO180*VLOOKUP('Données projet'!$B$11,Paramètres!$A$1:$I$89,3,0)*0.475*44/12</f>
        <v>9.7841894208444895E-22</v>
      </c>
      <c r="BS180" s="24">
        <f t="shared" si="169"/>
        <v>0.12019741667580956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1.1527845344971866E-13</v>
      </c>
      <c r="P181" s="14">
        <f t="shared" si="141"/>
        <v>1.7033846239409443E-12</v>
      </c>
      <c r="Q181" s="22">
        <f t="shared" si="162"/>
        <v>3.1675048597887374E-12</v>
      </c>
      <c r="R181" s="62">
        <f t="shared" si="109"/>
        <v>289.26530351148335</v>
      </c>
      <c r="S181" s="62">
        <f ca="1">AVERAGE(OFFSET($R$3,0,0,'Données projet'!$E$9+1,1))-AVERAGE(OFFSET($H$3,0,0,'Données projet'!$E$9+1,1))</f>
        <v>446.90706503298787</v>
      </c>
      <c r="T181" s="62">
        <f t="shared" si="142"/>
        <v>275.54513370838777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4.9955480192751929E-2</v>
      </c>
      <c r="AB181" s="23">
        <f>EXP(-LN(2)/2)*AB180+(1-EXP(-LN(2)/2))/(LN(2)/2)*V181*Y181*VLOOKUP('Données projet'!$B$9,Paramètres!$A$1:$I$89,3,0)*0.475*44/12</f>
        <v>7.4454320385457978E-22</v>
      </c>
      <c r="AC181" s="24">
        <f t="shared" si="163"/>
        <v>4.9955480192751929E-2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1.1368683772161603E-13</v>
      </c>
      <c r="AJ181" s="14">
        <f>AI181*VLOOKUP('Données projet'!$B$10,Paramètres!$A$1:$I$89,3,0)*VLOOKUP('Données projet'!$B$10,Paramètres!$A$1:$I$89,5,0)</f>
        <v>7.626113074366004E-14</v>
      </c>
      <c r="AK181" s="14">
        <f t="shared" si="164"/>
        <v>1.1823749172251317E-12</v>
      </c>
      <c r="AL181" s="22">
        <f t="shared" si="165"/>
        <v>2.1921244502123119E-12</v>
      </c>
      <c r="AM181" s="62">
        <f t="shared" si="113"/>
        <v>289.26530351148239</v>
      </c>
      <c r="AN181" s="62">
        <f ca="1">AVERAGE(OFFSET($AM$3,0,0,'Données projet'!$E$10+1,1))-AVERAGE(OFFSET($H$3,0,0,'Données projet'!$E$10+1,1))</f>
        <v>312.88185844251097</v>
      </c>
      <c r="AO181" s="62">
        <f t="shared" si="144"/>
        <v>202.68317767036231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4.0732930003320747E-2</v>
      </c>
      <c r="AW181" s="23">
        <f>EXP(-LN(2)/2)*AW180+(1-EXP(-LN(2)/2))/(LN(2)/2)*AQ181*AT181*VLOOKUP('Données projet'!$B$10,Paramètres!$A$1:$I$89,3,0)*0.475*44/12</f>
        <v>5.3992915992990703E-22</v>
      </c>
      <c r="AX181" s="23">
        <f t="shared" si="166"/>
        <v>4.0732930003320747E-2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-1.1368683772161603E-13</v>
      </c>
      <c r="BE181" s="14">
        <f>BD181*VLOOKUP('Données projet'!$B$11,Paramètres!$A$1:$I$89,3,0)*VLOOKUP('Données projet'!$B$11,Paramètres!$A$1:$I$89,5,0)</f>
        <v>-9.9316821433603781E-14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287.22548699835653</v>
      </c>
      <c r="BJ181" s="62">
        <f t="shared" si="146"/>
        <v>276.01618888357268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0.11691061199590212</v>
      </c>
      <c r="BR181" s="23">
        <f>EXP(-LN(2)/2)*BR180+(1-EXP(-LN(2)/2))/(LN(2)/2)*BL181*BO181*VLOOKUP('Données projet'!$B$11,Paramètres!$A$1:$I$89,3,0)*0.475*44/12</f>
        <v>6.9184666878928176E-22</v>
      </c>
      <c r="BS181" s="24">
        <f t="shared" si="169"/>
        <v>0.11691061199590212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1.1527845344971866E-13</v>
      </c>
      <c r="P182" s="14">
        <f t="shared" si="141"/>
        <v>1.7033846239409443E-12</v>
      </c>
      <c r="Q182" s="22">
        <f t="shared" si="162"/>
        <v>3.1675048597887374E-12</v>
      </c>
      <c r="R182" s="62">
        <f t="shared" si="109"/>
        <v>289.3358747341403</v>
      </c>
      <c r="S182" s="62">
        <f ca="1">AVERAGE(OFFSET($R$3,0,0,'Données projet'!$E$9+1,1))-AVERAGE(OFFSET($H$3,0,0,'Données projet'!$E$9+1,1))</f>
        <v>446.90706503298787</v>
      </c>
      <c r="T182" s="62">
        <f t="shared" si="142"/>
        <v>275.54513370838777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4.8589444959836602E-2</v>
      </c>
      <c r="AB182" s="23">
        <f>EXP(-LN(2)/2)*AB181+(1-EXP(-LN(2)/2))/(LN(2)/2)*V182*Y182*VLOOKUP('Données projet'!$B$9,Paramètres!$A$1:$I$89,3,0)*0.475*44/12</f>
        <v>5.2647154833193139E-22</v>
      </c>
      <c r="AC182" s="24">
        <f t="shared" si="163"/>
        <v>4.8589444959836602E-2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1.1368683772161603E-13</v>
      </c>
      <c r="AJ182" s="14">
        <f>AI182*VLOOKUP('Données projet'!$B$10,Paramètres!$A$1:$I$89,3,0)*VLOOKUP('Données projet'!$B$10,Paramètres!$A$1:$I$89,5,0)</f>
        <v>7.626113074366004E-14</v>
      </c>
      <c r="AK182" s="14">
        <f t="shared" si="164"/>
        <v>1.1823749172251317E-12</v>
      </c>
      <c r="AL182" s="22">
        <f t="shared" si="165"/>
        <v>2.1921244502123119E-12</v>
      </c>
      <c r="AM182" s="62">
        <f t="shared" si="113"/>
        <v>289.33587473413934</v>
      </c>
      <c r="AN182" s="62">
        <f ca="1">AVERAGE(OFFSET($AM$3,0,0,'Données projet'!$E$10+1,1))-AVERAGE(OFFSET($H$3,0,0,'Données projet'!$E$10+1,1))</f>
        <v>312.88185844251097</v>
      </c>
      <c r="AO182" s="62">
        <f t="shared" si="144"/>
        <v>202.68317767036231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3.9619085890328247E-2</v>
      </c>
      <c r="AW182" s="23">
        <f>EXP(-LN(2)/2)*AW181+(1-EXP(-LN(2)/2))/(LN(2)/2)*AQ182*AT182*VLOOKUP('Données projet'!$B$10,Paramètres!$A$1:$I$89,3,0)*0.475*44/12</f>
        <v>3.817875703467932E-22</v>
      </c>
      <c r="AX182" s="23">
        <f t="shared" si="166"/>
        <v>3.9619085890328247E-2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-1.1368683772161603E-13</v>
      </c>
      <c r="BE182" s="14">
        <f>BD182*VLOOKUP('Données projet'!$B$11,Paramètres!$A$1:$I$89,3,0)*VLOOKUP('Données projet'!$B$11,Paramètres!$A$1:$I$89,5,0)</f>
        <v>-9.9316821433603781E-14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287.22548699835653</v>
      </c>
      <c r="BJ182" s="62">
        <f t="shared" si="146"/>
        <v>276.01618888357268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0.1137136851628123</v>
      </c>
      <c r="BR182" s="23">
        <f>EXP(-LN(2)/2)*BR181+(1-EXP(-LN(2)/2))/(LN(2)/2)*BL182*BO182*VLOOKUP('Données projet'!$B$11,Paramètres!$A$1:$I$89,3,0)*0.475*44/12</f>
        <v>4.8920947104222447E-22</v>
      </c>
      <c r="BS182" s="24">
        <f t="shared" si="169"/>
        <v>0.1137136851628123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1.1527845344971866E-13</v>
      </c>
      <c r="P183" s="14">
        <f t="shared" si="141"/>
        <v>1.7033846239409443E-12</v>
      </c>
      <c r="Q183" s="22">
        <f t="shared" si="162"/>
        <v>3.1675048597887374E-12</v>
      </c>
      <c r="R183" s="62">
        <f t="shared" si="109"/>
        <v>289.40522170385782</v>
      </c>
      <c r="S183" s="62">
        <f ca="1">AVERAGE(OFFSET($R$3,0,0,'Données projet'!$E$9+1,1))-AVERAGE(OFFSET($H$3,0,0,'Données projet'!$E$9+1,1))</f>
        <v>446.90706503298787</v>
      </c>
      <c r="T183" s="62">
        <f t="shared" si="142"/>
        <v>275.54513370838777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4.7260764032202009E-2</v>
      </c>
      <c r="AB183" s="23">
        <f>EXP(-LN(2)/2)*AB182+(1-EXP(-LN(2)/2))/(LN(2)/2)*V183*Y183*VLOOKUP('Données projet'!$B$9,Paramètres!$A$1:$I$89,3,0)*0.475*44/12</f>
        <v>3.7227160192728989E-22</v>
      </c>
      <c r="AC183" s="24">
        <f t="shared" si="163"/>
        <v>4.7260764032202009E-2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1.1368683772161603E-13</v>
      </c>
      <c r="AJ183" s="14">
        <f>AI183*VLOOKUP('Données projet'!$B$10,Paramètres!$A$1:$I$89,3,0)*VLOOKUP('Données projet'!$B$10,Paramètres!$A$1:$I$89,5,0)</f>
        <v>7.626113074366004E-14</v>
      </c>
      <c r="AK183" s="14">
        <f t="shared" si="164"/>
        <v>1.1823749172251317E-12</v>
      </c>
      <c r="AL183" s="22">
        <f t="shared" si="165"/>
        <v>2.1921244502123119E-12</v>
      </c>
      <c r="AM183" s="62">
        <f t="shared" si="113"/>
        <v>289.40522170385685</v>
      </c>
      <c r="AN183" s="62">
        <f ca="1">AVERAGE(OFFSET($AM$3,0,0,'Données projet'!$E$10+1,1))-AVERAGE(OFFSET($H$3,0,0,'Données projet'!$E$10+1,1))</f>
        <v>312.88185844251097</v>
      </c>
      <c r="AO183" s="62">
        <f t="shared" si="144"/>
        <v>202.68317767036231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3.8535699903180044E-2</v>
      </c>
      <c r="AW183" s="23">
        <f>EXP(-LN(2)/2)*AW182+(1-EXP(-LN(2)/2))/(LN(2)/2)*AQ183*AT183*VLOOKUP('Données projet'!$B$10,Paramètres!$A$1:$I$89,3,0)*0.475*44/12</f>
        <v>2.6996457996495351E-22</v>
      </c>
      <c r="AX183" s="23">
        <f t="shared" si="166"/>
        <v>3.8535699903180044E-2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-1.1368683772161603E-13</v>
      </c>
      <c r="BE183" s="14">
        <f>BD183*VLOOKUP('Données projet'!$B$11,Paramètres!$A$1:$I$89,3,0)*VLOOKUP('Données projet'!$B$11,Paramètres!$A$1:$I$89,5,0)</f>
        <v>-9.9316821433603781E-14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287.22548699835653</v>
      </c>
      <c r="BJ183" s="62">
        <f t="shared" si="146"/>
        <v>276.01618888357268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0.11060417846209239</v>
      </c>
      <c r="BR183" s="23">
        <f>EXP(-LN(2)/2)*BR182+(1-EXP(-LN(2)/2))/(LN(2)/2)*BL183*BO183*VLOOKUP('Données projet'!$B$11,Paramètres!$A$1:$I$89,3,0)*0.475*44/12</f>
        <v>3.4592333439464088E-22</v>
      </c>
      <c r="BS183" s="24">
        <f t="shared" si="169"/>
        <v>0.11060417846209239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1.1527845344971866E-13</v>
      </c>
      <c r="P184" s="14">
        <f t="shared" si="141"/>
        <v>1.7033846239409443E-12</v>
      </c>
      <c r="Q184" s="22">
        <f t="shared" si="162"/>
        <v>3.1675048597887374E-12</v>
      </c>
      <c r="R184" s="62">
        <f t="shared" si="109"/>
        <v>289.47336565868727</v>
      </c>
      <c r="S184" s="62">
        <f ca="1">AVERAGE(OFFSET($R$3,0,0,'Données projet'!$E$9+1,1))-AVERAGE(OFFSET($H$3,0,0,'Données projet'!$E$9+1,1))</f>
        <v>446.90706503298787</v>
      </c>
      <c r="T184" s="62">
        <f t="shared" si="142"/>
        <v>275.54513370838777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4.5968415954405879E-2</v>
      </c>
      <c r="AB184" s="23">
        <f>EXP(-LN(2)/2)*AB183+(1-EXP(-LN(2)/2))/(LN(2)/2)*V184*Y184*VLOOKUP('Données projet'!$B$9,Paramètres!$A$1:$I$89,3,0)*0.475*44/12</f>
        <v>2.6323577416596569E-22</v>
      </c>
      <c r="AC184" s="24">
        <f t="shared" si="163"/>
        <v>4.5968415954405879E-2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1.1368683772161603E-13</v>
      </c>
      <c r="AJ184" s="14">
        <f>AI184*VLOOKUP('Données projet'!$B$10,Paramètres!$A$1:$I$89,3,0)*VLOOKUP('Données projet'!$B$10,Paramètres!$A$1:$I$89,5,0)</f>
        <v>7.626113074366004E-14</v>
      </c>
      <c r="AK184" s="14">
        <f t="shared" si="164"/>
        <v>1.1823749172251317E-12</v>
      </c>
      <c r="AL184" s="22">
        <f t="shared" si="165"/>
        <v>2.1921244502123119E-12</v>
      </c>
      <c r="AM184" s="62">
        <f t="shared" si="113"/>
        <v>289.4733656586863</v>
      </c>
      <c r="AN184" s="62">
        <f ca="1">AVERAGE(OFFSET($AM$3,0,0,'Données projet'!$E$10+1,1))-AVERAGE(OFFSET($H$3,0,0,'Données projet'!$E$10+1,1))</f>
        <v>312.88185844251097</v>
      </c>
      <c r="AO184" s="62">
        <f t="shared" si="144"/>
        <v>202.68317767036231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3.7481939162823205E-2</v>
      </c>
      <c r="AW184" s="23">
        <f>EXP(-LN(2)/2)*AW183+(1-EXP(-LN(2)/2))/(LN(2)/2)*AQ184*AT184*VLOOKUP('Données projet'!$B$10,Paramètres!$A$1:$I$89,3,0)*0.475*44/12</f>
        <v>1.908937851733966E-22</v>
      </c>
      <c r="AX184" s="23">
        <f t="shared" si="166"/>
        <v>3.7481939162823205E-2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-1.1368683772161603E-13</v>
      </c>
      <c r="BE184" s="14">
        <f>BD184*VLOOKUP('Données projet'!$B$11,Paramètres!$A$1:$I$89,3,0)*VLOOKUP('Données projet'!$B$11,Paramètres!$A$1:$I$89,5,0)</f>
        <v>-9.9316821433603781E-14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287.22548699835653</v>
      </c>
      <c r="BJ184" s="62">
        <f t="shared" si="146"/>
        <v>276.01618888357268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0.10757970138562552</v>
      </c>
      <c r="BR184" s="23">
        <f>EXP(-LN(2)/2)*BR183+(1-EXP(-LN(2)/2))/(LN(2)/2)*BL184*BO184*VLOOKUP('Données projet'!$B$11,Paramètres!$A$1:$I$89,3,0)*0.475*44/12</f>
        <v>2.4460473552111224E-22</v>
      </c>
      <c r="BS184" s="24">
        <f t="shared" si="169"/>
        <v>0.10757970138562552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1.1527845344971866E-13</v>
      </c>
      <c r="P185" s="14">
        <f t="shared" si="141"/>
        <v>1.7033846239409443E-12</v>
      </c>
      <c r="Q185" s="22">
        <f t="shared" si="162"/>
        <v>3.1675048597887374E-12</v>
      </c>
      <c r="R185" s="62">
        <f t="shared" si="109"/>
        <v>289.5403274682476</v>
      </c>
      <c r="S185" s="62">
        <f ca="1">AVERAGE(OFFSET($R$3,0,0,'Données projet'!$E$9+1,1))-AVERAGE(OFFSET($H$3,0,0,'Données projet'!$E$9+1,1))</f>
        <v>446.90706503298787</v>
      </c>
      <c r="T185" s="62">
        <f t="shared" si="142"/>
        <v>275.54513370838777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4.4711407202758721E-2</v>
      </c>
      <c r="AB185" s="23">
        <f>EXP(-LN(2)/2)*AB184+(1-EXP(-LN(2)/2))/(LN(2)/2)*V185*Y185*VLOOKUP('Données projet'!$B$9,Paramètres!$A$1:$I$89,3,0)*0.475*44/12</f>
        <v>1.8613580096364494E-22</v>
      </c>
      <c r="AC185" s="24">
        <f t="shared" si="163"/>
        <v>4.4711407202758721E-2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1.1368683772161603E-13</v>
      </c>
      <c r="AJ185" s="14">
        <f>AI185*VLOOKUP('Données projet'!$B$10,Paramètres!$A$1:$I$89,3,0)*VLOOKUP('Données projet'!$B$10,Paramètres!$A$1:$I$89,5,0)</f>
        <v>7.626113074366004E-14</v>
      </c>
      <c r="AK185" s="14">
        <f t="shared" si="164"/>
        <v>1.1823749172251317E-12</v>
      </c>
      <c r="AL185" s="22">
        <f t="shared" si="165"/>
        <v>2.1921244502123119E-12</v>
      </c>
      <c r="AM185" s="62">
        <f t="shared" si="113"/>
        <v>289.54032746824663</v>
      </c>
      <c r="AN185" s="62">
        <f ca="1">AVERAGE(OFFSET($AM$3,0,0,'Données projet'!$E$10+1,1))-AVERAGE(OFFSET($H$3,0,0,'Données projet'!$E$10+1,1))</f>
        <v>312.88185844251097</v>
      </c>
      <c r="AO185" s="62">
        <f t="shared" si="144"/>
        <v>202.68317767036231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3.6456993565326293E-2</v>
      </c>
      <c r="AW185" s="23">
        <f>EXP(-LN(2)/2)*AW184+(1-EXP(-LN(2)/2))/(LN(2)/2)*AQ185*AT185*VLOOKUP('Données projet'!$B$10,Paramètres!$A$1:$I$89,3,0)*0.475*44/12</f>
        <v>1.3498228998247676E-22</v>
      </c>
      <c r="AX185" s="23">
        <f t="shared" si="166"/>
        <v>3.6456993565326293E-2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-1.1368683772161603E-13</v>
      </c>
      <c r="BE185" s="14">
        <f>BD185*VLOOKUP('Données projet'!$B$11,Paramètres!$A$1:$I$89,3,0)*VLOOKUP('Données projet'!$B$11,Paramètres!$A$1:$I$89,5,0)</f>
        <v>-9.9316821433603781E-14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287.22548699835653</v>
      </c>
      <c r="BJ185" s="62">
        <f t="shared" si="146"/>
        <v>276.01618888357268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0.10463792879386496</v>
      </c>
      <c r="BR185" s="23">
        <f>EXP(-LN(2)/2)*BR184+(1-EXP(-LN(2)/2))/(LN(2)/2)*BL185*BO185*VLOOKUP('Données projet'!$B$11,Paramètres!$A$1:$I$89,3,0)*0.475*44/12</f>
        <v>1.7296166719732044E-22</v>
      </c>
      <c r="BS185" s="24">
        <f t="shared" si="169"/>
        <v>0.10463792879386496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1.1527845344971866E-13</v>
      </c>
      <c r="P186" s="14">
        <f t="shared" si="141"/>
        <v>1.7033846239409443E-12</v>
      </c>
      <c r="Q186" s="22">
        <f t="shared" si="162"/>
        <v>3.1675048597887374E-12</v>
      </c>
      <c r="R186" s="62">
        <f t="shared" si="109"/>
        <v>289.60612764011614</v>
      </c>
      <c r="S186" s="62">
        <f ca="1">AVERAGE(OFFSET($R$3,0,0,'Données projet'!$E$9+1,1))-AVERAGE(OFFSET($H$3,0,0,'Données projet'!$E$9+1,1))</f>
        <v>446.90706503298787</v>
      </c>
      <c r="T186" s="62">
        <f t="shared" si="142"/>
        <v>275.54513370838777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4.3488771421528571E-2</v>
      </c>
      <c r="AB186" s="23">
        <f>EXP(-LN(2)/2)*AB185+(1-EXP(-LN(2)/2))/(LN(2)/2)*V186*Y186*VLOOKUP('Données projet'!$B$9,Paramètres!$A$1:$I$89,3,0)*0.475*44/12</f>
        <v>1.3161788708298285E-22</v>
      </c>
      <c r="AC186" s="24">
        <f t="shared" si="163"/>
        <v>4.3488771421528571E-2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1.1368683772161603E-13</v>
      </c>
      <c r="AJ186" s="14">
        <f>AI186*VLOOKUP('Données projet'!$B$10,Paramètres!$A$1:$I$89,3,0)*VLOOKUP('Données projet'!$B$10,Paramètres!$A$1:$I$89,5,0)</f>
        <v>7.626113074366004E-14</v>
      </c>
      <c r="AK186" s="14">
        <f t="shared" si="164"/>
        <v>1.1823749172251317E-12</v>
      </c>
      <c r="AL186" s="22">
        <f t="shared" si="165"/>
        <v>2.1921244502123119E-12</v>
      </c>
      <c r="AM186" s="62">
        <f t="shared" si="113"/>
        <v>289.60612764011518</v>
      </c>
      <c r="AN186" s="62">
        <f ca="1">AVERAGE(OFFSET($AM$3,0,0,'Données projet'!$E$10+1,1))-AVERAGE(OFFSET($H$3,0,0,'Données projet'!$E$10+1,1))</f>
        <v>312.88185844251097</v>
      </c>
      <c r="AO186" s="62">
        <f t="shared" si="144"/>
        <v>202.68317767036231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3.5460075159092476E-2</v>
      </c>
      <c r="AW186" s="23">
        <f>EXP(-LN(2)/2)*AW185+(1-EXP(-LN(2)/2))/(LN(2)/2)*AQ186*AT186*VLOOKUP('Données projet'!$B$10,Paramètres!$A$1:$I$89,3,0)*0.475*44/12</f>
        <v>9.5446892586698299E-23</v>
      </c>
      <c r="AX186" s="23">
        <f t="shared" si="166"/>
        <v>3.5460075159092476E-2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-1.1368683772161603E-13</v>
      </c>
      <c r="BE186" s="14">
        <f>BD186*VLOOKUP('Données projet'!$B$11,Paramètres!$A$1:$I$89,3,0)*VLOOKUP('Données projet'!$B$11,Paramètres!$A$1:$I$89,5,0)</f>
        <v>-9.9316821433603781E-14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287.22548699835653</v>
      </c>
      <c r="BJ186" s="62">
        <f t="shared" si="146"/>
        <v>276.01618888357268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0.10177659912832721</v>
      </c>
      <c r="BR186" s="23">
        <f>EXP(-LN(2)/2)*BR185+(1-EXP(-LN(2)/2))/(LN(2)/2)*BL186*BO186*VLOOKUP('Données projet'!$B$11,Paramètres!$A$1:$I$89,3,0)*0.475*44/12</f>
        <v>1.2230236776055612E-22</v>
      </c>
      <c r="BS186" s="24">
        <f t="shared" si="169"/>
        <v>0.10177659912832721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1.1527845344971866E-13</v>
      </c>
      <c r="P187" s="14">
        <f t="shared" si="141"/>
        <v>1.7033846239409443E-12</v>
      </c>
      <c r="Q187" s="22">
        <f t="shared" si="162"/>
        <v>3.1675048597887374E-12</v>
      </c>
      <c r="R187" s="62">
        <f t="shared" si="109"/>
        <v>289.67078632610992</v>
      </c>
      <c r="S187" s="62">
        <f ca="1">AVERAGE(OFFSET($R$3,0,0,'Données projet'!$E$9+1,1))-AVERAGE(OFFSET($H$3,0,0,'Données projet'!$E$9+1,1))</f>
        <v>446.90706503298787</v>
      </c>
      <c r="T187" s="62">
        <f t="shared" si="142"/>
        <v>275.54513370838777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4.2299568680031777E-2</v>
      </c>
      <c r="AB187" s="23">
        <f>EXP(-LN(2)/2)*AB186+(1-EXP(-LN(2)/2))/(LN(2)/2)*V187*Y187*VLOOKUP('Données projet'!$B$9,Paramètres!$A$1:$I$89,3,0)*0.475*44/12</f>
        <v>9.3067900481822472E-23</v>
      </c>
      <c r="AC187" s="24">
        <f t="shared" si="163"/>
        <v>4.2299568680031777E-2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1.1368683772161603E-13</v>
      </c>
      <c r="AJ187" s="14">
        <f>AI187*VLOOKUP('Données projet'!$B$10,Paramètres!$A$1:$I$89,3,0)*VLOOKUP('Données projet'!$B$10,Paramètres!$A$1:$I$89,5,0)</f>
        <v>7.626113074366004E-14</v>
      </c>
      <c r="AK187" s="14">
        <f t="shared" si="164"/>
        <v>1.1823749172251317E-12</v>
      </c>
      <c r="AL187" s="22">
        <f t="shared" si="165"/>
        <v>2.1921244502123119E-12</v>
      </c>
      <c r="AM187" s="62">
        <f t="shared" si="113"/>
        <v>289.67078632610895</v>
      </c>
      <c r="AN187" s="62">
        <f ca="1">AVERAGE(OFFSET($AM$3,0,0,'Données projet'!$E$10+1,1))-AVERAGE(OFFSET($H$3,0,0,'Données projet'!$E$10+1,1))</f>
        <v>312.88185844251097</v>
      </c>
      <c r="AO187" s="62">
        <f t="shared" si="144"/>
        <v>202.68317767036231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3.4490417539102786E-2</v>
      </c>
      <c r="AW187" s="23">
        <f>EXP(-LN(2)/2)*AW186+(1-EXP(-LN(2)/2))/(LN(2)/2)*AQ187*AT187*VLOOKUP('Données projet'!$B$10,Paramètres!$A$1:$I$89,3,0)*0.475*44/12</f>
        <v>6.7491144991238378E-23</v>
      </c>
      <c r="AX187" s="23">
        <f t="shared" si="166"/>
        <v>3.4490417539102786E-2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-1.1368683772161603E-13</v>
      </c>
      <c r="BE187" s="14">
        <f>BD187*VLOOKUP('Données projet'!$B$11,Paramètres!$A$1:$I$89,3,0)*VLOOKUP('Données projet'!$B$11,Paramètres!$A$1:$I$89,5,0)</f>
        <v>-9.9316821433603781E-14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287.22548699835653</v>
      </c>
      <c r="BJ187" s="62">
        <f t="shared" si="146"/>
        <v>276.01618888357268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9.8993512672964357E-2</v>
      </c>
      <c r="BR187" s="23">
        <f>EXP(-LN(2)/2)*BR186+(1-EXP(-LN(2)/2))/(LN(2)/2)*BL187*BO187*VLOOKUP('Données projet'!$B$11,Paramètres!$A$1:$I$89,3,0)*0.475*44/12</f>
        <v>8.648083359866022E-23</v>
      </c>
      <c r="BS187" s="24">
        <f t="shared" si="169"/>
        <v>9.8993512672964357E-2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1.1527845344971866E-13</v>
      </c>
      <c r="P188" s="14">
        <f t="shared" si="141"/>
        <v>1.7033846239409443E-12</v>
      </c>
      <c r="Q188" s="22">
        <f t="shared" si="162"/>
        <v>3.1675048597887374E-12</v>
      </c>
      <c r="R188" s="62">
        <f t="shared" si="109"/>
        <v>289.73432332845692</v>
      </c>
      <c r="S188" s="62">
        <f ca="1">AVERAGE(OFFSET($R$3,0,0,'Données projet'!$E$9+1,1))-AVERAGE(OFFSET($H$3,0,0,'Données projet'!$E$9+1,1))</f>
        <v>446.90706503298787</v>
      </c>
      <c r="T188" s="62">
        <f t="shared" si="142"/>
        <v>275.54513370838777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4.1142884750038668E-2</v>
      </c>
      <c r="AB188" s="23">
        <f>EXP(-LN(2)/2)*AB187+(1-EXP(-LN(2)/2))/(LN(2)/2)*V188*Y188*VLOOKUP('Données projet'!$B$9,Paramètres!$A$1:$I$89,3,0)*0.475*44/12</f>
        <v>6.5808943541491423E-23</v>
      </c>
      <c r="AC188" s="24">
        <f t="shared" si="163"/>
        <v>4.1142884750038668E-2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1.1368683772161603E-13</v>
      </c>
      <c r="AJ188" s="14">
        <f>AI188*VLOOKUP('Données projet'!$B$10,Paramètres!$A$1:$I$89,3,0)*VLOOKUP('Données projet'!$B$10,Paramètres!$A$1:$I$89,5,0)</f>
        <v>7.626113074366004E-14</v>
      </c>
      <c r="AK188" s="14">
        <f t="shared" si="164"/>
        <v>1.1823749172251317E-12</v>
      </c>
      <c r="AL188" s="22">
        <f t="shared" si="165"/>
        <v>2.1921244502123119E-12</v>
      </c>
      <c r="AM188" s="62">
        <f t="shared" si="113"/>
        <v>289.73432332845596</v>
      </c>
      <c r="AN188" s="62">
        <f ca="1">AVERAGE(OFFSET($AM$3,0,0,'Données projet'!$E$10+1,1))-AVERAGE(OFFSET($H$3,0,0,'Données projet'!$E$10+1,1))</f>
        <v>312.88185844251097</v>
      </c>
      <c r="AO188" s="62">
        <f t="shared" si="144"/>
        <v>202.68317767036231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3.3547275257723788E-2</v>
      </c>
      <c r="AW188" s="23">
        <f>EXP(-LN(2)/2)*AW187+(1-EXP(-LN(2)/2))/(LN(2)/2)*AQ188*AT188*VLOOKUP('Données projet'!$B$10,Paramètres!$A$1:$I$89,3,0)*0.475*44/12</f>
        <v>4.772344629334915E-23</v>
      </c>
      <c r="AX188" s="23">
        <f t="shared" si="166"/>
        <v>3.3547275257723788E-2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-1.1368683772161603E-13</v>
      </c>
      <c r="BE188" s="14">
        <f>BD188*VLOOKUP('Données projet'!$B$11,Paramètres!$A$1:$I$89,3,0)*VLOOKUP('Données projet'!$B$11,Paramètres!$A$1:$I$89,5,0)</f>
        <v>-9.9316821433603781E-14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287.22548699835653</v>
      </c>
      <c r="BJ188" s="62">
        <f t="shared" si="146"/>
        <v>276.01618888357268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9.6286529863079562E-2</v>
      </c>
      <c r="BR188" s="23">
        <f>EXP(-LN(2)/2)*BR187+(1-EXP(-LN(2)/2))/(LN(2)/2)*BL188*BO188*VLOOKUP('Données projet'!$B$11,Paramètres!$A$1:$I$89,3,0)*0.475*44/12</f>
        <v>6.1151183880278059E-23</v>
      </c>
      <c r="BS188" s="24">
        <f t="shared" si="169"/>
        <v>9.6286529863079562E-2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1.1527845344971866E-13</v>
      </c>
      <c r="P189" s="14">
        <f t="shared" si="141"/>
        <v>1.7033846239409443E-12</v>
      </c>
      <c r="Q189" s="22">
        <f t="shared" si="162"/>
        <v>3.1675048597887374E-12</v>
      </c>
      <c r="R189" s="62">
        <f t="shared" si="109"/>
        <v>289.79675810586059</v>
      </c>
      <c r="S189" s="62">
        <f ca="1">AVERAGE(OFFSET($R$3,0,0,'Données projet'!$E$9+1,1))-AVERAGE(OFFSET($H$3,0,0,'Données projet'!$E$9+1,1))</f>
        <v>446.90706503298787</v>
      </c>
      <c r="T189" s="62">
        <f t="shared" si="142"/>
        <v>275.54513370838777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4.0017830402938583E-2</v>
      </c>
      <c r="AB189" s="23">
        <f>EXP(-LN(2)/2)*AB188+(1-EXP(-LN(2)/2))/(LN(2)/2)*V189*Y189*VLOOKUP('Données projet'!$B$9,Paramètres!$A$1:$I$89,3,0)*0.475*44/12</f>
        <v>4.6533950240911236E-23</v>
      </c>
      <c r="AC189" s="24">
        <f t="shared" si="163"/>
        <v>4.0017830402938583E-2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1.1368683772161603E-13</v>
      </c>
      <c r="AJ189" s="14">
        <f>AI189*VLOOKUP('Données projet'!$B$10,Paramètres!$A$1:$I$89,3,0)*VLOOKUP('Données projet'!$B$10,Paramètres!$A$1:$I$89,5,0)</f>
        <v>7.626113074366004E-14</v>
      </c>
      <c r="AK189" s="14">
        <f t="shared" si="164"/>
        <v>1.1823749172251317E-12</v>
      </c>
      <c r="AL189" s="22">
        <f t="shared" si="165"/>
        <v>2.1921244502123119E-12</v>
      </c>
      <c r="AM189" s="62">
        <f t="shared" si="113"/>
        <v>289.79675810585962</v>
      </c>
      <c r="AN189" s="62">
        <f ca="1">AVERAGE(OFFSET($AM$3,0,0,'Données projet'!$E$10+1,1))-AVERAGE(OFFSET($H$3,0,0,'Données projet'!$E$10+1,1))</f>
        <v>312.88185844251097</v>
      </c>
      <c r="AO189" s="62">
        <f t="shared" si="144"/>
        <v>202.68317767036231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3.2629923251626801E-2</v>
      </c>
      <c r="AW189" s="23">
        <f>EXP(-LN(2)/2)*AW188+(1-EXP(-LN(2)/2))/(LN(2)/2)*AQ189*AT189*VLOOKUP('Données projet'!$B$10,Paramètres!$A$1:$I$89,3,0)*0.475*44/12</f>
        <v>3.3745572495619189E-23</v>
      </c>
      <c r="AX189" s="23">
        <f t="shared" si="166"/>
        <v>3.2629923251626801E-2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-1.1368683772161603E-13</v>
      </c>
      <c r="BE189" s="14">
        <f>BD189*VLOOKUP('Données projet'!$B$11,Paramètres!$A$1:$I$89,3,0)*VLOOKUP('Données projet'!$B$11,Paramètres!$A$1:$I$89,5,0)</f>
        <v>-9.9316821433603781E-14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287.22548699835653</v>
      </c>
      <c r="BJ189" s="62">
        <f t="shared" si="146"/>
        <v>276.01618888357268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9.3653569640485115E-2</v>
      </c>
      <c r="BR189" s="23">
        <f>EXP(-LN(2)/2)*BR188+(1-EXP(-LN(2)/2))/(LN(2)/2)*BL189*BO189*VLOOKUP('Données projet'!$B$11,Paramètres!$A$1:$I$89,3,0)*0.475*44/12</f>
        <v>4.324041679933011E-23</v>
      </c>
      <c r="BS189" s="24">
        <f t="shared" si="169"/>
        <v>9.3653569640485115E-2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1.1527845344971866E-13</v>
      </c>
      <c r="P190" s="14">
        <f t="shared" si="141"/>
        <v>1.7033846239409443E-12</v>
      </c>
      <c r="Q190" s="22">
        <f t="shared" si="162"/>
        <v>3.1675048597887374E-12</v>
      </c>
      <c r="R190" s="62">
        <f t="shared" si="109"/>
        <v>289.8581097794596</v>
      </c>
      <c r="S190" s="62">
        <f ca="1">AVERAGE(OFFSET($R$3,0,0,'Données projet'!$E$9+1,1))-AVERAGE(OFFSET($H$3,0,0,'Données projet'!$E$9+1,1))</f>
        <v>446.90706503298787</v>
      </c>
      <c r="T190" s="62">
        <f t="shared" si="142"/>
        <v>275.54513370838777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3.8923540726123987E-2</v>
      </c>
      <c r="AB190" s="23">
        <f>EXP(-LN(2)/2)*AB189+(1-EXP(-LN(2)/2))/(LN(2)/2)*V190*Y190*VLOOKUP('Données projet'!$B$9,Paramètres!$A$1:$I$89,3,0)*0.475*44/12</f>
        <v>3.2904471770745712E-23</v>
      </c>
      <c r="AC190" s="24">
        <f t="shared" si="163"/>
        <v>3.8923540726123987E-2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1.1368683772161603E-13</v>
      </c>
      <c r="AJ190" s="14">
        <f>AI190*VLOOKUP('Données projet'!$B$10,Paramètres!$A$1:$I$89,3,0)*VLOOKUP('Données projet'!$B$10,Paramètres!$A$1:$I$89,5,0)</f>
        <v>7.626113074366004E-14</v>
      </c>
      <c r="AK190" s="14">
        <f t="shared" si="164"/>
        <v>1.1823749172251317E-12</v>
      </c>
      <c r="AL190" s="22">
        <f t="shared" si="165"/>
        <v>2.1921244502123119E-12</v>
      </c>
      <c r="AM190" s="62">
        <f t="shared" si="113"/>
        <v>289.85810977945863</v>
      </c>
      <c r="AN190" s="62">
        <f ca="1">AVERAGE(OFFSET($AM$3,0,0,'Données projet'!$E$10+1,1))-AVERAGE(OFFSET($H$3,0,0,'Données projet'!$E$10+1,1))</f>
        <v>312.88185844251097</v>
      </c>
      <c r="AO190" s="62">
        <f t="shared" si="144"/>
        <v>202.68317767036231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3.1737656284377976E-2</v>
      </c>
      <c r="AW190" s="23">
        <f>EXP(-LN(2)/2)*AW189+(1-EXP(-LN(2)/2))/(LN(2)/2)*AQ190*AT190*VLOOKUP('Données projet'!$B$10,Paramètres!$A$1:$I$89,3,0)*0.475*44/12</f>
        <v>2.3861723146674575E-23</v>
      </c>
      <c r="AX190" s="23">
        <f t="shared" si="166"/>
        <v>3.1737656284377976E-2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-1.1368683772161603E-13</v>
      </c>
      <c r="BE190" s="14">
        <f>BD190*VLOOKUP('Données projet'!$B$11,Paramètres!$A$1:$I$89,3,0)*VLOOKUP('Données projet'!$B$11,Paramètres!$A$1:$I$89,5,0)</f>
        <v>-9.9316821433603781E-14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287.22548699835653</v>
      </c>
      <c r="BJ190" s="62">
        <f t="shared" si="146"/>
        <v>276.01618888357268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9.1092607853638874E-2</v>
      </c>
      <c r="BR190" s="23">
        <f>EXP(-LN(2)/2)*BR189+(1-EXP(-LN(2)/2))/(LN(2)/2)*BL190*BO190*VLOOKUP('Données projet'!$B$11,Paramètres!$A$1:$I$89,3,0)*0.475*44/12</f>
        <v>3.057559194013903E-23</v>
      </c>
      <c r="BS190" s="24">
        <f t="shared" si="169"/>
        <v>9.1092607853638874E-2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1.1527845344971866E-13</v>
      </c>
      <c r="P191" s="14">
        <f t="shared" si="141"/>
        <v>1.7033846239409443E-12</v>
      </c>
      <c r="Q191" s="22">
        <f t="shared" si="162"/>
        <v>3.1675048597887374E-12</v>
      </c>
      <c r="R191" s="62">
        <f t="shared" si="109"/>
        <v>289.91839713868342</v>
      </c>
      <c r="S191" s="62">
        <f ca="1">AVERAGE(OFFSET($R$3,0,0,'Données projet'!$E$9+1,1))-AVERAGE(OFFSET($H$3,0,0,'Données projet'!$E$9+1,1))</f>
        <v>446.90706503298787</v>
      </c>
      <c r="T191" s="62">
        <f t="shared" si="142"/>
        <v>275.54513370838777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3.7859174458068079E-2</v>
      </c>
      <c r="AB191" s="23">
        <f>EXP(-LN(2)/2)*AB190+(1-EXP(-LN(2)/2))/(LN(2)/2)*V191*Y191*VLOOKUP('Données projet'!$B$9,Paramètres!$A$1:$I$89,3,0)*0.475*44/12</f>
        <v>2.3266975120455618E-23</v>
      </c>
      <c r="AC191" s="24">
        <f t="shared" si="163"/>
        <v>3.7859174458068079E-2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1.1368683772161603E-13</v>
      </c>
      <c r="AJ191" s="14">
        <f>AI191*VLOOKUP('Données projet'!$B$10,Paramètres!$A$1:$I$89,3,0)*VLOOKUP('Données projet'!$B$10,Paramètres!$A$1:$I$89,5,0)</f>
        <v>7.626113074366004E-14</v>
      </c>
      <c r="AK191" s="14">
        <f t="shared" si="164"/>
        <v>1.1823749172251317E-12</v>
      </c>
      <c r="AL191" s="22">
        <f t="shared" si="165"/>
        <v>2.1921244502123119E-12</v>
      </c>
      <c r="AM191" s="62">
        <f t="shared" si="113"/>
        <v>289.91839713868245</v>
      </c>
      <c r="AN191" s="62">
        <f ca="1">AVERAGE(OFFSET($AM$3,0,0,'Données projet'!$E$10+1,1))-AVERAGE(OFFSET($H$3,0,0,'Données projet'!$E$10+1,1))</f>
        <v>312.88185844251097</v>
      </c>
      <c r="AO191" s="62">
        <f t="shared" si="144"/>
        <v>202.68317767036231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3.0869788404270852E-2</v>
      </c>
      <c r="AW191" s="23">
        <f>EXP(-LN(2)/2)*AW190+(1-EXP(-LN(2)/2))/(LN(2)/2)*AQ191*AT191*VLOOKUP('Données projet'!$B$10,Paramètres!$A$1:$I$89,3,0)*0.475*44/12</f>
        <v>1.6872786247809595E-23</v>
      </c>
      <c r="AX191" s="23">
        <f t="shared" si="166"/>
        <v>3.0869788404270852E-2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-1.1368683772161603E-13</v>
      </c>
      <c r="BE191" s="14">
        <f>BD191*VLOOKUP('Données projet'!$B$11,Paramètres!$A$1:$I$89,3,0)*VLOOKUP('Données projet'!$B$11,Paramètres!$A$1:$I$89,5,0)</f>
        <v>-9.9316821433603781E-14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287.22548699835653</v>
      </c>
      <c r="BJ191" s="62">
        <f t="shared" si="146"/>
        <v>276.01618888357268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8.8601675701529062E-2</v>
      </c>
      <c r="BR191" s="23">
        <f>EXP(-LN(2)/2)*BR190+(1-EXP(-LN(2)/2))/(LN(2)/2)*BL191*BO191*VLOOKUP('Données projet'!$B$11,Paramètres!$A$1:$I$89,3,0)*0.475*44/12</f>
        <v>2.1620208399665055E-23</v>
      </c>
      <c r="BS191" s="24">
        <f t="shared" si="169"/>
        <v>8.8601675701529062E-2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1.1527845344971866E-13</v>
      </c>
      <c r="P192" s="14">
        <f t="shared" si="141"/>
        <v>1.7033846239409443E-12</v>
      </c>
      <c r="Q192" s="22">
        <f t="shared" si="162"/>
        <v>3.1675048597887374E-12</v>
      </c>
      <c r="R192" s="62">
        <f t="shared" si="109"/>
        <v>289.97763864700704</v>
      </c>
      <c r="S192" s="62">
        <f ca="1">AVERAGE(OFFSET($R$3,0,0,'Données projet'!$E$9+1,1))-AVERAGE(OFFSET($H$3,0,0,'Données projet'!$E$9+1,1))</f>
        <v>446.90706503298787</v>
      </c>
      <c r="T192" s="62">
        <f t="shared" si="142"/>
        <v>275.54513370838777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3.6823913341584753E-2</v>
      </c>
      <c r="AB192" s="23">
        <f>EXP(-LN(2)/2)*AB191+(1-EXP(-LN(2)/2))/(LN(2)/2)*V192*Y192*VLOOKUP('Données projet'!$B$9,Paramètres!$A$1:$I$89,3,0)*0.475*44/12</f>
        <v>1.6452235885372856E-23</v>
      </c>
      <c r="AC192" s="24">
        <f t="shared" si="163"/>
        <v>3.6823913341584753E-2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1.1368683772161603E-13</v>
      </c>
      <c r="AJ192" s="14">
        <f>AI192*VLOOKUP('Données projet'!$B$10,Paramètres!$A$1:$I$89,3,0)*VLOOKUP('Données projet'!$B$10,Paramètres!$A$1:$I$89,5,0)</f>
        <v>7.626113074366004E-14</v>
      </c>
      <c r="AK192" s="14">
        <f t="shared" si="164"/>
        <v>1.1823749172251317E-12</v>
      </c>
      <c r="AL192" s="22">
        <f t="shared" si="165"/>
        <v>2.1921244502123119E-12</v>
      </c>
      <c r="AM192" s="62">
        <f t="shared" si="113"/>
        <v>289.97763864700607</v>
      </c>
      <c r="AN192" s="62">
        <f ca="1">AVERAGE(OFFSET($AM$3,0,0,'Données projet'!$E$10+1,1))-AVERAGE(OFFSET($H$3,0,0,'Données projet'!$E$10+1,1))</f>
        <v>312.88185844251097</v>
      </c>
      <c r="AO192" s="62">
        <f t="shared" si="144"/>
        <v>202.68317767036231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3.0025652416984447E-2</v>
      </c>
      <c r="AW192" s="23">
        <f>EXP(-LN(2)/2)*AW191+(1-EXP(-LN(2)/2))/(LN(2)/2)*AQ192*AT192*VLOOKUP('Données projet'!$B$10,Paramètres!$A$1:$I$89,3,0)*0.475*44/12</f>
        <v>1.1930861573337287E-23</v>
      </c>
      <c r="AX192" s="23">
        <f t="shared" si="166"/>
        <v>3.0025652416984447E-2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-1.1368683772161603E-13</v>
      </c>
      <c r="BE192" s="14">
        <f>BD192*VLOOKUP('Données projet'!$B$11,Paramètres!$A$1:$I$89,3,0)*VLOOKUP('Données projet'!$B$11,Paramètres!$A$1:$I$89,5,0)</f>
        <v>-9.9316821433603781E-14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287.22548699835653</v>
      </c>
      <c r="BJ192" s="62">
        <f t="shared" si="146"/>
        <v>276.01618888357268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8.6178858220111121E-2</v>
      </c>
      <c r="BR192" s="23">
        <f>EXP(-LN(2)/2)*BR191+(1-EXP(-LN(2)/2))/(LN(2)/2)*BL192*BO192*VLOOKUP('Données projet'!$B$11,Paramètres!$A$1:$I$89,3,0)*0.475*44/12</f>
        <v>1.5287795970069515E-23</v>
      </c>
      <c r="BS192" s="24">
        <f t="shared" si="169"/>
        <v>8.6178858220111121E-2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1.1527845344971866E-13</v>
      </c>
      <c r="P193" s="14">
        <f t="shared" si="141"/>
        <v>1.7033846239409443E-12</v>
      </c>
      <c r="Q193" s="22">
        <f t="shared" si="162"/>
        <v>3.1675048597887374E-12</v>
      </c>
      <c r="R193" s="62">
        <f t="shared" si="109"/>
        <v>290.03585244760546</v>
      </c>
      <c r="S193" s="62">
        <f ca="1">AVERAGE(OFFSET($R$3,0,0,'Données projet'!$E$9+1,1))-AVERAGE(OFFSET($H$3,0,0,'Données projet'!$E$9+1,1))</f>
        <v>446.90706503298787</v>
      </c>
      <c r="T193" s="62">
        <f t="shared" si="142"/>
        <v>275.54513370838777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3.5816961494773675E-2</v>
      </c>
      <c r="AB193" s="23">
        <f>EXP(-LN(2)/2)*AB192+(1-EXP(-LN(2)/2))/(LN(2)/2)*V193*Y193*VLOOKUP('Données projet'!$B$9,Paramètres!$A$1:$I$89,3,0)*0.475*44/12</f>
        <v>1.1633487560227809E-23</v>
      </c>
      <c r="AC193" s="24">
        <f t="shared" si="163"/>
        <v>3.5816961494773675E-2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1.1368683772161603E-13</v>
      </c>
      <c r="AJ193" s="14">
        <f>AI193*VLOOKUP('Données projet'!$B$10,Paramètres!$A$1:$I$89,3,0)*VLOOKUP('Données projet'!$B$10,Paramètres!$A$1:$I$89,5,0)</f>
        <v>7.626113074366004E-14</v>
      </c>
      <c r="AK193" s="14">
        <f t="shared" si="164"/>
        <v>1.1823749172251317E-12</v>
      </c>
      <c r="AL193" s="22">
        <f t="shared" si="165"/>
        <v>2.1921244502123119E-12</v>
      </c>
      <c r="AM193" s="62">
        <f t="shared" si="113"/>
        <v>290.0358524476045</v>
      </c>
      <c r="AN193" s="62">
        <f ca="1">AVERAGE(OFFSET($AM$3,0,0,'Données projet'!$E$10+1,1))-AVERAGE(OFFSET($H$3,0,0,'Données projet'!$E$10+1,1))</f>
        <v>312.88185844251097</v>
      </c>
      <c r="AO193" s="62">
        <f t="shared" si="144"/>
        <v>202.68317767036231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2.9204599372661569E-2</v>
      </c>
      <c r="AW193" s="23">
        <f>EXP(-LN(2)/2)*AW192+(1-EXP(-LN(2)/2))/(LN(2)/2)*AQ193*AT193*VLOOKUP('Données projet'!$B$10,Paramètres!$A$1:$I$89,3,0)*0.475*44/12</f>
        <v>8.4363931239047973E-24</v>
      </c>
      <c r="AX193" s="23">
        <f t="shared" si="166"/>
        <v>2.9204599372661569E-2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-1.1368683772161603E-13</v>
      </c>
      <c r="BE193" s="14">
        <f>BD193*VLOOKUP('Données projet'!$B$11,Paramètres!$A$1:$I$89,3,0)*VLOOKUP('Données projet'!$B$11,Paramètres!$A$1:$I$89,5,0)</f>
        <v>-9.9316821433603781E-14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287.22548699835653</v>
      </c>
      <c r="BJ193" s="62">
        <f t="shared" si="146"/>
        <v>276.01618888357268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8.3822292810132995E-2</v>
      </c>
      <c r="BR193" s="23">
        <f>EXP(-LN(2)/2)*BR192+(1-EXP(-LN(2)/2))/(LN(2)/2)*BL193*BO193*VLOOKUP('Données projet'!$B$11,Paramètres!$A$1:$I$89,3,0)*0.475*44/12</f>
        <v>1.0810104199832527E-23</v>
      </c>
      <c r="BS193" s="24">
        <f t="shared" si="169"/>
        <v>8.3822292810132995E-2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1.1527845344971866E-13</v>
      </c>
      <c r="P194" s="14">
        <f t="shared" si="141"/>
        <v>1.7033846239409443E-12</v>
      </c>
      <c r="Q194" s="22">
        <f t="shared" si="162"/>
        <v>3.1675048597887374E-12</v>
      </c>
      <c r="R194" s="62">
        <f t="shared" si="109"/>
        <v>290.09305636891003</v>
      </c>
      <c r="S194" s="62">
        <f ca="1">AVERAGE(OFFSET($R$3,0,0,'Données projet'!$E$9+1,1))-AVERAGE(OFFSET($H$3,0,0,'Données projet'!$E$9+1,1))</f>
        <v>446.90706503298787</v>
      </c>
      <c r="T194" s="62">
        <f t="shared" si="142"/>
        <v>275.54513370838777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3.4837544799166946E-2</v>
      </c>
      <c r="AB194" s="23">
        <f>EXP(-LN(2)/2)*AB193+(1-EXP(-LN(2)/2))/(LN(2)/2)*V194*Y194*VLOOKUP('Données projet'!$B$9,Paramètres!$A$1:$I$89,3,0)*0.475*44/12</f>
        <v>8.2261179426864279E-24</v>
      </c>
      <c r="AC194" s="24">
        <f t="shared" si="163"/>
        <v>3.4837544799166946E-2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1.1368683772161603E-13</v>
      </c>
      <c r="AJ194" s="14">
        <f>AI194*VLOOKUP('Données projet'!$B$10,Paramètres!$A$1:$I$89,3,0)*VLOOKUP('Données projet'!$B$10,Paramètres!$A$1:$I$89,5,0)</f>
        <v>7.626113074366004E-14</v>
      </c>
      <c r="AK194" s="14">
        <f t="shared" si="164"/>
        <v>1.1823749172251317E-12</v>
      </c>
      <c r="AL194" s="22">
        <f t="shared" si="165"/>
        <v>2.1921244502123119E-12</v>
      </c>
      <c r="AM194" s="62">
        <f t="shared" si="113"/>
        <v>290.09305636890906</v>
      </c>
      <c r="AN194" s="62">
        <f ca="1">AVERAGE(OFFSET($AM$3,0,0,'Données projet'!$E$10+1,1))-AVERAGE(OFFSET($H$3,0,0,'Données projet'!$E$10+1,1))</f>
        <v>312.88185844251097</v>
      </c>
      <c r="AO194" s="62">
        <f t="shared" si="144"/>
        <v>202.68317767036231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2.8405998067013005E-2</v>
      </c>
      <c r="AW194" s="23">
        <f>EXP(-LN(2)/2)*AW193+(1-EXP(-LN(2)/2))/(LN(2)/2)*AQ194*AT194*VLOOKUP('Données projet'!$B$10,Paramètres!$A$1:$I$89,3,0)*0.475*44/12</f>
        <v>5.9654307866686437E-24</v>
      </c>
      <c r="AX194" s="23">
        <f t="shared" si="166"/>
        <v>2.8405998067013005E-2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-1.1368683772161603E-13</v>
      </c>
      <c r="BE194" s="14">
        <f>BD194*VLOOKUP('Données projet'!$B$11,Paramètres!$A$1:$I$89,3,0)*VLOOKUP('Données projet'!$B$11,Paramètres!$A$1:$I$89,5,0)</f>
        <v>-9.9316821433603781E-14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287.22548699835653</v>
      </c>
      <c r="BJ194" s="62">
        <f t="shared" si="146"/>
        <v>276.01618888357268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8.1530167805217102E-2</v>
      </c>
      <c r="BR194" s="23">
        <f>EXP(-LN(2)/2)*BR193+(1-EXP(-LN(2)/2))/(LN(2)/2)*BL194*BO194*VLOOKUP('Données projet'!$B$11,Paramètres!$A$1:$I$89,3,0)*0.475*44/12</f>
        <v>7.6438979850347574E-24</v>
      </c>
      <c r="BS194" s="24">
        <f t="shared" si="169"/>
        <v>8.1530167805217102E-2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1.1527845344971866E-13</v>
      </c>
      <c r="P195" s="14">
        <f t="shared" si="141"/>
        <v>1.7033846239409443E-12</v>
      </c>
      <c r="Q195" s="22">
        <f t="shared" si="162"/>
        <v>3.1675048597887374E-12</v>
      </c>
      <c r="R195" s="62">
        <f t="shared" ref="R195:R203" si="191">Q195+(I195+J195)*44/12</f>
        <v>290.14926793006885</v>
      </c>
      <c r="S195" s="62">
        <f ca="1">AVERAGE(OFFSET($R$3,0,0,'Données projet'!$E$9+1,1))-AVERAGE(OFFSET($H$3,0,0,'Données projet'!$E$9+1,1))</f>
        <v>446.90706503298787</v>
      </c>
      <c r="T195" s="62">
        <f t="shared" si="142"/>
        <v>275.54513370838777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3.3884910304606865E-2</v>
      </c>
      <c r="AB195" s="23">
        <f>EXP(-LN(2)/2)*AB194+(1-EXP(-LN(2)/2))/(LN(2)/2)*V195*Y195*VLOOKUP('Données projet'!$B$9,Paramètres!$A$1:$I$89,3,0)*0.475*44/12</f>
        <v>5.8167437801139045E-24</v>
      </c>
      <c r="AC195" s="24">
        <f t="shared" si="163"/>
        <v>3.3884910304606865E-2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1.1368683772161603E-13</v>
      </c>
      <c r="AJ195" s="14">
        <f>AI195*VLOOKUP('Données projet'!$B$10,Paramètres!$A$1:$I$89,3,0)*VLOOKUP('Données projet'!$B$10,Paramètres!$A$1:$I$89,5,0)</f>
        <v>7.626113074366004E-14</v>
      </c>
      <c r="AK195" s="14">
        <f t="shared" si="164"/>
        <v>1.1823749172251317E-12</v>
      </c>
      <c r="AL195" s="22">
        <f t="shared" si="165"/>
        <v>2.1921244502123119E-12</v>
      </c>
      <c r="AM195" s="62">
        <f t="shared" si="113"/>
        <v>290.14926793006788</v>
      </c>
      <c r="AN195" s="62">
        <f ca="1">AVERAGE(OFFSET($AM$3,0,0,'Données projet'!$E$10+1,1))-AVERAGE(OFFSET($H$3,0,0,'Données projet'!$E$10+1,1))</f>
        <v>312.88185844251097</v>
      </c>
      <c r="AO195" s="62">
        <f t="shared" si="144"/>
        <v>202.68317767036231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2.7629234556064017E-2</v>
      </c>
      <c r="AW195" s="23">
        <f>EXP(-LN(2)/2)*AW194+(1-EXP(-LN(2)/2))/(LN(2)/2)*AQ195*AT195*VLOOKUP('Données projet'!$B$10,Paramètres!$A$1:$I$89,3,0)*0.475*44/12</f>
        <v>4.2181965619523986E-24</v>
      </c>
      <c r="AX195" s="23">
        <f t="shared" si="166"/>
        <v>2.7629234556064017E-2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-1.1368683772161603E-13</v>
      </c>
      <c r="BE195" s="14">
        <f>BD195*VLOOKUP('Données projet'!$B$11,Paramètres!$A$1:$I$89,3,0)*VLOOKUP('Données projet'!$B$11,Paramètres!$A$1:$I$89,5,0)</f>
        <v>-9.9316821433603781E-14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287.22548699835653</v>
      </c>
      <c r="BJ195" s="62">
        <f t="shared" si="146"/>
        <v>276.01618888357268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7.930072107909826E-2</v>
      </c>
      <c r="BR195" s="23">
        <f>EXP(-LN(2)/2)*BR194+(1-EXP(-LN(2)/2))/(LN(2)/2)*BL195*BO195*VLOOKUP('Données projet'!$B$11,Paramètres!$A$1:$I$89,3,0)*0.475*44/12</f>
        <v>5.4050520999162637E-24</v>
      </c>
      <c r="BS195" s="24">
        <f t="shared" si="169"/>
        <v>7.930072107909826E-2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1.1527845344971866E-13</v>
      </c>
      <c r="P196" s="14">
        <f t="shared" si="141"/>
        <v>1.7033846239409443E-12</v>
      </c>
      <c r="Q196" s="22">
        <f t="shared" si="162"/>
        <v>3.1675048597887374E-12</v>
      </c>
      <c r="R196" s="62">
        <f t="shared" si="191"/>
        <v>290.20450434631169</v>
      </c>
      <c r="S196" s="62">
        <f ca="1">AVERAGE(OFFSET($R$3,0,0,'Données projet'!$E$9+1,1))-AVERAGE(OFFSET($H$3,0,0,'Données projet'!$E$9+1,1))</f>
        <v>446.90706503298787</v>
      </c>
      <c r="T196" s="62">
        <f t="shared" si="142"/>
        <v>275.54513370838777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3.2958325650397399E-2</v>
      </c>
      <c r="AB196" s="23">
        <f>EXP(-LN(2)/2)*AB195+(1-EXP(-LN(2)/2))/(LN(2)/2)*V196*Y196*VLOOKUP('Données projet'!$B$9,Paramètres!$A$1:$I$89,3,0)*0.475*44/12</f>
        <v>4.1130589713432139E-24</v>
      </c>
      <c r="AC196" s="24">
        <f t="shared" si="163"/>
        <v>3.2958325650397399E-2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1.1368683772161603E-13</v>
      </c>
      <c r="AJ196" s="14">
        <f>AI196*VLOOKUP('Données projet'!$B$10,Paramètres!$A$1:$I$89,3,0)*VLOOKUP('Données projet'!$B$10,Paramètres!$A$1:$I$89,5,0)</f>
        <v>7.626113074366004E-14</v>
      </c>
      <c r="AK196" s="14">
        <f t="shared" si="164"/>
        <v>1.1823749172251317E-12</v>
      </c>
      <c r="AL196" s="22">
        <f t="shared" si="165"/>
        <v>2.1921244502123119E-12</v>
      </c>
      <c r="AM196" s="62">
        <f t="shared" ref="AM196:AM203" si="193">AL196+(AD196+AE196)*44/12</f>
        <v>290.20450434631073</v>
      </c>
      <c r="AN196" s="62">
        <f ca="1">AVERAGE(OFFSET($AM$3,0,0,'Données projet'!$E$10+1,1))-AVERAGE(OFFSET($H$3,0,0,'Données projet'!$E$10+1,1))</f>
        <v>312.88185844251097</v>
      </c>
      <c r="AO196" s="62">
        <f t="shared" si="144"/>
        <v>202.68317767036231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2.6873711684170149E-2</v>
      </c>
      <c r="AW196" s="23">
        <f>EXP(-LN(2)/2)*AW195+(1-EXP(-LN(2)/2))/(LN(2)/2)*AQ196*AT196*VLOOKUP('Données projet'!$B$10,Paramètres!$A$1:$I$89,3,0)*0.475*44/12</f>
        <v>2.9827153933343219E-24</v>
      </c>
      <c r="AX196" s="23">
        <f t="shared" si="166"/>
        <v>2.6873711684170149E-2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-1.1368683772161603E-13</v>
      </c>
      <c r="BE196" s="14">
        <f>BD196*VLOOKUP('Données projet'!$B$11,Paramètres!$A$1:$I$89,3,0)*VLOOKUP('Données projet'!$B$11,Paramètres!$A$1:$I$89,5,0)</f>
        <v>-9.9316821433603781E-14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287.22548699835653</v>
      </c>
      <c r="BJ196" s="62">
        <f t="shared" si="146"/>
        <v>276.01618888357268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7.7132238690946639E-2</v>
      </c>
      <c r="BR196" s="23">
        <f>EXP(-LN(2)/2)*BR195+(1-EXP(-LN(2)/2))/(LN(2)/2)*BL196*BO196*VLOOKUP('Données projet'!$B$11,Paramètres!$A$1:$I$89,3,0)*0.475*44/12</f>
        <v>3.8219489925173787E-24</v>
      </c>
      <c r="BS196" s="24">
        <f t="shared" si="169"/>
        <v>7.7132238690946639E-2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1.1527845344971866E-13</v>
      </c>
      <c r="P197" s="14">
        <f t="shared" ref="P197:P203" si="203">EXP(-1.0587+0.8836*LN(O197)+0.284)</f>
        <v>1.7033846239409443E-12</v>
      </c>
      <c r="Q197" s="22">
        <f t="shared" si="162"/>
        <v>3.1675048597887374E-12</v>
      </c>
      <c r="R197" s="62">
        <f t="shared" si="191"/>
        <v>290.25878253422292</v>
      </c>
      <c r="S197" s="62">
        <f ca="1">AVERAGE(OFFSET($R$3,0,0,'Données projet'!$E$9+1,1))-AVERAGE(OFFSET($H$3,0,0,'Données projet'!$E$9+1,1))</f>
        <v>446.90706503298787</v>
      </c>
      <c r="T197" s="62">
        <f t="shared" ref="T197:T203" si="204">$T$3</f>
        <v>275.54513370838777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3.2057078502284266E-2</v>
      </c>
      <c r="AB197" s="23">
        <f>EXP(-LN(2)/2)*AB196+(1-EXP(-LN(2)/2))/(LN(2)/2)*V197*Y197*VLOOKUP('Données projet'!$B$9,Paramètres!$A$1:$I$89,3,0)*0.475*44/12</f>
        <v>2.9083718900569522E-24</v>
      </c>
      <c r="AC197" s="24">
        <f t="shared" si="163"/>
        <v>3.2057078502284266E-2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1.1368683772161603E-13</v>
      </c>
      <c r="AJ197" s="14">
        <f>AI197*VLOOKUP('Données projet'!$B$10,Paramètres!$A$1:$I$89,3,0)*VLOOKUP('Données projet'!$B$10,Paramètres!$A$1:$I$89,5,0)</f>
        <v>7.626113074366004E-14</v>
      </c>
      <c r="AK197" s="14">
        <f t="shared" si="164"/>
        <v>1.1823749172251317E-12</v>
      </c>
      <c r="AL197" s="22">
        <f t="shared" si="165"/>
        <v>2.1921244502123119E-12</v>
      </c>
      <c r="AM197" s="62">
        <f t="shared" si="193"/>
        <v>290.25878253422195</v>
      </c>
      <c r="AN197" s="62">
        <f ca="1">AVERAGE(OFFSET($AM$3,0,0,'Données projet'!$E$10+1,1))-AVERAGE(OFFSET($H$3,0,0,'Données projet'!$E$10+1,1))</f>
        <v>312.88185844251097</v>
      </c>
      <c r="AO197" s="62">
        <f t="shared" ref="AO197:AO203" si="205">$AO$3</f>
        <v>202.68317767036231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2.613884862493944E-2</v>
      </c>
      <c r="AW197" s="23">
        <f>EXP(-LN(2)/2)*AW196+(1-EXP(-LN(2)/2))/(LN(2)/2)*AQ197*AT197*VLOOKUP('Données projet'!$B$10,Paramètres!$A$1:$I$89,3,0)*0.475*44/12</f>
        <v>2.1090982809761993E-24</v>
      </c>
      <c r="AX197" s="23">
        <f t="shared" si="166"/>
        <v>2.613884862493944E-2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-1.1368683772161603E-13</v>
      </c>
      <c r="BE197" s="14">
        <f>BD197*VLOOKUP('Données projet'!$B$11,Paramètres!$A$1:$I$89,3,0)*VLOOKUP('Données projet'!$B$11,Paramètres!$A$1:$I$89,5,0)</f>
        <v>-9.9316821433603781E-14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287.22548699835653</v>
      </c>
      <c r="BJ197" s="62">
        <f t="shared" ref="BJ197:BJ203" si="206">$BJ$3</f>
        <v>276.01618888357268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7.502305356773456E-2</v>
      </c>
      <c r="BR197" s="23">
        <f>EXP(-LN(2)/2)*BR196+(1-EXP(-LN(2)/2))/(LN(2)/2)*BL197*BO197*VLOOKUP('Données projet'!$B$11,Paramètres!$A$1:$I$89,3,0)*0.475*44/12</f>
        <v>2.7025260499581319E-24</v>
      </c>
      <c r="BS197" s="24">
        <f t="shared" si="169"/>
        <v>7.502305356773456E-2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1.1527845344971866E-13</v>
      </c>
      <c r="P198" s="14">
        <f t="shared" si="203"/>
        <v>1.7033846239409443E-12</v>
      </c>
      <c r="Q198" s="22">
        <f t="shared" si="162"/>
        <v>3.1675048597887374E-12</v>
      </c>
      <c r="R198" s="62">
        <f t="shared" si="191"/>
        <v>290.31211911692168</v>
      </c>
      <c r="S198" s="62">
        <f ca="1">AVERAGE(OFFSET($R$3,0,0,'Données projet'!$E$9+1,1))-AVERAGE(OFFSET($H$3,0,0,'Données projet'!$E$9+1,1))</f>
        <v>446.90706503298787</v>
      </c>
      <c r="T198" s="62">
        <f t="shared" si="204"/>
        <v>275.54513370838777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3.1180476004830811E-2</v>
      </c>
      <c r="AB198" s="23">
        <f>EXP(-LN(2)/2)*AB197+(1-EXP(-LN(2)/2))/(LN(2)/2)*V198*Y198*VLOOKUP('Données projet'!$B$9,Paramètres!$A$1:$I$89,3,0)*0.475*44/12</f>
        <v>2.056529485671607E-24</v>
      </c>
      <c r="AC198" s="24">
        <f t="shared" si="163"/>
        <v>3.1180476004830811E-2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1.1368683772161603E-13</v>
      </c>
      <c r="AJ198" s="14">
        <f>AI198*VLOOKUP('Données projet'!$B$10,Paramètres!$A$1:$I$89,3,0)*VLOOKUP('Données projet'!$B$10,Paramètres!$A$1:$I$89,5,0)</f>
        <v>7.626113074366004E-14</v>
      </c>
      <c r="AK198" s="14">
        <f t="shared" si="164"/>
        <v>1.1823749172251317E-12</v>
      </c>
      <c r="AL198" s="22">
        <f t="shared" si="165"/>
        <v>2.1921244502123119E-12</v>
      </c>
      <c r="AM198" s="62">
        <f t="shared" si="193"/>
        <v>290.31211911692071</v>
      </c>
      <c r="AN198" s="62">
        <f ca="1">AVERAGE(OFFSET($AM$3,0,0,'Données projet'!$E$10+1,1))-AVERAGE(OFFSET($H$3,0,0,'Données projet'!$E$10+1,1))</f>
        <v>312.88185844251097</v>
      </c>
      <c r="AO198" s="62">
        <f t="shared" si="205"/>
        <v>202.68317767036231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2.5424080434708164E-2</v>
      </c>
      <c r="AW198" s="23">
        <f>EXP(-LN(2)/2)*AW197+(1-EXP(-LN(2)/2))/(LN(2)/2)*AQ198*AT198*VLOOKUP('Données projet'!$B$10,Paramètres!$A$1:$I$89,3,0)*0.475*44/12</f>
        <v>1.4913576966671609E-24</v>
      </c>
      <c r="AX198" s="23">
        <f t="shared" si="166"/>
        <v>2.5424080434708164E-2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-1.1368683772161603E-13</v>
      </c>
      <c r="BE198" s="14">
        <f>BD198*VLOOKUP('Données projet'!$B$11,Paramètres!$A$1:$I$89,3,0)*VLOOKUP('Données projet'!$B$11,Paramètres!$A$1:$I$89,5,0)</f>
        <v>-9.9316821433603781E-14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287.22548699835653</v>
      </c>
      <c r="BJ198" s="62">
        <f t="shared" si="206"/>
        <v>276.01618888357268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7.2971544222633938E-2</v>
      </c>
      <c r="BR198" s="23">
        <f>EXP(-LN(2)/2)*BR197+(1-EXP(-LN(2)/2))/(LN(2)/2)*BL198*BO198*VLOOKUP('Données projet'!$B$11,Paramètres!$A$1:$I$89,3,0)*0.475*44/12</f>
        <v>1.9109744962586893E-24</v>
      </c>
      <c r="BS198" s="24">
        <f t="shared" si="169"/>
        <v>7.2971544222633938E-2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1.1527845344971866E-13</v>
      </c>
      <c r="P199" s="14">
        <f t="shared" si="203"/>
        <v>1.7033846239409443E-12</v>
      </c>
      <c r="Q199" s="22">
        <f t="shared" si="162"/>
        <v>3.1675048597887374E-12</v>
      </c>
      <c r="R199" s="62">
        <f t="shared" si="191"/>
        <v>290.36453042915338</v>
      </c>
      <c r="S199" s="62">
        <f ca="1">AVERAGE(OFFSET($R$3,0,0,'Données projet'!$E$9+1,1))-AVERAGE(OFFSET($H$3,0,0,'Données projet'!$E$9+1,1))</f>
        <v>446.90706503298787</v>
      </c>
      <c r="T199" s="62">
        <f t="shared" si="204"/>
        <v>275.54513370838777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3.0327844248768745E-2</v>
      </c>
      <c r="AB199" s="23">
        <f>EXP(-LN(2)/2)*AB198+(1-EXP(-LN(2)/2))/(LN(2)/2)*V199*Y199*VLOOKUP('Données projet'!$B$9,Paramètres!$A$1:$I$89,3,0)*0.475*44/12</f>
        <v>1.4541859450284761E-24</v>
      </c>
      <c r="AC199" s="24">
        <f t="shared" si="163"/>
        <v>3.0327844248768745E-2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1.1368683772161603E-13</v>
      </c>
      <c r="AJ199" s="14">
        <f>AI199*VLOOKUP('Données projet'!$B$10,Paramètres!$A$1:$I$89,3,0)*VLOOKUP('Données projet'!$B$10,Paramètres!$A$1:$I$89,5,0)</f>
        <v>7.626113074366004E-14</v>
      </c>
      <c r="AK199" s="14">
        <f t="shared" si="164"/>
        <v>1.1823749172251317E-12</v>
      </c>
      <c r="AL199" s="22">
        <f t="shared" si="165"/>
        <v>2.1921244502123119E-12</v>
      </c>
      <c r="AM199" s="62">
        <f t="shared" si="193"/>
        <v>290.36453042915241</v>
      </c>
      <c r="AN199" s="62">
        <f ca="1">AVERAGE(OFFSET($AM$3,0,0,'Données projet'!$E$10+1,1))-AVERAGE(OFFSET($H$3,0,0,'Données projet'!$E$10+1,1))</f>
        <v>312.88185844251097</v>
      </c>
      <c r="AO199" s="62">
        <f t="shared" si="205"/>
        <v>202.68317767036231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2.4728857618226786E-2</v>
      </c>
      <c r="AW199" s="23">
        <f>EXP(-LN(2)/2)*AW198+(1-EXP(-LN(2)/2))/(LN(2)/2)*AQ199*AT199*VLOOKUP('Données projet'!$B$10,Paramètres!$A$1:$I$89,3,0)*0.475*44/12</f>
        <v>1.0545491404880997E-24</v>
      </c>
      <c r="AX199" s="23">
        <f t="shared" si="166"/>
        <v>2.4728857618226786E-2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-1.1368683772161603E-13</v>
      </c>
      <c r="BE199" s="14">
        <f>BD199*VLOOKUP('Données projet'!$B$11,Paramètres!$A$1:$I$89,3,0)*VLOOKUP('Données projet'!$B$11,Paramètres!$A$1:$I$89,5,0)</f>
        <v>-9.9316821433603781E-14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287.22548699835653</v>
      </c>
      <c r="BJ199" s="62">
        <f t="shared" si="206"/>
        <v>276.01618888357268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7.0976133508459285E-2</v>
      </c>
      <c r="BR199" s="23">
        <f>EXP(-LN(2)/2)*BR198+(1-EXP(-LN(2)/2))/(LN(2)/2)*BL199*BO199*VLOOKUP('Données projet'!$B$11,Paramètres!$A$1:$I$89,3,0)*0.475*44/12</f>
        <v>1.3512630249790659E-24</v>
      </c>
      <c r="BS199" s="24">
        <f t="shared" si="169"/>
        <v>7.0976133508459285E-2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1.1527845344971866E-13</v>
      </c>
      <c r="P200" s="14">
        <f t="shared" si="203"/>
        <v>1.7033846239409443E-12</v>
      </c>
      <c r="Q200" s="22">
        <f t="shared" si="162"/>
        <v>3.1675048597887374E-12</v>
      </c>
      <c r="R200" s="62">
        <f t="shared" si="191"/>
        <v>290.41603252229197</v>
      </c>
      <c r="S200" s="62">
        <f ca="1">AVERAGE(OFFSET($R$3,0,0,'Données projet'!$E$9+1,1))-AVERAGE(OFFSET($H$3,0,0,'Données projet'!$E$9+1,1))</f>
        <v>446.90706503298787</v>
      </c>
      <c r="T200" s="62">
        <f t="shared" si="204"/>
        <v>275.54513370838777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2.9498527752914151E-2</v>
      </c>
      <c r="AB200" s="23">
        <f>EXP(-LN(2)/2)*AB199+(1-EXP(-LN(2)/2))/(LN(2)/2)*V200*Y200*VLOOKUP('Données projet'!$B$9,Paramètres!$A$1:$I$89,3,0)*0.475*44/12</f>
        <v>1.0282647428358035E-24</v>
      </c>
      <c r="AC200" s="24">
        <f t="shared" si="163"/>
        <v>2.9498527752914151E-2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1.1368683772161603E-13</v>
      </c>
      <c r="AJ200" s="14">
        <f>AI200*VLOOKUP('Données projet'!$B$10,Paramètres!$A$1:$I$89,3,0)*VLOOKUP('Données projet'!$B$10,Paramètres!$A$1:$I$89,5,0)</f>
        <v>7.626113074366004E-14</v>
      </c>
      <c r="AK200" s="14">
        <f t="shared" si="164"/>
        <v>1.1823749172251317E-12</v>
      </c>
      <c r="AL200" s="22">
        <f t="shared" si="165"/>
        <v>2.1921244502123119E-12</v>
      </c>
      <c r="AM200" s="62">
        <f t="shared" si="193"/>
        <v>290.416032522291</v>
      </c>
      <c r="AN200" s="62">
        <f ca="1">AVERAGE(OFFSET($AM$3,0,0,'Données projet'!$E$10+1,1))-AVERAGE(OFFSET($H$3,0,0,'Données projet'!$E$10+1,1))</f>
        <v>312.88185844251097</v>
      </c>
      <c r="AO200" s="62">
        <f t="shared" si="205"/>
        <v>202.68317767036231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2.4052645706222269E-2</v>
      </c>
      <c r="AW200" s="23">
        <f>EXP(-LN(2)/2)*AW199+(1-EXP(-LN(2)/2))/(LN(2)/2)*AQ200*AT200*VLOOKUP('Données projet'!$B$10,Paramètres!$A$1:$I$89,3,0)*0.475*44/12</f>
        <v>7.4567884833358046E-25</v>
      </c>
      <c r="AX200" s="23">
        <f t="shared" si="166"/>
        <v>2.4052645706222269E-2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-1.1368683772161603E-13</v>
      </c>
      <c r="BE200" s="14">
        <f>BD200*VLOOKUP('Données projet'!$B$11,Paramètres!$A$1:$I$89,3,0)*VLOOKUP('Données projet'!$B$11,Paramètres!$A$1:$I$89,5,0)</f>
        <v>-9.9316821433603781E-14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287.22548699835653</v>
      </c>
      <c r="BJ200" s="62">
        <f t="shared" si="206"/>
        <v>276.01618888357268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6.903528740519782E-2</v>
      </c>
      <c r="BR200" s="23">
        <f>EXP(-LN(2)/2)*BR199+(1-EXP(-LN(2)/2))/(LN(2)/2)*BL200*BO200*VLOOKUP('Données projet'!$B$11,Paramètres!$A$1:$I$89,3,0)*0.475*44/12</f>
        <v>9.5548724812934467E-25</v>
      </c>
      <c r="BS200" s="24">
        <f t="shared" si="169"/>
        <v>6.903528740519782E-2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1.1527845344971866E-13</v>
      </c>
      <c r="P201" s="14">
        <f t="shared" si="203"/>
        <v>1.7033846239409443E-12</v>
      </c>
      <c r="Q201" s="22">
        <f t="shared" si="162"/>
        <v>3.1675048597887374E-12</v>
      </c>
      <c r="R201" s="62">
        <f t="shared" si="191"/>
        <v>290.46664116925609</v>
      </c>
      <c r="S201" s="62">
        <f ca="1">AVERAGE(OFFSET($R$3,0,0,'Données projet'!$E$9+1,1))-AVERAGE(OFFSET($H$3,0,0,'Données projet'!$E$9+1,1))</f>
        <v>446.90706503298787</v>
      </c>
      <c r="T201" s="62">
        <f t="shared" si="204"/>
        <v>275.54513370838777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2.8691888960250558E-2</v>
      </c>
      <c r="AB201" s="23">
        <f>EXP(-LN(2)/2)*AB200+(1-EXP(-LN(2)/2))/(LN(2)/2)*V201*Y201*VLOOKUP('Données projet'!$B$9,Paramètres!$A$1:$I$89,3,0)*0.475*44/12</f>
        <v>7.2709297251423806E-25</v>
      </c>
      <c r="AC201" s="24">
        <f t="shared" si="163"/>
        <v>2.8691888960250558E-2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1.1368683772161603E-13</v>
      </c>
      <c r="AJ201" s="14">
        <f>AI201*VLOOKUP('Données projet'!$B$10,Paramètres!$A$1:$I$89,3,0)*VLOOKUP('Données projet'!$B$10,Paramètres!$A$1:$I$89,5,0)</f>
        <v>7.626113074366004E-14</v>
      </c>
      <c r="AK201" s="14">
        <f t="shared" si="164"/>
        <v>1.1823749172251317E-12</v>
      </c>
      <c r="AL201" s="22">
        <f t="shared" si="165"/>
        <v>2.1921244502123119E-12</v>
      </c>
      <c r="AM201" s="62">
        <f t="shared" si="193"/>
        <v>290.46664116925513</v>
      </c>
      <c r="AN201" s="62">
        <f ca="1">AVERAGE(OFFSET($AM$3,0,0,'Données projet'!$E$10+1,1))-AVERAGE(OFFSET($H$3,0,0,'Données projet'!$E$10+1,1))</f>
        <v>312.88185844251097</v>
      </c>
      <c r="AO201" s="62">
        <f t="shared" si="205"/>
        <v>202.68317767036231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2.3394924844511958E-2</v>
      </c>
      <c r="AW201" s="23">
        <f>EXP(-LN(2)/2)*AW200+(1-EXP(-LN(2)/2))/(LN(2)/2)*AQ201*AT201*VLOOKUP('Données projet'!$B$10,Paramètres!$A$1:$I$89,3,0)*0.475*44/12</f>
        <v>5.2727457024404983E-25</v>
      </c>
      <c r="AX201" s="23">
        <f t="shared" si="166"/>
        <v>2.3394924844511958E-2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-1.1368683772161603E-13</v>
      </c>
      <c r="BE201" s="14">
        <f>BD201*VLOOKUP('Données projet'!$B$11,Paramètres!$A$1:$I$89,3,0)*VLOOKUP('Données projet'!$B$11,Paramètres!$A$1:$I$89,5,0)</f>
        <v>-9.9316821433603781E-14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287.22548699835653</v>
      </c>
      <c r="BJ201" s="62">
        <f t="shared" si="206"/>
        <v>276.01618888357268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6.71475138406947E-2</v>
      </c>
      <c r="BR201" s="23">
        <f>EXP(-LN(2)/2)*BR200+(1-EXP(-LN(2)/2))/(LN(2)/2)*BL201*BO201*VLOOKUP('Données projet'!$B$11,Paramètres!$A$1:$I$89,3,0)*0.475*44/12</f>
        <v>6.7563151248953297E-25</v>
      </c>
      <c r="BS201" s="24">
        <f t="shared" si="169"/>
        <v>6.71475138406947E-2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1.1527845344971866E-13</v>
      </c>
      <c r="P202" s="14">
        <f t="shared" si="203"/>
        <v>1.7033846239409443E-12</v>
      </c>
      <c r="Q202" s="22">
        <f t="shared" si="162"/>
        <v>3.1675048597887374E-12</v>
      </c>
      <c r="R202" s="62">
        <f t="shared" si="191"/>
        <v>290.51637186933931</v>
      </c>
      <c r="S202" s="62">
        <f ca="1">AVERAGE(OFFSET($R$3,0,0,'Données projet'!$E$9+1,1))-AVERAGE(OFFSET($H$3,0,0,'Données projet'!$E$9+1,1))</f>
        <v>446.90706503298787</v>
      </c>
      <c r="T202" s="62">
        <f t="shared" si="204"/>
        <v>275.54513370838777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2.7907307747791644E-2</v>
      </c>
      <c r="AB202" s="23">
        <f>EXP(-LN(2)/2)*AB201+(1-EXP(-LN(2)/2))/(LN(2)/2)*V202*Y202*VLOOKUP('Données projet'!$B$9,Paramètres!$A$1:$I$89,3,0)*0.475*44/12</f>
        <v>5.1413237141790174E-25</v>
      </c>
      <c r="AC202" s="24">
        <f t="shared" si="163"/>
        <v>2.7907307747791644E-2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1.1368683772161603E-13</v>
      </c>
      <c r="AJ202" s="14">
        <f>AI202*VLOOKUP('Données projet'!$B$10,Paramètres!$A$1:$I$89,3,0)*VLOOKUP('Données projet'!$B$10,Paramètres!$A$1:$I$89,5,0)</f>
        <v>7.626113074366004E-14</v>
      </c>
      <c r="AK202" s="14">
        <f t="shared" si="164"/>
        <v>1.1823749172251317E-12</v>
      </c>
      <c r="AL202" s="22">
        <f t="shared" si="165"/>
        <v>2.1921244502123119E-12</v>
      </c>
      <c r="AM202" s="62">
        <f t="shared" si="193"/>
        <v>290.51637186933834</v>
      </c>
      <c r="AN202" s="62">
        <f ca="1">AVERAGE(OFFSET($AM$3,0,0,'Données projet'!$E$10+1,1))-AVERAGE(OFFSET($H$3,0,0,'Données projet'!$E$10+1,1))</f>
        <v>312.88185844251097</v>
      </c>
      <c r="AO202" s="62">
        <f t="shared" si="205"/>
        <v>202.68317767036231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2.2755189394353149E-2</v>
      </c>
      <c r="AW202" s="23">
        <f>EXP(-LN(2)/2)*AW201+(1-EXP(-LN(2)/2))/(LN(2)/2)*AQ202*AT202*VLOOKUP('Données projet'!$B$10,Paramètres!$A$1:$I$89,3,0)*0.475*44/12</f>
        <v>3.7283942416679023E-25</v>
      </c>
      <c r="AX202" s="23">
        <f t="shared" si="166"/>
        <v>2.2755189394353149E-2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-1.1368683772161603E-13</v>
      </c>
      <c r="BE202" s="14">
        <f>BD202*VLOOKUP('Données projet'!$B$11,Paramètres!$A$1:$I$89,3,0)*VLOOKUP('Données projet'!$B$11,Paramètres!$A$1:$I$89,5,0)</f>
        <v>-9.9316821433603781E-14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287.22548699835653</v>
      </c>
      <c r="BJ202" s="62">
        <f t="shared" si="206"/>
        <v>276.01618888357268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6.5311361543586618E-2</v>
      </c>
      <c r="BR202" s="23">
        <f>EXP(-LN(2)/2)*BR201+(1-EXP(-LN(2)/2))/(LN(2)/2)*BL202*BO202*VLOOKUP('Données projet'!$B$11,Paramètres!$A$1:$I$89,3,0)*0.475*44/12</f>
        <v>4.7774362406467234E-25</v>
      </c>
      <c r="BS202" s="24">
        <f t="shared" si="169"/>
        <v>6.5311361543586618E-2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1.1527845344971866E-13</v>
      </c>
      <c r="P203" s="14">
        <f t="shared" si="203"/>
        <v>1.7033846239409443E-12</v>
      </c>
      <c r="Q203" s="22">
        <f t="shared" si="162"/>
        <v>3.1675048597887374E-12</v>
      </c>
      <c r="R203" s="62">
        <f t="shared" si="191"/>
        <v>290.56523985295729</v>
      </c>
      <c r="S203" s="62">
        <f ca="1">AVERAGE(OFFSET($R$3,0,0,'Données projet'!$E$9+1,1))-AVERAGE(OFFSET($H$3,0,0,'Données projet'!$E$9+1,1))</f>
        <v>446.90706503298787</v>
      </c>
      <c r="T203" s="62">
        <f t="shared" si="204"/>
        <v>275.54513370838777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2.714418094984675E-2</v>
      </c>
      <c r="AB203" s="23">
        <f>EXP(-LN(2)/2)*AB202+(1-EXP(-LN(2)/2))/(LN(2)/2)*V203*Y203*VLOOKUP('Données projet'!$B$9,Paramètres!$A$1:$I$89,3,0)*0.475*44/12</f>
        <v>3.6354648625711903E-25</v>
      </c>
      <c r="AC203" s="24">
        <f t="shared" si="163"/>
        <v>2.714418094984675E-2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1.1368683772161603E-13</v>
      </c>
      <c r="AJ203" s="14">
        <f>AI203*VLOOKUP('Données projet'!$B$10,Paramètres!$A$1:$I$89,3,0)*VLOOKUP('Données projet'!$B$10,Paramètres!$A$1:$I$89,5,0)</f>
        <v>7.626113074366004E-14</v>
      </c>
      <c r="AK203" s="14">
        <f t="shared" si="164"/>
        <v>1.1823749172251317E-12</v>
      </c>
      <c r="AL203" s="22">
        <f t="shared" si="165"/>
        <v>2.1921244502123119E-12</v>
      </c>
      <c r="AM203" s="62">
        <f t="shared" si="193"/>
        <v>290.56523985295632</v>
      </c>
      <c r="AN203" s="62">
        <f ca="1">AVERAGE(OFFSET($AM$3,0,0,'Données projet'!$E$10+1,1))-AVERAGE(OFFSET($H$3,0,0,'Données projet'!$E$10+1,1))</f>
        <v>312.88185844251097</v>
      </c>
      <c r="AO203" s="62">
        <f t="shared" si="205"/>
        <v>202.68317767036231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2.2132947543721158E-2</v>
      </c>
      <c r="AW203" s="23">
        <f>EXP(-LN(2)/2)*AW202+(1-EXP(-LN(2)/2))/(LN(2)/2)*AQ203*AT203*VLOOKUP('Données projet'!$B$10,Paramètres!$A$1:$I$89,3,0)*0.475*44/12</f>
        <v>2.6363728512202492E-25</v>
      </c>
      <c r="AX203" s="23">
        <f t="shared" si="166"/>
        <v>2.2132947543721158E-2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-1.1368683772161603E-13</v>
      </c>
      <c r="BE203" s="14">
        <f>BD203*VLOOKUP('Données projet'!$B$11,Paramètres!$A$1:$I$89,3,0)*VLOOKUP('Données projet'!$B$11,Paramètres!$A$1:$I$89,5,0)</f>
        <v>-9.9316821433603781E-14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287.22548699835653</v>
      </c>
      <c r="BJ203" s="62">
        <f t="shared" si="206"/>
        <v>276.01618888357268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6.3525418927602009E-2</v>
      </c>
      <c r="BR203" s="23">
        <f>EXP(-LN(2)/2)*BR202+(1-EXP(-LN(2)/2))/(LN(2)/2)*BL203*BO203*VLOOKUP('Données projet'!$B$11,Paramètres!$A$1:$I$89,3,0)*0.475*44/12</f>
        <v>3.3781575624476648E-25</v>
      </c>
      <c r="BS203" s="24">
        <f t="shared" si="169"/>
        <v>6.3525418927602009E-2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1.185906184594963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1.185906184594963</v>
      </c>
      <c r="BA205" s="88">
        <f>EXP(LN('Données projet'!B88)/'Données projet'!A88)</f>
        <v>1.1577536725165907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13" workbookViewId="0">
      <selection activeCell="F17" sqref="F17:L1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Chêne pubescent</v>
      </c>
      <c r="B6" s="155">
        <f>'Données projet'!D9</f>
        <v>6.7724999999999991</v>
      </c>
      <c r="C6" s="156">
        <f ca="1">IF(OR('Données projet'!B9="",'Données projet'!C9="",'Données projet'!C9=0%),0,Calculateur!S3)</f>
        <v>446.90706503298787</v>
      </c>
      <c r="D6" s="156">
        <f>IF(OR('Données projet'!B9="",'Données projet'!C9="",'Données projet'!C9=0%),0,Calculateur!T3)</f>
        <v>275.54513370838777</v>
      </c>
      <c r="E6" s="156">
        <f ca="1">MIN(C6,D6)</f>
        <v>275.54513370838777</v>
      </c>
      <c r="F6" s="156">
        <f ca="1">E6*B6</f>
        <v>1866.129418040056</v>
      </c>
      <c r="G6" s="156">
        <f ca="1">F6*(100%-'Données projet'!$C$24)*(100%-'Données projet'!$C$25)*(100%-'Données projet'!$C$26)*(100%-'Données projet'!$C$27)</f>
        <v>1595.5406524242478</v>
      </c>
      <c r="H6" s="157">
        <f>IF(OR('Données projet'!B9="",'Données projet'!C9="",'Données projet'!C9=0%),0,AVERAGE(Calculateur!$AC$3:$AC$33)*B6)</f>
        <v>3.7333324066337132</v>
      </c>
      <c r="I6" s="158">
        <f>H6*(100%-'Données projet'!$C$24)*(100%-'Données projet'!$C$25)*(100%-'Données projet'!$C$26)*(100%-'Données projet'!$C$27)</f>
        <v>3.1919992076718247</v>
      </c>
      <c r="J6" s="159">
        <f>IF(OR('Données projet'!B9="",'Données projet'!C9="",'Données projet'!C9=0%),0,SUM(Calculateur!$V$3:$V$33)*VLOOKUP('Données projet'!$B$9,Paramètres!$A$1:$I$89,9,0)*B6)</f>
        <v>49.100624999999994</v>
      </c>
      <c r="K6" s="160">
        <f>J6*(100%-'Données projet'!$C$24)*(100%-'Données projet'!$C$25)*(100%-'Données projet'!$C$26)*(100%-'Données projet'!$C$27)</f>
        <v>41.981034375</v>
      </c>
      <c r="L6" s="161">
        <f ca="1">G6+I6+K6</f>
        <v>1640.7136860069197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Tilleul</v>
      </c>
      <c r="B7" s="163">
        <f>'Données projet'!D10</f>
        <v>0.72239999999999993</v>
      </c>
      <c r="C7" s="156">
        <f ca="1">IF(OR('Données projet'!B10="",'Données projet'!C10="",'Données projet'!C10=0%),0,Calculateur!AN3)</f>
        <v>312.88185844251097</v>
      </c>
      <c r="D7" s="156">
        <f>IF(OR('Données projet'!B10="",'Données projet'!C10="",'Données projet'!C10=0%),0,Calculateur!AO3)</f>
        <v>202.68317767036231</v>
      </c>
      <c r="E7" s="156">
        <f t="shared" ref="E7:E15" ca="1" si="0">MIN(C7,D7)</f>
        <v>202.68317767036231</v>
      </c>
      <c r="F7" s="156">
        <f t="shared" ref="F7:F15" ca="1" si="1">E7*B7</f>
        <v>146.41832754906972</v>
      </c>
      <c r="G7" s="156">
        <f ca="1">F7*(100%-'Données projet'!$C$24)*(100%-'Données projet'!$C$25)*(100%-'Données projet'!$C$26)*(100%-'Données projet'!$C$27)</f>
        <v>125.1876700544546</v>
      </c>
      <c r="H7" s="164">
        <f>IF(OR('Données projet'!B10="",'Données projet'!C10="",'Données projet'!C10=0%),0,AVERAGE(Calculateur!$AX$3:$AX$33)*B7)</f>
        <v>0.62677741055623193</v>
      </c>
      <c r="I7" s="158">
        <f>H7*(100%-'Données projet'!$C$24)*(100%-'Données projet'!$C$25)*(100%-'Données projet'!$C$26)*(100%-'Données projet'!$C$27)</f>
        <v>0.53589468602557833</v>
      </c>
      <c r="J7" s="159">
        <f>IF(OR('Données projet'!B10="",'Données projet'!C10="",'Données projet'!C10=0%),0,SUM(Calculateur!$AQ$3:$AQ$33)*VLOOKUP('Données projet'!$B$10,Paramètres!$A$1:$I$89,9,0)*B7)</f>
        <v>5.2373999999999992</v>
      </c>
      <c r="K7" s="160">
        <f>J7*(100%-'Données projet'!$C$24)*(100%-'Données projet'!$C$25)*(100%-'Données projet'!$C$26)*(100%-'Données projet'!$C$27)</f>
        <v>4.4779769999999992</v>
      </c>
      <c r="L7" s="161">
        <f t="shared" ref="L7:L15" ca="1" si="2">G7+I7+K7</f>
        <v>130.20154174048017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Erable champêtre</v>
      </c>
      <c r="B8" s="163">
        <f>'Données projet'!D11</f>
        <v>0.72239999999999993</v>
      </c>
      <c r="C8" s="156">
        <f ca="1">IF(OR('Données projet'!B11="",'Données projet'!C11="",'Données projet'!C11=0%),0,Calculateur!BI3)</f>
        <v>287.22548699835653</v>
      </c>
      <c r="D8" s="156">
        <f>IF(OR('Données projet'!B11="",'Données projet'!C11="",'Données projet'!C11=0%),0,Calculateur!BJ3)</f>
        <v>276.01618888357268</v>
      </c>
      <c r="E8" s="156">
        <f t="shared" ca="1" si="0"/>
        <v>276.01618888357268</v>
      </c>
      <c r="F8" s="156">
        <f t="shared" ca="1" si="1"/>
        <v>199.39409484949289</v>
      </c>
      <c r="G8" s="156">
        <f ca="1">F8*(100%-'Données projet'!$C$24)*(100%-'Données projet'!$C$25)*(100%-'Données projet'!$C$26)*(100%-'Données projet'!$C$27)</f>
        <v>170.48195109631641</v>
      </c>
      <c r="H8" s="164">
        <f>IF(OR('Données projet'!B11="",'Données projet'!C11="",'Données projet'!C11=0%),0,AVERAGE(Calculateur!$BS$3:$BS$33)*B8)</f>
        <v>2.9515831165944304</v>
      </c>
      <c r="I8" s="158">
        <f>H8*(100%-'Données projet'!$C$24)*(100%-'Données projet'!$C$25)*(100%-'Données projet'!$C$26)*(100%-'Données projet'!$C$27)</f>
        <v>2.523603564688238</v>
      </c>
      <c r="J8" s="159">
        <f>IF(OR('Données projet'!B11="",'Données projet'!C11="",'Données projet'!C11=0%),0,SUM(Calculateur!$BL$3:$BL$33)*VLOOKUP('Données projet'!$B$11,Paramètres!$A$1:$I$89,9,0)*B8)</f>
        <v>11.377799999999999</v>
      </c>
      <c r="K8" s="160">
        <f>J8*(100%-'Données projet'!$C$24)*(100%-'Données projet'!$C$25)*(100%-'Données projet'!$C$26)*(100%-'Données projet'!$C$27)</f>
        <v>9.7280189999999997</v>
      </c>
      <c r="L8" s="161">
        <f t="shared" ca="1" si="2"/>
        <v>182.73357366100464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2211.9418404386188</v>
      </c>
      <c r="G16" s="175">
        <f t="shared" ca="1" si="3"/>
        <v>1891.2102735750188</v>
      </c>
      <c r="H16" s="176">
        <f t="shared" si="3"/>
        <v>7.3116929337843759</v>
      </c>
      <c r="I16" s="176">
        <f t="shared" si="3"/>
        <v>6.2514974583856411</v>
      </c>
      <c r="J16" s="177">
        <f t="shared" si="3"/>
        <v>65.715824999999995</v>
      </c>
      <c r="K16" s="177">
        <f t="shared" si="3"/>
        <v>56.187030375000006</v>
      </c>
      <c r="L16" s="178">
        <f t="shared" ca="1" si="3"/>
        <v>1953.6488014084046</v>
      </c>
      <c r="M16" s="25">
        <f ca="1">L16/9</f>
        <v>217.07208904537828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Chêne pubescent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Tilleul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Erable champêtre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O7" zoomScale="90" zoomScaleNormal="90" workbookViewId="0">
      <selection activeCell="I31" sqref="I31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7" t="s">
        <v>315</v>
      </c>
      <c r="I4" s="327"/>
      <c r="K4" s="324" t="s">
        <v>253</v>
      </c>
      <c r="L4" s="325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5" t="s">
        <v>310</v>
      </c>
      <c r="S7" s="336"/>
      <c r="T7" s="336"/>
      <c r="U7" s="336"/>
      <c r="V7" s="337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pubescent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574.7753805200548</v>
      </c>
      <c r="U10" s="190">
        <f>'Données projet'!D9</f>
        <v>6.7724999999999991</v>
      </c>
      <c r="V10" s="189">
        <f>U10*T10</f>
        <v>3892.6662645720708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Tilleul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501.05292096949836</v>
      </c>
      <c r="U11" s="190">
        <f>'Données projet'!D10</f>
        <v>0.72239999999999993</v>
      </c>
      <c r="V11" s="189">
        <f t="shared" ref="V11" si="0">U11*T11</f>
        <v>361.96063010836559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Erable champêtre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510.29466139779424</v>
      </c>
      <c r="U12" s="190">
        <f>'Données projet'!D11</f>
        <v>0.72239999999999993</v>
      </c>
      <c r="V12" s="189">
        <f t="shared" ref="V12:V19" si="1">U12*T12</f>
        <v>368.63686339376653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Chêne pubescent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8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8"/>
      <c r="H16" s="203"/>
      <c r="I16" s="204"/>
      <c r="J16" s="216"/>
      <c r="K16" s="225"/>
      <c r="L16" s="324" t="s">
        <v>254</v>
      </c>
      <c r="M16" s="325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8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8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8"/>
      <c r="H19" s="232" t="s">
        <v>178</v>
      </c>
      <c r="I19" s="232" t="s">
        <v>287</v>
      </c>
      <c r="J19" s="260"/>
      <c r="K19" s="183"/>
      <c r="L19" s="324" t="s">
        <v>288</v>
      </c>
      <c r="M19" s="325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8"/>
      <c r="H20" s="203">
        <v>0</v>
      </c>
      <c r="I20" s="204">
        <f>(2898+36505)/9</f>
        <v>4378.1111111111113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2</v>
      </c>
      <c r="I21" s="204">
        <f>((1759+26436)/9)/3</f>
        <v>1044.2592592592594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3</v>
      </c>
      <c r="I22" s="204">
        <f t="shared" ref="I22:I23" si="2">((1759+26436)/9)/3</f>
        <v>1044.2592592592594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25</v>
      </c>
      <c r="B23" s="193">
        <f>'Données projet'!D36</f>
        <v>8</v>
      </c>
      <c r="C23" s="292">
        <v>4</v>
      </c>
      <c r="D23" s="194">
        <f>B23*C23</f>
        <v>32</v>
      </c>
      <c r="E23" s="206"/>
      <c r="F23" s="261"/>
      <c r="H23" s="203">
        <v>4</v>
      </c>
      <c r="I23" s="204">
        <f t="shared" si="2"/>
        <v>1044.2592592592594</v>
      </c>
      <c r="K23" s="225"/>
      <c r="L23" s="326" t="s">
        <v>260</v>
      </c>
      <c r="M23" s="326"/>
      <c r="N23" s="326"/>
      <c r="O23" s="25"/>
      <c r="P23" s="25"/>
      <c r="Q23" s="265"/>
      <c r="R23" s="25"/>
      <c r="S23" s="185" t="s">
        <v>264</v>
      </c>
      <c r="T23" s="34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-59716.631984739259</v>
      </c>
      <c r="U23" s="340"/>
      <c r="V23" s="340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30</v>
      </c>
      <c r="B24" s="193">
        <f>'Données projet'!D37</f>
        <v>21</v>
      </c>
      <c r="C24" s="292">
        <v>8</v>
      </c>
      <c r="D24" s="194">
        <f t="shared" ref="D24:D42" si="3">B24*C24</f>
        <v>168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1"/>
      <c r="V24" s="341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35</v>
      </c>
      <c r="B25" s="193">
        <f>'Données projet'!D38</f>
        <v>21</v>
      </c>
      <c r="C25" s="292">
        <v>10</v>
      </c>
      <c r="D25" s="194">
        <f t="shared" si="3"/>
        <v>210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2">
        <f ca="1">T23-T24</f>
        <v>-59716.631984739259</v>
      </c>
      <c r="U25" s="342"/>
      <c r="V25" s="342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40</v>
      </c>
      <c r="B26" s="193">
        <f>'Données projet'!D39</f>
        <v>21</v>
      </c>
      <c r="C26" s="292">
        <v>10</v>
      </c>
      <c r="D26" s="194">
        <f t="shared" si="3"/>
        <v>210</v>
      </c>
      <c r="E26" s="206"/>
      <c r="F26" s="264"/>
      <c r="G26" s="259"/>
      <c r="H26" s="203"/>
      <c r="I26" s="204"/>
      <c r="K26" s="225"/>
      <c r="L26" s="329" t="s">
        <v>258</v>
      </c>
      <c r="M26" s="330"/>
      <c r="N26" s="330"/>
      <c r="O26" s="330"/>
      <c r="P26" s="331"/>
      <c r="Q26" s="265"/>
      <c r="R26" s="25"/>
      <c r="S26" s="198" t="s">
        <v>265</v>
      </c>
      <c r="T26" s="339" t="str">
        <f ca="1">IF(T25&lt;0,"Votre projet est additionnel","Votre projet n'est pas additionnel")</f>
        <v>Votre projet est additionnel</v>
      </c>
      <c r="U26" s="339"/>
      <c r="V26" s="339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45</v>
      </c>
      <c r="B27" s="193">
        <f>'Données projet'!D40</f>
        <v>21</v>
      </c>
      <c r="C27" s="292">
        <v>10</v>
      </c>
      <c r="D27" s="194">
        <f t="shared" si="3"/>
        <v>210</v>
      </c>
      <c r="E27" s="206"/>
      <c r="F27" s="264"/>
      <c r="G27" s="259"/>
      <c r="H27" s="203"/>
      <c r="I27" s="204"/>
      <c r="K27" s="225"/>
      <c r="L27" s="332"/>
      <c r="M27" s="333"/>
      <c r="N27" s="333"/>
      <c r="O27" s="333"/>
      <c r="P27" s="334"/>
      <c r="Q27" s="265"/>
      <c r="R27" s="25"/>
      <c r="S27" s="338" t="s">
        <v>267</v>
      </c>
      <c r="T27" s="338"/>
      <c r="U27" s="338"/>
      <c r="V27" s="338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50</v>
      </c>
      <c r="B28" s="193">
        <f>'Données projet'!D41</f>
        <v>21</v>
      </c>
      <c r="C28" s="292">
        <v>10</v>
      </c>
      <c r="D28" s="194">
        <f t="shared" si="3"/>
        <v>210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55</v>
      </c>
      <c r="B29" s="193">
        <f>'Données projet'!D42</f>
        <v>21</v>
      </c>
      <c r="C29" s="292">
        <v>15</v>
      </c>
      <c r="D29" s="194">
        <f t="shared" si="3"/>
        <v>315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60</v>
      </c>
      <c r="B30" s="193">
        <f>'Données projet'!D43</f>
        <v>21</v>
      </c>
      <c r="C30" s="292">
        <v>15</v>
      </c>
      <c r="D30" s="194">
        <f t="shared" si="3"/>
        <v>315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65</v>
      </c>
      <c r="B31" s="193">
        <f>'Données projet'!D44</f>
        <v>21</v>
      </c>
      <c r="C31" s="292">
        <v>15</v>
      </c>
      <c r="D31" s="194">
        <f t="shared" si="3"/>
        <v>315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70</v>
      </c>
      <c r="B32" s="193">
        <f>'Données projet'!D45</f>
        <v>21</v>
      </c>
      <c r="C32" s="292">
        <v>15</v>
      </c>
      <c r="D32" s="194">
        <f t="shared" si="3"/>
        <v>315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75</v>
      </c>
      <c r="B33" s="193">
        <f>'Données projet'!D46</f>
        <v>21</v>
      </c>
      <c r="C33" s="292">
        <v>20</v>
      </c>
      <c r="D33" s="194">
        <f t="shared" si="3"/>
        <v>420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4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80</v>
      </c>
      <c r="B34" s="193">
        <f>'Données projet'!D47</f>
        <v>21</v>
      </c>
      <c r="C34" s="292">
        <v>20</v>
      </c>
      <c r="D34" s="194">
        <f t="shared" si="3"/>
        <v>420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4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85</v>
      </c>
      <c r="B35" s="193">
        <f>'Données projet'!D48</f>
        <v>21</v>
      </c>
      <c r="C35" s="292">
        <v>20</v>
      </c>
      <c r="D35" s="194">
        <f t="shared" si="3"/>
        <v>420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4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90</v>
      </c>
      <c r="B36" s="193">
        <f>'Données projet'!D49</f>
        <v>21</v>
      </c>
      <c r="C36" s="292">
        <v>20</v>
      </c>
      <c r="D36" s="194">
        <f t="shared" si="3"/>
        <v>420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4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95</v>
      </c>
      <c r="B37" s="193">
        <f>'Données projet'!D50</f>
        <v>21</v>
      </c>
      <c r="C37" s="292">
        <v>30</v>
      </c>
      <c r="D37" s="194">
        <f t="shared" si="3"/>
        <v>630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4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100</v>
      </c>
      <c r="B38" s="193">
        <f>'Données projet'!D51</f>
        <v>21</v>
      </c>
      <c r="C38" s="292">
        <v>30</v>
      </c>
      <c r="D38" s="194">
        <f t="shared" si="3"/>
        <v>630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4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105</v>
      </c>
      <c r="B39" s="193">
        <f>'Données projet'!D52</f>
        <v>20</v>
      </c>
      <c r="C39" s="292">
        <v>40</v>
      </c>
      <c r="D39" s="194">
        <f t="shared" si="3"/>
        <v>800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4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110</v>
      </c>
      <c r="B40" s="193">
        <f>'Données projet'!D53</f>
        <v>19</v>
      </c>
      <c r="C40" s="292">
        <v>50</v>
      </c>
      <c r="D40" s="194">
        <f t="shared" si="3"/>
        <v>950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4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115</v>
      </c>
      <c r="B41" s="193">
        <f>'Données projet'!D54</f>
        <v>18</v>
      </c>
      <c r="C41" s="292">
        <v>70</v>
      </c>
      <c r="D41" s="194">
        <f t="shared" si="3"/>
        <v>1260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4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120</v>
      </c>
      <c r="B42" s="193">
        <f>'Données projet'!D55</f>
        <v>284</v>
      </c>
      <c r="C42" s="292">
        <v>150</v>
      </c>
      <c r="D42" s="194">
        <f t="shared" si="3"/>
        <v>42600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4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4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4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Tilleul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4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4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4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4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4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4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4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4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4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25</v>
      </c>
      <c r="B54" s="193">
        <f>'Données projet'!D62</f>
        <v>8</v>
      </c>
      <c r="C54" s="292">
        <v>4</v>
      </c>
      <c r="D54" s="191">
        <f>B54*C54</f>
        <v>32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4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30</v>
      </c>
      <c r="B55" s="193">
        <f>'Données projet'!D63</f>
        <v>21</v>
      </c>
      <c r="C55" s="292">
        <v>8</v>
      </c>
      <c r="D55" s="191">
        <f t="shared" ref="D55:D73" si="5">B55*C55</f>
        <v>168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4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35</v>
      </c>
      <c r="B56" s="193">
        <f>'Données projet'!D64</f>
        <v>21</v>
      </c>
      <c r="C56" s="292">
        <v>10</v>
      </c>
      <c r="D56" s="191">
        <f t="shared" si="5"/>
        <v>210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4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40</v>
      </c>
      <c r="B57" s="193">
        <f>'Données projet'!D65</f>
        <v>21</v>
      </c>
      <c r="C57" s="292">
        <v>10</v>
      </c>
      <c r="D57" s="191">
        <f t="shared" si="5"/>
        <v>210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4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45</v>
      </c>
      <c r="B58" s="193">
        <f>'Données projet'!D66</f>
        <v>21</v>
      </c>
      <c r="C58" s="292">
        <v>10</v>
      </c>
      <c r="D58" s="191">
        <f t="shared" si="5"/>
        <v>210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4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50</v>
      </c>
      <c r="B59" s="193">
        <f>'Données projet'!D67</f>
        <v>21</v>
      </c>
      <c r="C59" s="292">
        <v>10</v>
      </c>
      <c r="D59" s="191">
        <f t="shared" si="5"/>
        <v>210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4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55</v>
      </c>
      <c r="B60" s="193">
        <f>'Données projet'!D68</f>
        <v>21</v>
      </c>
      <c r="C60" s="292">
        <v>15</v>
      </c>
      <c r="D60" s="191">
        <f t="shared" si="5"/>
        <v>315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4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60</v>
      </c>
      <c r="B61" s="193">
        <f>'Données projet'!D69</f>
        <v>21</v>
      </c>
      <c r="C61" s="292">
        <v>15</v>
      </c>
      <c r="D61" s="191">
        <f t="shared" si="5"/>
        <v>315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4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65</v>
      </c>
      <c r="B62" s="193">
        <f>'Données projet'!D70</f>
        <v>21</v>
      </c>
      <c r="C62" s="292">
        <v>15</v>
      </c>
      <c r="D62" s="191">
        <f t="shared" si="5"/>
        <v>315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4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70</v>
      </c>
      <c r="B63" s="193">
        <f>'Données projet'!D71</f>
        <v>21</v>
      </c>
      <c r="C63" s="292">
        <v>15</v>
      </c>
      <c r="D63" s="191">
        <f t="shared" si="5"/>
        <v>315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4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75</v>
      </c>
      <c r="B64" s="193">
        <f>'Données projet'!D72</f>
        <v>21</v>
      </c>
      <c r="C64" s="292">
        <v>20</v>
      </c>
      <c r="D64" s="191">
        <f t="shared" si="5"/>
        <v>420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4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80</v>
      </c>
      <c r="B65" s="193">
        <f>'Données projet'!D73</f>
        <v>21</v>
      </c>
      <c r="C65" s="292">
        <v>20</v>
      </c>
      <c r="D65" s="191">
        <f t="shared" si="5"/>
        <v>420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6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85</v>
      </c>
      <c r="B66" s="193">
        <f>'Données projet'!D74</f>
        <v>21</v>
      </c>
      <c r="C66" s="292">
        <v>20</v>
      </c>
      <c r="D66" s="191">
        <f t="shared" si="5"/>
        <v>420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6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90</v>
      </c>
      <c r="B67" s="193">
        <f>'Données projet'!D75</f>
        <v>21</v>
      </c>
      <c r="C67" s="292">
        <v>20</v>
      </c>
      <c r="D67" s="191">
        <f t="shared" si="5"/>
        <v>420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6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95</v>
      </c>
      <c r="B68" s="193">
        <f>'Données projet'!D76</f>
        <v>21</v>
      </c>
      <c r="C68" s="292">
        <v>30</v>
      </c>
      <c r="D68" s="191">
        <f t="shared" si="5"/>
        <v>630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6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100</v>
      </c>
      <c r="B69" s="193">
        <f>'Données projet'!D77</f>
        <v>21</v>
      </c>
      <c r="C69" s="292">
        <v>30</v>
      </c>
      <c r="D69" s="191">
        <f t="shared" si="5"/>
        <v>630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6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105</v>
      </c>
      <c r="B70" s="193">
        <f>'Données projet'!D78</f>
        <v>20</v>
      </c>
      <c r="C70" s="292">
        <v>40</v>
      </c>
      <c r="D70" s="191">
        <f t="shared" si="5"/>
        <v>800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6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110</v>
      </c>
      <c r="B71" s="193">
        <f>'Données projet'!D79</f>
        <v>19</v>
      </c>
      <c r="C71" s="292">
        <v>50</v>
      </c>
      <c r="D71" s="191">
        <f t="shared" si="5"/>
        <v>950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6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115</v>
      </c>
      <c r="B72" s="193">
        <f>'Données projet'!D80</f>
        <v>18</v>
      </c>
      <c r="C72" s="292">
        <v>70</v>
      </c>
      <c r="D72" s="191">
        <f t="shared" si="5"/>
        <v>1260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6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120</v>
      </c>
      <c r="B73" s="193">
        <f>'Données projet'!D81</f>
        <v>284</v>
      </c>
      <c r="C73" s="292">
        <v>130</v>
      </c>
      <c r="D73" s="191">
        <f t="shared" si="5"/>
        <v>36920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6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6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6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Erable champêtre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6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6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6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6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6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6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6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6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6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15</v>
      </c>
      <c r="B85" s="193">
        <f>'Données projet'!D88</f>
        <v>0</v>
      </c>
      <c r="C85" s="292">
        <v>4</v>
      </c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6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20</v>
      </c>
      <c r="B86" s="193">
        <f>'Données projet'!D89</f>
        <v>21</v>
      </c>
      <c r="C86" s="292">
        <v>8</v>
      </c>
      <c r="D86" s="191">
        <f t="shared" ref="D86:D104" si="7">B86*C86</f>
        <v>168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6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25</v>
      </c>
      <c r="B87" s="193">
        <f>'Données projet'!D90</f>
        <v>21</v>
      </c>
      <c r="C87" s="292">
        <v>10</v>
      </c>
      <c r="D87" s="191">
        <f t="shared" si="7"/>
        <v>210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6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30</v>
      </c>
      <c r="B88" s="193">
        <f>'Données projet'!D91</f>
        <v>21</v>
      </c>
      <c r="C88" s="292">
        <v>10</v>
      </c>
      <c r="D88" s="191">
        <f t="shared" si="7"/>
        <v>210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6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35</v>
      </c>
      <c r="B89" s="193">
        <f>'Données projet'!D92</f>
        <v>21</v>
      </c>
      <c r="C89" s="292">
        <v>10</v>
      </c>
      <c r="D89" s="191">
        <f t="shared" si="7"/>
        <v>210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6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40</v>
      </c>
      <c r="B90" s="193">
        <f>'Données projet'!D93</f>
        <v>21</v>
      </c>
      <c r="C90" s="292">
        <v>10</v>
      </c>
      <c r="D90" s="191">
        <f t="shared" si="7"/>
        <v>210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6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45</v>
      </c>
      <c r="B91" s="193">
        <f>'Données projet'!D94</f>
        <v>18</v>
      </c>
      <c r="C91" s="292">
        <v>15</v>
      </c>
      <c r="D91" s="191">
        <f t="shared" si="7"/>
        <v>270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6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50</v>
      </c>
      <c r="B92" s="193">
        <f>'Données projet'!D95</f>
        <v>13</v>
      </c>
      <c r="C92" s="292">
        <v>15</v>
      </c>
      <c r="D92" s="191">
        <f t="shared" si="7"/>
        <v>195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6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55</v>
      </c>
      <c r="B93" s="193">
        <f>'Données projet'!D96</f>
        <v>11</v>
      </c>
      <c r="C93" s="292">
        <v>15</v>
      </c>
      <c r="D93" s="191">
        <f t="shared" si="7"/>
        <v>165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6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60</v>
      </c>
      <c r="B94" s="193">
        <f>'Données projet'!D97</f>
        <v>9</v>
      </c>
      <c r="C94" s="292">
        <v>15</v>
      </c>
      <c r="D94" s="191">
        <f t="shared" si="7"/>
        <v>135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6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65</v>
      </c>
      <c r="B95" s="193">
        <f>'Données projet'!D98</f>
        <v>8</v>
      </c>
      <c r="C95" s="292">
        <v>20</v>
      </c>
      <c r="D95" s="191">
        <f t="shared" si="7"/>
        <v>160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6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70</v>
      </c>
      <c r="B96" s="193">
        <f>'Données projet'!D99</f>
        <v>6</v>
      </c>
      <c r="C96" s="292">
        <v>20</v>
      </c>
      <c r="D96" s="191">
        <f t="shared" si="7"/>
        <v>120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6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75</v>
      </c>
      <c r="B97" s="193">
        <f>'Données projet'!D100</f>
        <v>7</v>
      </c>
      <c r="C97" s="292">
        <v>20</v>
      </c>
      <c r="D97" s="191">
        <f t="shared" si="7"/>
        <v>140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8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80</v>
      </c>
      <c r="B98" s="193">
        <f>'Données projet'!D101</f>
        <v>221</v>
      </c>
      <c r="C98" s="292">
        <v>20</v>
      </c>
      <c r="D98" s="191">
        <f t="shared" si="7"/>
        <v>4420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8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92">
        <v>30</v>
      </c>
      <c r="D99" s="191">
        <f t="shared" si="7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8"/>
        <v>0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92">
        <v>30</v>
      </c>
      <c r="D100" s="191">
        <f t="shared" si="7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8"/>
        <v>0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92">
        <v>40</v>
      </c>
      <c r="D101" s="191">
        <f t="shared" si="7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8"/>
        <v>0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92">
        <v>50</v>
      </c>
      <c r="D102" s="191">
        <f t="shared" si="7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8"/>
        <v>0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92">
        <v>70</v>
      </c>
      <c r="D103" s="191">
        <f t="shared" si="7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8"/>
        <v>0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92">
        <v>130</v>
      </c>
      <c r="D104" s="191">
        <f t="shared" si="7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>
        <f>IF(O103+1&lt;=MIN('Données projet'!$E$9:$E$18),O103+1,"STOP")</f>
        <v>71</v>
      </c>
      <c r="P104" s="197">
        <f t="shared" si="8"/>
        <v>0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>
        <f>IF(O104+1&lt;=MIN('Données projet'!$E$9:$E$18),O104+1,"STOP")</f>
        <v>72</v>
      </c>
      <c r="P105" s="197">
        <f t="shared" si="8"/>
        <v>0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>
        <f>IF(O105+1&lt;=MIN('Données projet'!$E$9:$E$18),O105+1,"STOP")</f>
        <v>73</v>
      </c>
      <c r="P106" s="197">
        <f t="shared" si="8"/>
        <v>0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>
        <f>IF(O106+1&lt;=MIN('Données projet'!$E$9:$E$18),O106+1,"STOP")</f>
        <v>74</v>
      </c>
      <c r="P107" s="197">
        <f t="shared" si="8"/>
        <v>0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>
        <f>IF(O107+1&lt;=MIN('Données projet'!$E$9:$E$18),O107+1,"STOP")</f>
        <v>75</v>
      </c>
      <c r="P108" s="197">
        <f t="shared" si="8"/>
        <v>0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>
        <f>IF(O108+1&lt;=MIN('Données projet'!$E$9:$E$18),O108+1,"STOP")</f>
        <v>76</v>
      </c>
      <c r="P109" s="197">
        <f t="shared" si="8"/>
        <v>0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>
        <f>IF(O109+1&lt;=MIN('Données projet'!$E$9:$E$18),O109+1,"STOP")</f>
        <v>77</v>
      </c>
      <c r="P110" s="197">
        <f t="shared" si="8"/>
        <v>0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>
        <f>IF(O110+1&lt;=MIN('Données projet'!$E$9:$E$18),O110+1,"STOP")</f>
        <v>78</v>
      </c>
      <c r="P111" s="197">
        <f t="shared" si="8"/>
        <v>0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>
        <f>IF(O111+1&lt;=MIN('Données projet'!$E$9:$E$18),O111+1,"STOP")</f>
        <v>79</v>
      </c>
      <c r="P112" s="197">
        <f t="shared" si="8"/>
        <v>0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>
        <f>IF(O112+1&lt;=MIN('Données projet'!$E$9:$E$18),O112+1,"STOP")</f>
        <v>80</v>
      </c>
      <c r="P113" s="197">
        <f t="shared" si="8"/>
        <v>0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str">
        <f>IF(O113+1&lt;=MIN('Données projet'!$E$9:$E$18),O113+1,"STOP")</f>
        <v>STOP</v>
      </c>
      <c r="P114" s="197" t="e">
        <f t="shared" si="8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8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8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>
        <v>10</v>
      </c>
      <c r="D117" s="191">
        <f t="shared" ref="D117:D135" si="9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8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>
        <v>15</v>
      </c>
      <c r="D118" s="191">
        <f t="shared" si="9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8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>
        <v>15</v>
      </c>
      <c r="D119" s="191">
        <f t="shared" si="9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8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>
        <v>15</v>
      </c>
      <c r="D120" s="191">
        <f t="shared" si="9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8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>
        <v>20</v>
      </c>
      <c r="D121" s="191">
        <f t="shared" si="9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8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>
        <v>20</v>
      </c>
      <c r="D122" s="191">
        <f t="shared" si="9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8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>
        <v>20</v>
      </c>
      <c r="D123" s="191">
        <f t="shared" si="9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8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>
        <v>30</v>
      </c>
      <c r="D124" s="191">
        <f t="shared" si="9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8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>
        <v>30</v>
      </c>
      <c r="D125" s="191">
        <f t="shared" si="9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8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>
        <v>40</v>
      </c>
      <c r="D126" s="191">
        <f t="shared" si="9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8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>
        <v>40</v>
      </c>
      <c r="D127" s="191">
        <f t="shared" si="9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8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>
        <v>70</v>
      </c>
      <c r="D128" s="191">
        <f t="shared" si="9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8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>
        <v>70</v>
      </c>
      <c r="D129" s="191">
        <f t="shared" si="9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10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9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10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9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10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9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10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9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9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9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1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1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1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1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1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1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1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1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1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1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1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1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1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1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1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1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1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1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1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2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2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2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2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2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2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2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2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2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2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2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2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2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2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2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2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2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2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2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3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3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3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3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3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3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3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3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3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3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3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3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3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3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3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3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3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3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3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4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4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4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4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4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4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4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4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4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4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4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4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4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4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4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4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4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4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4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5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5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5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5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5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5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5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5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5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5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5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5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5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5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5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5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5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5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5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6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6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6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6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6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6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6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6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6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6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6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6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6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6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6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6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6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6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6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2025-01-22T09:51:57Z</dcterms:modified>
</cp:coreProperties>
</file>