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\\alliance.local\data\Services\7.Qualité Sécurité Environnement\Partage\1.Saisies partagées agences\6.LBC\2. Dossiers agences\Gascogne-Pyrénées\Montgeard (31) - de SEVIN\"/>
    </mc:Choice>
  </mc:AlternateContent>
  <xr:revisionPtr revIDLastSave="0" documentId="13_ncr:1_{77A62097-0B15-4EC7-8C2B-DAEA0C6C1058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6" l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9" i="2" a="1"/>
  <c r="AH19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M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<sst xmlns="http://schemas.openxmlformats.org/spreadsheetml/2006/main" count="1169" uniqueCount="324">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</sst>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4.1928698140991418</c:v>
                </c:pt>
                <c:pt idx="2">
                  <c:v>7.6168365307333579</c:v>
                </c:pt>
                <c:pt idx="3">
                  <c:v>13.851557944382177</c:v>
                </c:pt>
                <c:pt idx="4">
                  <c:v>25.215582848202938</c:v>
                </c:pt>
                <c:pt idx="5">
                  <c:v>45.948466940528562</c:v>
                </c:pt>
                <c:pt idx="6">
                  <c:v>58.88887876919231</c:v>
                </c:pt>
                <c:pt idx="7">
                  <c:v>75.762576017329408</c:v>
                </c:pt>
                <c:pt idx="8">
                  <c:v>92.540042131168903</c:v>
                </c:pt>
                <c:pt idx="9">
                  <c:v>109.24128540474889</c:v>
                </c:pt>
                <c:pt idx="10">
                  <c:v>125.87964006712114</c:v>
                </c:pt>
                <c:pt idx="11">
                  <c:v>112.81157172284342</c:v>
                </c:pt>
                <c:pt idx="12">
                  <c:v>129.43778416851515</c:v>
                </c:pt>
                <c:pt idx="13">
                  <c:v>146.0122974801705</c:v>
                </c:pt>
                <c:pt idx="14">
                  <c:v>162.54181354343527</c:v>
                </c:pt>
                <c:pt idx="15">
                  <c:v>179.03155609796639</c:v>
                </c:pt>
                <c:pt idx="16">
                  <c:v>168.4353371188482</c:v>
                </c:pt>
                <c:pt idx="17">
                  <c:v>183.34426585713663</c:v>
                </c:pt>
                <c:pt idx="18">
                  <c:v>198.22485329351457</c:v>
                </c:pt>
                <c:pt idx="19">
                  <c:v>213.07952740360659</c:v>
                </c:pt>
                <c:pt idx="20">
                  <c:v>227.91034965501248</c:v>
                </c:pt>
                <c:pt idx="21">
                  <c:v>220.88807818771124</c:v>
                </c:pt>
                <c:pt idx="22">
                  <c:v>233.36868457739766</c:v>
                </c:pt>
                <c:pt idx="23">
                  <c:v>245.8340553722112</c:v>
                </c:pt>
                <c:pt idx="24">
                  <c:v>258.28507230454863</c:v>
                </c:pt>
                <c:pt idx="25">
                  <c:v>270.72252510244931</c:v>
                </c:pt>
                <c:pt idx="26">
                  <c:v>265.28276128060071</c:v>
                </c:pt>
                <c:pt idx="27">
                  <c:v>275.38322031086642</c:v>
                </c:pt>
                <c:pt idx="28">
                  <c:v>285.47535981120433</c:v>
                </c:pt>
                <c:pt idx="29">
                  <c:v>295.55951555452697</c:v>
                </c:pt>
                <c:pt idx="30">
                  <c:v>305.63599851497548</c:v>
                </c:pt>
                <c:pt idx="31">
                  <c:v>302.14883502279832</c:v>
                </c:pt>
                <c:pt idx="32">
                  <c:v>310.28417578084361</c:v>
                </c:pt>
                <c:pt idx="33">
                  <c:v>318.41478230164341</c:v>
                </c:pt>
                <c:pt idx="34">
                  <c:v>326.54079262774405</c:v>
                </c:pt>
                <c:pt idx="35">
                  <c:v>334.66233736464375</c:v>
                </c:pt>
                <c:pt idx="36">
                  <c:v>332.34234434510194</c:v>
                </c:pt>
                <c:pt idx="37">
                  <c:v>339.68777684695164</c:v>
                </c:pt>
                <c:pt idx="38">
                  <c:v>347.02971529409774</c:v>
                </c:pt>
                <c:pt idx="39">
                  <c:v>354.36824410252262</c:v>
                </c:pt>
                <c:pt idx="40">
                  <c:v>361.70344390352261</c:v>
                </c:pt>
                <c:pt idx="41">
                  <c:v>361.31746248867267</c:v>
                </c:pt>
                <c:pt idx="42">
                  <c:v>368.64957965965004</c:v>
                </c:pt>
                <c:pt idx="43">
                  <c:v>375.97851488636002</c:v>
                </c:pt>
                <c:pt idx="44">
                  <c:v>383.30433899319883</c:v>
                </c:pt>
                <c:pt idx="45">
                  <c:v>390.62711987431993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6" zoomScale="90" zoomScaleNormal="90" workbookViewId="0">
      <selection activeCell="E9" sqref="E9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5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44</v>
      </c>
      <c r="C9" s="35">
        <v>1</v>
      </c>
      <c r="D9" s="36">
        <f t="shared" ref="D9:D18" si="0">C9*$C$5</f>
        <v>5</v>
      </c>
      <c r="E9" s="37">
        <v>45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Robinier faux-acacia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5</v>
      </c>
      <c r="B36" s="63">
        <v>22</v>
      </c>
      <c r="C36" s="63">
        <v>1</v>
      </c>
      <c r="D36" s="63">
        <v>2</v>
      </c>
      <c r="E36" s="54"/>
      <c r="F36" s="54"/>
      <c r="G36" s="54"/>
      <c r="H36" s="54">
        <v>1</v>
      </c>
      <c r="I36" s="52">
        <f>IFERROR(B36/A36,"")</f>
        <v>4.4000000000000004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10</v>
      </c>
      <c r="B37" s="63">
        <v>62</v>
      </c>
      <c r="C37" s="63">
        <v>2</v>
      </c>
      <c r="D37" s="63">
        <v>15</v>
      </c>
      <c r="E37" s="54"/>
      <c r="F37" s="54"/>
      <c r="G37" s="54"/>
      <c r="H37" s="54">
        <v>1</v>
      </c>
      <c r="I37" s="56">
        <f t="shared" ref="I37:I55" si="1">IF(A37&lt;&gt;0,(B37-(B36-D36))/(A37-A36),"")</f>
        <v>8.4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15</v>
      </c>
      <c r="B38" s="63">
        <v>89</v>
      </c>
      <c r="C38" s="63">
        <v>3</v>
      </c>
      <c r="D38" s="63">
        <v>13</v>
      </c>
      <c r="E38" s="54">
        <v>0.2</v>
      </c>
      <c r="F38" s="54"/>
      <c r="G38" s="54"/>
      <c r="H38" s="54">
        <v>0.8</v>
      </c>
      <c r="I38" s="56">
        <f t="shared" si="1"/>
        <v>8.4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20</v>
      </c>
      <c r="B39" s="63">
        <v>114</v>
      </c>
      <c r="C39" s="63">
        <v>4</v>
      </c>
      <c r="D39" s="63">
        <v>10</v>
      </c>
      <c r="E39" s="54">
        <v>0.8</v>
      </c>
      <c r="F39" s="54"/>
      <c r="G39" s="54"/>
      <c r="H39" s="54">
        <v>0.2</v>
      </c>
      <c r="I39" s="52">
        <f t="shared" si="1"/>
        <v>7.6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25</v>
      </c>
      <c r="B40" s="63">
        <v>136</v>
      </c>
      <c r="C40" s="63">
        <v>5</v>
      </c>
      <c r="D40" s="63">
        <v>8</v>
      </c>
      <c r="E40" s="54">
        <v>0.8</v>
      </c>
      <c r="F40" s="54"/>
      <c r="G40" s="54"/>
      <c r="H40" s="54">
        <v>0.2</v>
      </c>
      <c r="I40" s="52">
        <f t="shared" si="1"/>
        <v>6.4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30</v>
      </c>
      <c r="B41" s="63">
        <v>154</v>
      </c>
      <c r="C41" s="63">
        <v>6</v>
      </c>
      <c r="D41" s="63">
        <v>6</v>
      </c>
      <c r="E41" s="54">
        <v>0.9</v>
      </c>
      <c r="F41" s="54"/>
      <c r="G41" s="54"/>
      <c r="H41" s="54">
        <v>0.1</v>
      </c>
      <c r="I41" s="56">
        <f t="shared" si="1"/>
        <v>5.2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35</v>
      </c>
      <c r="B42" s="63">
        <v>169</v>
      </c>
      <c r="C42" s="63">
        <v>7</v>
      </c>
      <c r="D42" s="63">
        <v>5</v>
      </c>
      <c r="E42" s="54"/>
      <c r="F42" s="54"/>
      <c r="G42" s="54"/>
      <c r="H42" s="54"/>
      <c r="I42" s="56">
        <f t="shared" si="1"/>
        <v>4.2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40</v>
      </c>
      <c r="B43" s="63">
        <v>183</v>
      </c>
      <c r="C43" s="63">
        <v>8</v>
      </c>
      <c r="D43" s="63">
        <v>4</v>
      </c>
      <c r="E43" s="54"/>
      <c r="F43" s="54"/>
      <c r="G43" s="54"/>
      <c r="H43" s="54"/>
      <c r="I43" s="52">
        <f t="shared" si="1"/>
        <v>3.8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45</v>
      </c>
      <c r="B44" s="63">
        <v>198</v>
      </c>
      <c r="C44" s="63">
        <v>9</v>
      </c>
      <c r="D44" s="63">
        <v>198</v>
      </c>
      <c r="E44" s="54"/>
      <c r="F44" s="54"/>
      <c r="G44" s="54"/>
      <c r="H44" s="54"/>
      <c r="I44" s="52">
        <f t="shared" si="1"/>
        <v>3.8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C16" sqref="C16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Robinier faux-acacia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/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254.64144953102331</v>
      </c>
      <c r="T3" s="62">
        <f>IF('Données projet'!E9&gt;30,$R$33-$H$33,LOOKUP('Données projet'!$E$9,$A$3:$A$203,R3:R203)-LOOKUP('Données projet'!$E$9,$A$3:$A$203,$H$3:$H$203))</f>
        <v>361.41009011468407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4.4000000000000004</v>
      </c>
      <c r="N4" s="14">
        <f>IF('Données projet'!$A$36&gt;35,N3+M4-V3,IF(A4&lt;'Données projet'!$A$36,$K$205^A4,IF(A4='Données projet'!$A$36,'Données projet'!$B$36,N3+M4-V3)))</f>
        <v>1.8556007362580844</v>
      </c>
      <c r="O4" s="14">
        <f>N4*VLOOKUP('Données projet'!$B$9,Paramètres!$A$1:$I$89,3,0)*VLOOKUP('Données projet'!$B$9,Paramètres!$A$1:$I$89,5,0)</f>
        <v>1.6789475461663146</v>
      </c>
      <c r="P4" s="14">
        <f>EXP(-1.0587+0.8836*LN(O4)+0.284)</f>
        <v>0.72844182078056119</v>
      </c>
      <c r="Q4" s="22">
        <f t="shared" ref="Q4:Q34" si="2">(O4+P4)*0.475*44/12</f>
        <v>4.1928698140991418</v>
      </c>
      <c r="R4" s="62">
        <f t="shared" si="0"/>
        <v>172.00530376702298</v>
      </c>
      <c r="S4" s="62">
        <f ca="1">AVERAGE(OFFSET($R$3,0,0,'Données projet'!$E$9+1,1))-AVERAGE(OFFSET($H$3,0,0,'Données projet'!$E$9+1,1))</f>
        <v>254.64144953102331</v>
      </c>
      <c r="T4" s="62">
        <f>$T$3</f>
        <v>361.41009011468407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4.4000000000000004</v>
      </c>
      <c r="N5" s="14">
        <f>IF('Données projet'!$A$36&gt;35,N4+M5-V4,IF(A5&lt;'Données projet'!$A$36,$K$205^A5,IF(A5='Données projet'!$A$36,'Données projet'!$B$36,N4+M5-V4)))</f>
        <v>3.4432540924015451</v>
      </c>
      <c r="O5" s="14">
        <f>N5*VLOOKUP('Données projet'!$B$9,Paramètres!$A$1:$I$89,3,0)*VLOOKUP('Données projet'!$B$9,Paramètres!$A$1:$I$89,5,0)</f>
        <v>3.115456302804918</v>
      </c>
      <c r="P5" s="14">
        <f t="shared" ref="P5:P68" si="33">EXP(-1.0587+0.8836*LN(O5)+0.284)</f>
        <v>1.2578469684295466</v>
      </c>
      <c r="Q5" s="22">
        <f t="shared" si="2"/>
        <v>7.6168365307333579</v>
      </c>
      <c r="R5" s="62">
        <f t="shared" si="0"/>
        <v>178.2141178182342</v>
      </c>
      <c r="S5" s="62">
        <f ca="1">AVERAGE(OFFSET($R$3,0,0,'Données projet'!$E$9+1,1))-AVERAGE(OFFSET($H$3,0,0,'Données projet'!$E$9+1,1))</f>
        <v>254.64144953102331</v>
      </c>
      <c r="T5" s="62">
        <f t="shared" ref="T5:T68" si="34">$T$3</f>
        <v>361.41009011468407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4.4000000000000004</v>
      </c>
      <c r="N6" s="14">
        <f>IF('Données projet'!$A$36&gt;35,N5+M6-V5,IF(A6&lt;'Données projet'!$A$36,$K$205^A6,IF(A6='Données projet'!$A$36,'Données projet'!$B$36,N5+M6-V5)))</f>
        <v>6.3893048289839696</v>
      </c>
      <c r="O6" s="14">
        <f>N6*VLOOKUP('Données projet'!$B$9,Paramètres!$A$1:$I$89,3,0)*VLOOKUP('Données projet'!$B$9,Paramètres!$A$1:$I$89,5,0)</f>
        <v>5.7810430092646952</v>
      </c>
      <c r="P6" s="14">
        <f t="shared" si="33"/>
        <v>2.1720046143040199</v>
      </c>
      <c r="Q6" s="22">
        <f t="shared" si="2"/>
        <v>13.851557944382177</v>
      </c>
      <c r="R6" s="62">
        <f t="shared" si="0"/>
        <v>187.20657851426705</v>
      </c>
      <c r="S6" s="62">
        <f ca="1">AVERAGE(OFFSET($R$3,0,0,'Données projet'!$E$9+1,1))-AVERAGE(OFFSET($H$3,0,0,'Données projet'!$E$9+1,1))</f>
        <v>254.64144953102331</v>
      </c>
      <c r="T6" s="62">
        <f t="shared" si="34"/>
        <v>361.41009011468407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4.4000000000000004</v>
      </c>
      <c r="N7" s="14">
        <f>IF('Données projet'!$A$36&gt;35,N6+M7-V6,IF(A7&lt;'Données projet'!$A$36,$K$205^A7,IF(A7='Données projet'!$A$36,'Données projet'!$B$36,N6+M7-V6)))</f>
        <v>11.855998744839988</v>
      </c>
      <c r="O7" s="14">
        <f>N7*VLOOKUP('Données projet'!$B$9,Paramètres!$A$1:$I$89,3,0)*VLOOKUP('Données projet'!$B$9,Paramètres!$A$1:$I$89,5,0)</f>
        <v>10.727307664331221</v>
      </c>
      <c r="P7" s="14">
        <f t="shared" si="33"/>
        <v>3.7505389470771635</v>
      </c>
      <c r="Q7" s="22">
        <f t="shared" si="2"/>
        <v>25.215582848202938</v>
      </c>
      <c r="R7" s="62">
        <f t="shared" si="0"/>
        <v>201.30170491237988</v>
      </c>
      <c r="S7" s="62">
        <f ca="1">AVERAGE(OFFSET($R$3,0,0,'Données projet'!$E$9+1,1))-AVERAGE(OFFSET($H$3,0,0,'Données projet'!$E$9+1,1))</f>
        <v>254.64144953102331</v>
      </c>
      <c r="T7" s="62">
        <f t="shared" si="34"/>
        <v>361.41009011468407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>
        <f>VLOOKUP(A8,'Données projet'!$A$35:$I$55,2,0)</f>
        <v>22</v>
      </c>
      <c r="L8" s="13">
        <f>VLOOKUP(A8,'Données projet'!$A$35:$I$55,9,0)</f>
        <v>4.4000000000000004</v>
      </c>
      <c r="M8" s="13">
        <f t="array" ref="M8">INDEX(L:L,MIN(IF(ISNUMBER(L8:L204),ROW(L8:L204),"")))</f>
        <v>4.4000000000000004</v>
      </c>
      <c r="N8" s="14">
        <f>IF('Données projet'!$A$36&gt;35,N7+M8-V7,IF(A8&lt;'Données projet'!$A$36,$K$205^A8,IF(A8='Données projet'!$A$36,'Données projet'!$B$36,N7+M8-V7)))</f>
        <v>22</v>
      </c>
      <c r="O8" s="14">
        <f>N8*VLOOKUP('Données projet'!$B$9,Paramètres!$A$1:$I$89,3,0)*VLOOKUP('Données projet'!$B$9,Paramètres!$A$1:$I$89,5,0)</f>
        <v>19.9056</v>
      </c>
      <c r="P8" s="14">
        <f t="shared" si="33"/>
        <v>6.4762948940833853</v>
      </c>
      <c r="Q8" s="22">
        <f t="shared" si="2"/>
        <v>45.948466940528562</v>
      </c>
      <c r="R8" s="62">
        <f t="shared" si="0"/>
        <v>224.73951481697591</v>
      </c>
      <c r="S8" s="62">
        <f ca="1">AVERAGE(OFFSET($R$3,0,0,'Données projet'!$E$9+1,1))-AVERAGE(OFFSET($H$3,0,0,'Données projet'!$E$9+1,1))</f>
        <v>254.64144953102331</v>
      </c>
      <c r="T8" s="62">
        <f t="shared" si="34"/>
        <v>361.41009011468407</v>
      </c>
      <c r="U8" s="16">
        <f>IF(ISNA(VLOOKUP(A8,'Données projet'!$A$35:$I$55,3,0)),0,VLOOKUP(A8,'Données projet'!$A$35:$I$55,3,0))</f>
        <v>1</v>
      </c>
      <c r="V8" s="16">
        <f>IF(ISNA(VLOOKUP(A8,'Données projet'!$A$35:$I$55,4,0)),0,VLOOKUP(A8,'Données projet'!$A$35:$I$55,4,0))</f>
        <v>2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8.4</v>
      </c>
      <c r="N9" s="14">
        <f>IF('Données projet'!$A$36&gt;35,N8+M9-V8,IF(A9&lt;'Données projet'!$A$36,$K$205^A9,IF(A9='Données projet'!$A$36,'Données projet'!$B$36,N8+M9-V8)))</f>
        <v>28.4</v>
      </c>
      <c r="O9" s="14">
        <f>N9*VLOOKUP('Données projet'!$B$9,Paramètres!$A$1:$I$89,3,0)*VLOOKUP('Données projet'!$B$9,Paramètres!$A$1:$I$89,5,0)</f>
        <v>25.696319999999996</v>
      </c>
      <c r="P9" s="14">
        <f t="shared" si="33"/>
        <v>8.1154764225027609</v>
      </c>
      <c r="Q9" s="22">
        <f t="shared" si="2"/>
        <v>58.88887876919231</v>
      </c>
      <c r="R9" s="62">
        <f t="shared" si="0"/>
        <v>240.35913086545128</v>
      </c>
      <c r="S9" s="62">
        <f ca="1">AVERAGE(OFFSET($R$3,0,0,'Données projet'!$E$9+1,1))-AVERAGE(OFFSET($H$3,0,0,'Données projet'!$E$9+1,1))</f>
        <v>254.64144953102331</v>
      </c>
      <c r="T9" s="62">
        <f t="shared" si="34"/>
        <v>361.41009011468407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8.4</v>
      </c>
      <c r="N10" s="14">
        <f>IF('Données projet'!$A$36&gt;35,N9+M10-V9,IF(A10&lt;'Données projet'!$A$36,$K$205^A10,IF(A10='Données projet'!$A$36,'Données projet'!$B$36,N9+M10-V9)))</f>
        <v>36.799999999999997</v>
      </c>
      <c r="O10" s="14">
        <f>N10*VLOOKUP('Données projet'!$B$9,Paramètres!$A$1:$I$89,3,0)*VLOOKUP('Données projet'!$B$9,Paramètres!$A$1:$I$89,5,0)</f>
        <v>33.296639999999996</v>
      </c>
      <c r="P10" s="14">
        <f t="shared" si="33"/>
        <v>10.203403646313538</v>
      </c>
      <c r="Q10" s="22">
        <f t="shared" si="2"/>
        <v>75.762576017329408</v>
      </c>
      <c r="R10" s="62">
        <f t="shared" si="0"/>
        <v>259.88675695306563</v>
      </c>
      <c r="S10" s="62">
        <f ca="1">AVERAGE(OFFSET($R$3,0,0,'Données projet'!$E$9+1,1))-AVERAGE(OFFSET($H$3,0,0,'Données projet'!$E$9+1,1))</f>
        <v>254.64144953102331</v>
      </c>
      <c r="T10" s="62">
        <f t="shared" si="34"/>
        <v>361.41009011468407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8.4</v>
      </c>
      <c r="N11" s="14">
        <f>IF('Données projet'!$A$36&gt;35,N10+M11-V10,IF(A11&lt;'Données projet'!$A$36,$K$205^A11,IF(A11='Données projet'!$A$36,'Données projet'!$B$36,N10+M11-V10)))</f>
        <v>45.199999999999996</v>
      </c>
      <c r="O11" s="14">
        <f>N11*VLOOKUP('Données projet'!$B$9,Paramètres!$A$1:$I$89,3,0)*VLOOKUP('Données projet'!$B$9,Paramètres!$A$1:$I$89,5,0)</f>
        <v>40.896959999999993</v>
      </c>
      <c r="P11" s="14">
        <f t="shared" si="33"/>
        <v>12.236078544211829</v>
      </c>
      <c r="Q11" s="22">
        <f t="shared" si="2"/>
        <v>92.540042131168903</v>
      </c>
      <c r="R11" s="62">
        <f t="shared" si="0"/>
        <v>279.29331499738947</v>
      </c>
      <c r="S11" s="62">
        <f ca="1">AVERAGE(OFFSET($R$3,0,0,'Données projet'!$E$9+1,1))-AVERAGE(OFFSET($H$3,0,0,'Données projet'!$E$9+1,1))</f>
        <v>254.64144953102331</v>
      </c>
      <c r="T11" s="62">
        <f t="shared" si="34"/>
        <v>361.41009011468407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8.4</v>
      </c>
      <c r="N12" s="14">
        <f>IF('Données projet'!$A$36&gt;35,N11+M12-V11,IF(A12&lt;'Données projet'!$A$36,$K$205^A12,IF(A12='Données projet'!$A$36,'Données projet'!$B$36,N11+M12-V11)))</f>
        <v>53.599999999999994</v>
      </c>
      <c r="O12" s="14">
        <f>N12*VLOOKUP('Données projet'!$B$9,Paramètres!$A$1:$I$89,3,0)*VLOOKUP('Données projet'!$B$9,Paramètres!$A$1:$I$89,5,0)</f>
        <v>48.497279999999989</v>
      </c>
      <c r="P12" s="14">
        <f t="shared" si="33"/>
        <v>14.224989131913244</v>
      </c>
      <c r="Q12" s="22">
        <f t="shared" si="2"/>
        <v>109.24128540474889</v>
      </c>
      <c r="R12" s="62">
        <f t="shared" si="0"/>
        <v>298.59924415730495</v>
      </c>
      <c r="S12" s="62">
        <f ca="1">AVERAGE(OFFSET($R$3,0,0,'Données projet'!$E$9+1,1))-AVERAGE(OFFSET($H$3,0,0,'Données projet'!$E$9+1,1))</f>
        <v>254.64144953102331</v>
      </c>
      <c r="T12" s="62">
        <f t="shared" si="34"/>
        <v>361.41009011468407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>
        <f>VLOOKUP(A13,'Données projet'!$A$35:$I$55,2,0)</f>
        <v>62</v>
      </c>
      <c r="L13" s="13">
        <f>VLOOKUP(A13,'Données projet'!$A$35:$I$55,9,0)</f>
        <v>8.4</v>
      </c>
      <c r="M13" s="13">
        <f t="array" ref="M13">INDEX(L:L,MIN(IF(ISNUMBER(L13:L209),ROW(L13:L209),"")))</f>
        <v>8.4</v>
      </c>
      <c r="N13" s="14">
        <f>IF('Données projet'!$A$36&gt;35,N12+M13-V12,IF(A13&lt;'Données projet'!$A$36,$K$205^A13,IF(A13='Données projet'!$A$36,'Données projet'!$B$36,N12+M13-V12)))</f>
        <v>61.999999999999993</v>
      </c>
      <c r="O13" s="14">
        <f>N13*VLOOKUP('Données projet'!$B$9,Paramètres!$A$1:$I$89,3,0)*VLOOKUP('Données projet'!$B$9,Paramètres!$A$1:$I$89,5,0)</f>
        <v>56.097599999999993</v>
      </c>
      <c r="P13" s="14">
        <f t="shared" si="33"/>
        <v>16.177791426098278</v>
      </c>
      <c r="Q13" s="22">
        <f t="shared" si="2"/>
        <v>125.87964006712114</v>
      </c>
      <c r="R13" s="62">
        <f t="shared" si="0"/>
        <v>317.81830205216602</v>
      </c>
      <c r="S13" s="62">
        <f ca="1">AVERAGE(OFFSET($R$3,0,0,'Données projet'!$E$9+1,1))-AVERAGE(OFFSET($H$3,0,0,'Données projet'!$E$9+1,1))</f>
        <v>254.64144953102331</v>
      </c>
      <c r="T13" s="62">
        <f t="shared" si="34"/>
        <v>361.41009011468407</v>
      </c>
      <c r="U13" s="16">
        <f>IF(ISNA(VLOOKUP(A13,'Données projet'!$A$35:$I$55,3,0)),0,VLOOKUP(A13,'Données projet'!$A$35:$I$55,3,0))</f>
        <v>2</v>
      </c>
      <c r="V13" s="16">
        <f>IF(ISNA(VLOOKUP(A13,'Données projet'!$A$35:$I$55,4,0)),0,VLOOKUP(A13,'Données projet'!$A$35:$I$55,4,0))</f>
        <v>15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8.4</v>
      </c>
      <c r="N14" s="14">
        <f>IF('Données projet'!$A$36&gt;35,N13+M14-V13,IF(A14&lt;'Données projet'!$A$36,$K$205^A14,IF(A14='Données projet'!$A$36,'Données projet'!$B$36,N13+M14-V13)))</f>
        <v>55.399999999999991</v>
      </c>
      <c r="O14" s="14">
        <f>N14*VLOOKUP('Données projet'!$B$9,Paramètres!$A$1:$I$89,3,0)*VLOOKUP('Données projet'!$B$9,Paramètres!$A$1:$I$89,5,0)</f>
        <v>50.125919999999986</v>
      </c>
      <c r="P14" s="14">
        <f t="shared" si="33"/>
        <v>14.646274290627822</v>
      </c>
      <c r="Q14" s="22">
        <f t="shared" si="2"/>
        <v>112.81157172284342</v>
      </c>
      <c r="R14" s="62">
        <f t="shared" si="0"/>
        <v>307.30737033195754</v>
      </c>
      <c r="S14" s="62">
        <f ca="1">AVERAGE(OFFSET($R$3,0,0,'Données projet'!$E$9+1,1))-AVERAGE(OFFSET($H$3,0,0,'Données projet'!$E$9+1,1))</f>
        <v>254.64144953102331</v>
      </c>
      <c r="T14" s="62">
        <f t="shared" si="34"/>
        <v>361.41009011468407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8.4</v>
      </c>
      <c r="N15" s="14">
        <f>IF('Données projet'!$A$36&gt;35,N14+M15-V14,IF(A15&lt;'Données projet'!$A$36,$K$205^A15,IF(A15='Données projet'!$A$36,'Données projet'!$B$36,N14+M15-V14)))</f>
        <v>63.79999999999999</v>
      </c>
      <c r="O15" s="14">
        <f>N15*VLOOKUP('Données projet'!$B$9,Paramètres!$A$1:$I$89,3,0)*VLOOKUP('Données projet'!$B$9,Paramètres!$A$1:$I$89,5,0)</f>
        <v>57.72623999999999</v>
      </c>
      <c r="P15" s="14">
        <f t="shared" si="33"/>
        <v>16.59210497713789</v>
      </c>
      <c r="Q15" s="22">
        <f t="shared" si="2"/>
        <v>129.43778416851515</v>
      </c>
      <c r="R15" s="62">
        <f t="shared" si="0"/>
        <v>326.46756162124802</v>
      </c>
      <c r="S15" s="62">
        <f ca="1">AVERAGE(OFFSET($R$3,0,0,'Données projet'!$E$9+1,1))-AVERAGE(OFFSET($H$3,0,0,'Données projet'!$E$9+1,1))</f>
        <v>254.64144953102331</v>
      </c>
      <c r="T15" s="62">
        <f t="shared" si="34"/>
        <v>361.41009011468407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8.4</v>
      </c>
      <c r="N16" s="14">
        <f>IF('Données projet'!$A$36&gt;35,N15+M16-V15,IF(A16&lt;'Données projet'!$A$36,$K$205^A16,IF(A16='Données projet'!$A$36,'Données projet'!$B$36,N15+M16-V15)))</f>
        <v>72.199999999999989</v>
      </c>
      <c r="O16" s="14">
        <f>N16*VLOOKUP('Données projet'!$B$9,Paramètres!$A$1:$I$89,3,0)*VLOOKUP('Données projet'!$B$9,Paramètres!$A$1:$I$89,5,0)</f>
        <v>65.326559999999986</v>
      </c>
      <c r="P16" s="14">
        <f t="shared" si="33"/>
        <v>18.508251950337144</v>
      </c>
      <c r="Q16" s="22">
        <f t="shared" si="2"/>
        <v>146.0122974801705</v>
      </c>
      <c r="R16" s="62">
        <f t="shared" si="0"/>
        <v>345.55329773178931</v>
      </c>
      <c r="S16" s="62">
        <f ca="1">AVERAGE(OFFSET($R$3,0,0,'Données projet'!$E$9+1,1))-AVERAGE(OFFSET($H$3,0,0,'Données projet'!$E$9+1,1))</f>
        <v>254.64144953102331</v>
      </c>
      <c r="T16" s="62">
        <f t="shared" si="34"/>
        <v>361.41009011468407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8.4</v>
      </c>
      <c r="N17" s="14">
        <f>IF('Données projet'!$A$36&gt;35,N16+M17-V16,IF(A17&lt;'Données projet'!$A$36,$K$205^A17,IF(A17='Données projet'!$A$36,'Données projet'!$B$36,N16+M17-V16)))</f>
        <v>80.599999999999994</v>
      </c>
      <c r="O17" s="14">
        <f>N17*VLOOKUP('Données projet'!$B$9,Paramètres!$A$1:$I$89,3,0)*VLOOKUP('Données projet'!$B$9,Paramètres!$A$1:$I$89,5,0)</f>
        <v>72.926879999999983</v>
      </c>
      <c r="P17" s="14">
        <f t="shared" si="33"/>
        <v>20.398563182833673</v>
      </c>
      <c r="Q17" s="22">
        <f t="shared" si="2"/>
        <v>162.54181354343527</v>
      </c>
      <c r="R17" s="62">
        <f t="shared" si="0"/>
        <v>364.57167531570849</v>
      </c>
      <c r="S17" s="62">
        <f ca="1">AVERAGE(OFFSET($R$3,0,0,'Données projet'!$E$9+1,1))-AVERAGE(OFFSET($H$3,0,0,'Données projet'!$E$9+1,1))</f>
        <v>254.64144953102331</v>
      </c>
      <c r="T17" s="62">
        <f t="shared" si="34"/>
        <v>361.41009011468407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>
        <f>VLOOKUP(A18,'Données projet'!$A$35:$I$55,2,0)</f>
        <v>89</v>
      </c>
      <c r="L18" s="13">
        <f>VLOOKUP(A18,'Données projet'!$A$35:$I$55,9,0)</f>
        <v>8.4</v>
      </c>
      <c r="M18" s="13">
        <f t="array" ref="M18">INDEX(L:L,MIN(IF(ISNUMBER(L18:L214),ROW(L18:L214),"")))</f>
        <v>8.4</v>
      </c>
      <c r="N18" s="14">
        <f>IF('Données projet'!$A$36&gt;35,N17+M18-V17,IF(A18&lt;'Données projet'!$A$36,$K$205^A18,IF(A18='Données projet'!$A$36,'Données projet'!$B$36,N17+M18-V17)))</f>
        <v>89</v>
      </c>
      <c r="O18" s="14">
        <f>N18*VLOOKUP('Données projet'!$B$9,Paramètres!$A$1:$I$89,3,0)*VLOOKUP('Données projet'!$B$9,Paramètres!$A$1:$I$89,5,0)</f>
        <v>80.527199999999993</v>
      </c>
      <c r="P18" s="14">
        <f t="shared" si="33"/>
        <v>22.266037950985503</v>
      </c>
      <c r="Q18" s="22">
        <f t="shared" si="2"/>
        <v>179.03155609796639</v>
      </c>
      <c r="R18" s="62">
        <f t="shared" si="0"/>
        <v>383.52830603084743</v>
      </c>
      <c r="S18" s="62">
        <f ca="1">AVERAGE(OFFSET($R$3,0,0,'Données projet'!$E$9+1,1))-AVERAGE(OFFSET($H$3,0,0,'Données projet'!$E$9+1,1))</f>
        <v>254.64144953102331</v>
      </c>
      <c r="T18" s="62">
        <f t="shared" si="34"/>
        <v>361.41009011468407</v>
      </c>
      <c r="U18" s="16">
        <f>IF(ISNA(VLOOKUP(A18,'Données projet'!$A$35:$I$55,3,0)),0,VLOOKUP(A18,'Données projet'!$A$35:$I$55,3,0))</f>
        <v>3</v>
      </c>
      <c r="V18" s="16">
        <f>IF(ISNA(VLOOKUP(A18,'Données projet'!$A$35:$I$55,4,0)),0,VLOOKUP(A18,'Données projet'!$A$35:$I$55,4,0))</f>
        <v>13</v>
      </c>
      <c r="W18" s="17">
        <f>IF(ISNA(VLOOKUP(A18,'Données projet'!$A$35:$I$55,5,0)),0%,VLOOKUP(A18,'Données projet'!$A$35:$I$55,5,0)*VLOOKUP('Données projet'!$B$9,Paramètres!$A$1:$I$89,7,0))</f>
        <v>0.06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0.78017908753310239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0.78017908753310239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7.6</v>
      </c>
      <c r="N19" s="14">
        <f>IF('Données projet'!$A$36&gt;35,N18+M19-V18,IF(A19&lt;'Données projet'!$A$36,$K$205^A19,IF(A19='Données projet'!$A$36,'Données projet'!$B$36,N18+M19-V18)))</f>
        <v>83.6</v>
      </c>
      <c r="O19" s="14">
        <f>N19*VLOOKUP('Données projet'!$B$9,Paramètres!$A$1:$I$89,3,0)*VLOOKUP('Données projet'!$B$9,Paramètres!$A$1:$I$89,5,0)</f>
        <v>75.641279999999995</v>
      </c>
      <c r="P19" s="14">
        <f t="shared" si="33"/>
        <v>21.068004470152093</v>
      </c>
      <c r="Q19" s="22">
        <f t="shared" si="2"/>
        <v>168.4353371188482</v>
      </c>
      <c r="R19" s="62">
        <f t="shared" si="0"/>
        <v>375.37738304096229</v>
      </c>
      <c r="S19" s="62">
        <f ca="1">AVERAGE(OFFSET($R$3,0,0,'Données projet'!$E$9+1,1))-AVERAGE(OFFSET($H$3,0,0,'Données projet'!$E$9+1,1))</f>
        <v>254.64144953102331</v>
      </c>
      <c r="T19" s="62">
        <f t="shared" si="34"/>
        <v>361.41009011468407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0.76488025148883421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0.76488025148883421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7.6</v>
      </c>
      <c r="N20" s="14">
        <f>IF('Données projet'!$A$36&gt;35,N19+M20-V19,IF(A20&lt;'Données projet'!$A$36,$K$205^A20,IF(A20='Données projet'!$A$36,'Données projet'!$B$36,N19+M20-V19)))</f>
        <v>91.199999999999989</v>
      </c>
      <c r="O20" s="14">
        <f>N20*VLOOKUP('Données projet'!$B$9,Paramètres!$A$1:$I$89,3,0)*VLOOKUP('Données projet'!$B$9,Paramètres!$A$1:$I$89,5,0)</f>
        <v>82.517759999999981</v>
      </c>
      <c r="P20" s="14">
        <f t="shared" si="33"/>
        <v>22.751674941896663</v>
      </c>
      <c r="Q20" s="22">
        <f t="shared" si="2"/>
        <v>183.34426585713663</v>
      </c>
      <c r="R20" s="62">
        <f t="shared" si="0"/>
        <v>392.71039017300939</v>
      </c>
      <c r="S20" s="62">
        <f ca="1">AVERAGE(OFFSET($R$3,0,0,'Données projet'!$E$9+1,1))-AVERAGE(OFFSET($H$3,0,0,'Données projet'!$E$9+1,1))</f>
        <v>254.64144953102331</v>
      </c>
      <c r="T20" s="62">
        <f t="shared" si="34"/>
        <v>361.41009011468407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0.74988141628802552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0.74988141628802552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7.6</v>
      </c>
      <c r="N21" s="14">
        <f>IF('Données projet'!$A$36&gt;35,N20+M21-V20,IF(A21&lt;'Données projet'!$A$36,$K$205^A21,IF(A21='Données projet'!$A$36,'Données projet'!$B$36,N20+M21-V20)))</f>
        <v>98.799999999999983</v>
      </c>
      <c r="O21" s="14">
        <f>N21*VLOOKUP('Données projet'!$B$9,Paramètres!$A$1:$I$89,3,0)*VLOOKUP('Données projet'!$B$9,Paramètres!$A$1:$I$89,5,0)</f>
        <v>89.394239999999982</v>
      </c>
      <c r="P21" s="14">
        <f t="shared" si="33"/>
        <v>24.419072895797868</v>
      </c>
      <c r="Q21" s="22">
        <f t="shared" si="2"/>
        <v>198.22485329351457</v>
      </c>
      <c r="R21" s="62">
        <f t="shared" si="0"/>
        <v>409.99420648551768</v>
      </c>
      <c r="S21" s="62">
        <f ca="1">AVERAGE(OFFSET($R$3,0,0,'Données projet'!$E$9+1,1))-AVERAGE(OFFSET($H$3,0,0,'Données projet'!$E$9+1,1))</f>
        <v>254.64144953102331</v>
      </c>
      <c r="T21" s="62">
        <f t="shared" si="34"/>
        <v>361.41009011468407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0.73517669909711847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0.73517669909711847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7.6</v>
      </c>
      <c r="N22" s="14">
        <f>IF('Données projet'!$A$36&gt;35,N21+M22-V21,IF(A22&lt;'Données projet'!$A$36,$K$205^A22,IF(A22='Données projet'!$A$36,'Données projet'!$B$36,N21+M22-V21)))</f>
        <v>106.39999999999998</v>
      </c>
      <c r="O22" s="14">
        <f>N22*VLOOKUP('Données projet'!$B$9,Paramètres!$A$1:$I$89,3,0)*VLOOKUP('Données projet'!$B$9,Paramètres!$A$1:$I$89,5,0)</f>
        <v>96.270719999999969</v>
      </c>
      <c r="P22" s="14">
        <f t="shared" si="33"/>
        <v>26.071592384845928</v>
      </c>
      <c r="Q22" s="22">
        <f t="shared" si="2"/>
        <v>213.07952740360659</v>
      </c>
      <c r="R22" s="62">
        <f t="shared" si="0"/>
        <v>427.23162164663012</v>
      </c>
      <c r="S22" s="62">
        <f ca="1">AVERAGE(OFFSET($R$3,0,0,'Données projet'!$E$9+1,1))-AVERAGE(OFFSET($H$3,0,0,'Données projet'!$E$9+1,1))</f>
        <v>254.64144953102331</v>
      </c>
      <c r="T22" s="62">
        <f t="shared" si="34"/>
        <v>361.41009011468407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0.72076033244133331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0.72076033244133331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114</v>
      </c>
      <c r="L23" s="13">
        <f>VLOOKUP(A23,'Données projet'!$A$35:$I$55,9,0)</f>
        <v>7.6</v>
      </c>
      <c r="M23" s="13">
        <f t="array" ref="M23">INDEX(L:L,MIN(IF(ISNUMBER(L23:L219),ROW(L23:L219),"")))</f>
        <v>7.6</v>
      </c>
      <c r="N23" s="14">
        <f>IF('Données projet'!$A$36&gt;35,N22+M23-V22,IF(A23&lt;'Données projet'!$A$36,$K$205^A23,IF(A23='Données projet'!$A$36,'Données projet'!$B$36,N22+M23-V22)))</f>
        <v>113.99999999999997</v>
      </c>
      <c r="O23" s="14">
        <f>N23*VLOOKUP('Données projet'!$B$9,Paramètres!$A$1:$I$89,3,0)*VLOOKUP('Données projet'!$B$9,Paramètres!$A$1:$I$89,5,0)</f>
        <v>103.14719999999997</v>
      </c>
      <c r="P23" s="14">
        <f t="shared" si="33"/>
        <v>27.710417026801451</v>
      </c>
      <c r="Q23" s="22">
        <f t="shared" si="2"/>
        <v>227.91034965501248</v>
      </c>
      <c r="R23" s="62">
        <f t="shared" si="0"/>
        <v>444.4250525419082</v>
      </c>
      <c r="S23" s="62">
        <f ca="1">AVERAGE(OFFSET($R$3,0,0,'Données projet'!$E$9+1,1))-AVERAGE(OFFSET($H$3,0,0,'Données projet'!$E$9+1,1))</f>
        <v>254.64144953102331</v>
      </c>
      <c r="T23" s="62">
        <f t="shared" si="34"/>
        <v>361.41009011468407</v>
      </c>
      <c r="U23" s="16">
        <f>IF(ISNA(VLOOKUP(A23,'Données projet'!$A$35:$I$55,3,0)),0,VLOOKUP(A23,'Données projet'!$A$35:$I$55,3,0))</f>
        <v>4</v>
      </c>
      <c r="V23" s="16">
        <f>IF(ISNA(VLOOKUP(A23,'Données projet'!$A$35:$I$55,4,0)),0,VLOOKUP(A23,'Données projet'!$A$35:$I$55,4,0))</f>
        <v>10</v>
      </c>
      <c r="W23" s="17">
        <f>IF(ISNA(VLOOKUP(A23,'Données projet'!$A$35:$I$55,5,0)),0%,VLOOKUP(A23,'Données projet'!$A$35:$I$55,5,0)*VLOOKUP('Données projet'!$B$9,Paramètres!$A$1:$I$89,7,0))</f>
        <v>0.24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3.1071777005059444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3.1071777005059444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6.4</v>
      </c>
      <c r="N24" s="14">
        <f>IF('Données projet'!$A$36&gt;35,N23+M24-V23,IF(A24&lt;'Données projet'!$A$36,$K$205^A24,IF(A24='Données projet'!$A$36,'Données projet'!$B$36,N23+M24-V23)))</f>
        <v>110.39999999999998</v>
      </c>
      <c r="O24" s="14">
        <f>N24*VLOOKUP('Données projet'!$B$9,Paramètres!$A$1:$I$89,3,0)*VLOOKUP('Données projet'!$B$9,Paramètres!$A$1:$I$89,5,0)</f>
        <v>99.889919999999975</v>
      </c>
      <c r="P24" s="14">
        <f t="shared" si="33"/>
        <v>26.935770825480166</v>
      </c>
      <c r="Q24" s="22">
        <f t="shared" si="2"/>
        <v>220.88807818771124</v>
      </c>
      <c r="R24" s="62">
        <f t="shared" si="0"/>
        <v>439.74560656358562</v>
      </c>
      <c r="S24" s="62">
        <f ca="1">AVERAGE(OFFSET($R$3,0,0,'Données projet'!$E$9+1,1))-AVERAGE(OFFSET($H$3,0,0,'Données projet'!$E$9+1,1))</f>
        <v>254.64144953102331</v>
      </c>
      <c r="T24" s="62">
        <f t="shared" si="34"/>
        <v>361.41009011468407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3.0462478409902856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3.0462478409902856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6.4</v>
      </c>
      <c r="N25" s="14">
        <f>IF('Données projet'!$A$36&gt;35,N24+M25-V24,IF(A25&lt;'Données projet'!$A$36,$K$205^A25,IF(A25='Données projet'!$A$36,'Données projet'!$B$36,N24+M25-V24)))</f>
        <v>116.79999999999998</v>
      </c>
      <c r="O25" s="14">
        <f>N25*VLOOKUP('Données projet'!$B$9,Paramètres!$A$1:$I$89,3,0)*VLOOKUP('Données projet'!$B$9,Paramètres!$A$1:$I$89,5,0)</f>
        <v>105.68063999999998</v>
      </c>
      <c r="P25" s="14">
        <f t="shared" si="33"/>
        <v>28.31094923104175</v>
      </c>
      <c r="Q25" s="22">
        <f t="shared" si="2"/>
        <v>233.36868457739766</v>
      </c>
      <c r="R25" s="62">
        <f t="shared" si="0"/>
        <v>454.54959848086605</v>
      </c>
      <c r="S25" s="62">
        <f ca="1">AVERAGE(OFFSET($R$3,0,0,'Données projet'!$E$9+1,1))-AVERAGE(OFFSET($H$3,0,0,'Données projet'!$E$9+1,1))</f>
        <v>254.64144953102331</v>
      </c>
      <c r="T25" s="62">
        <f t="shared" si="34"/>
        <v>361.41009011468407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2.9865127788561843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2.9865127788561843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6.4</v>
      </c>
      <c r="N26" s="14">
        <f>IF('Données projet'!$A$36&gt;35,N25+M26-V25,IF(A26&lt;'Données projet'!$A$36,$K$205^A26,IF(A26='Données projet'!$A$36,'Données projet'!$B$36,N25+M26-V25)))</f>
        <v>123.19999999999999</v>
      </c>
      <c r="O26" s="14">
        <f>N26*VLOOKUP('Données projet'!$B$9,Paramètres!$A$1:$I$89,3,0)*VLOOKUP('Données projet'!$B$9,Paramètres!$A$1:$I$89,5,0)</f>
        <v>111.47135999999999</v>
      </c>
      <c r="P26" s="14">
        <f t="shared" si="33"/>
        <v>29.677379926628468</v>
      </c>
      <c r="Q26" s="22">
        <f t="shared" si="2"/>
        <v>245.8340553722112</v>
      </c>
      <c r="R26" s="62">
        <f t="shared" si="0"/>
        <v>469.31925208175767</v>
      </c>
      <c r="S26" s="62">
        <f ca="1">AVERAGE(OFFSET($R$3,0,0,'Données projet'!$E$9+1,1))-AVERAGE(OFFSET($H$3,0,0,'Données projet'!$E$9+1,1))</f>
        <v>254.64144953102331</v>
      </c>
      <c r="T26" s="62">
        <f t="shared" si="34"/>
        <v>361.41009011468407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2.9279490848557423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2.9279490848557423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6.4</v>
      </c>
      <c r="N27" s="14">
        <f>IF('Données projet'!$A$36&gt;35,N26+M27-V26,IF(A27&lt;'Données projet'!$A$36,$K$205^A27,IF(A27='Données projet'!$A$36,'Données projet'!$B$36,N26+M27-V26)))</f>
        <v>129.6</v>
      </c>
      <c r="O27" s="14">
        <f>N27*VLOOKUP('Données projet'!$B$9,Paramètres!$A$1:$I$89,3,0)*VLOOKUP('Données projet'!$B$9,Paramètres!$A$1:$I$89,5,0)</f>
        <v>117.26208</v>
      </c>
      <c r="P27" s="14">
        <f t="shared" si="33"/>
        <v>31.035569170075775</v>
      </c>
      <c r="Q27" s="22">
        <f t="shared" si="2"/>
        <v>258.28507230454863</v>
      </c>
      <c r="R27" s="62">
        <f t="shared" si="0"/>
        <v>484.05578048816847</v>
      </c>
      <c r="S27" s="62">
        <f ca="1">AVERAGE(OFFSET($R$3,0,0,'Données projet'!$E$9+1,1))-AVERAGE(OFFSET($H$3,0,0,'Données projet'!$E$9+1,1))</f>
        <v>254.64144953102331</v>
      </c>
      <c r="T27" s="62">
        <f t="shared" si="34"/>
        <v>361.41009011468407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2.8705337891743228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2.8705337891743228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136</v>
      </c>
      <c r="L28" s="13">
        <f>VLOOKUP(A28,'Données projet'!$A$35:$I$55,9,0)</f>
        <v>6.4</v>
      </c>
      <c r="M28" s="13">
        <f t="array" ref="M28">INDEX(L:L,MIN(IF(ISNUMBER(L28:L224),ROW(L28:L224),"")))</f>
        <v>6.4</v>
      </c>
      <c r="N28" s="14">
        <f>IF('Données projet'!$A$36&gt;35,N27+M28-V27,IF(A28&lt;'Données projet'!$A$36,$K$205^A28,IF(A28='Données projet'!$A$36,'Données projet'!$B$36,N27+M28-V27)))</f>
        <v>136</v>
      </c>
      <c r="O28" s="14">
        <f>N28*VLOOKUP('Données projet'!$B$9,Paramètres!$A$1:$I$89,3,0)*VLOOKUP('Données projet'!$B$9,Paramètres!$A$1:$I$89,5,0)</f>
        <v>123.05279999999999</v>
      </c>
      <c r="P28" s="14">
        <f t="shared" si="33"/>
        <v>32.385970393750824</v>
      </c>
      <c r="Q28" s="22">
        <f t="shared" si="2"/>
        <v>270.72252510244931</v>
      </c>
      <c r="R28" s="62">
        <f t="shared" si="0"/>
        <v>498.76029906878142</v>
      </c>
      <c r="S28" s="62">
        <f ca="1">AVERAGE(OFFSET($R$3,0,0,'Données projet'!$E$9+1,1))-AVERAGE(OFFSET($H$3,0,0,'Données projet'!$E$9+1,1))</f>
        <v>254.64144953102331</v>
      </c>
      <c r="T28" s="62">
        <f t="shared" si="34"/>
        <v>361.41009011468407</v>
      </c>
      <c r="U28" s="16">
        <f>IF(ISNA(VLOOKUP(A28,'Données projet'!$A$35:$I$55,3,0)),0,VLOOKUP(A28,'Données projet'!$A$35:$I$55,3,0))</f>
        <v>5</v>
      </c>
      <c r="V28" s="16">
        <f>IF(ISNA(VLOOKUP(A28,'Données projet'!$A$35:$I$55,4,0)),0,VLOOKUP(A28,'Données projet'!$A$35:$I$55,4,0))</f>
        <v>8</v>
      </c>
      <c r="W28" s="17">
        <f>IF(ISNA(VLOOKUP(A28,'Données projet'!$A$35:$I$55,5,0)),0%,VLOOKUP(A28,'Données projet'!$A$35:$I$55,5,0)*VLOOKUP('Données projet'!$B$9,Paramètres!$A$1:$I$89,7,0))</f>
        <v>0.24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4.7346852032720577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4.7346852032720577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5.2</v>
      </c>
      <c r="N29" s="14">
        <f>IF('Données projet'!$A$36&gt;35,N28+M29-V28,IF(A29&lt;'Données projet'!$A$36,$K$205^A29,IF(A29='Données projet'!$A$36,'Données projet'!$B$36,N28+M29-V28)))</f>
        <v>133.19999999999999</v>
      </c>
      <c r="O29" s="14">
        <f>N29*VLOOKUP('Données projet'!$B$9,Paramètres!$A$1:$I$89,3,0)*VLOOKUP('Données projet'!$B$9,Paramètres!$A$1:$I$89,5,0)</f>
        <v>120.51935999999998</v>
      </c>
      <c r="P29" s="14">
        <f t="shared" si="33"/>
        <v>31.796101022354524</v>
      </c>
      <c r="Q29" s="22">
        <f t="shared" si="2"/>
        <v>265.28276128060071</v>
      </c>
      <c r="R29" s="62">
        <f t="shared" si="0"/>
        <v>495.56947532979086</v>
      </c>
      <c r="S29" s="62">
        <f ca="1">AVERAGE(OFFSET($R$3,0,0,'Données projet'!$E$9+1,1))-AVERAGE(OFFSET($H$3,0,0,'Données projet'!$E$9+1,1))</f>
        <v>254.64144953102331</v>
      </c>
      <c r="T29" s="62">
        <f t="shared" si="34"/>
        <v>361.41009011468407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4.6418409143087125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4.6418409143087125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5.2</v>
      </c>
      <c r="N30" s="14">
        <f>IF('Données projet'!$A$36&gt;35,N29+M30-V29,IF(A30&lt;'Données projet'!$A$36,$K$205^A30,IF(A30='Données projet'!$A$36,'Données projet'!$B$36,N29+M30-V29)))</f>
        <v>138.39999999999998</v>
      </c>
      <c r="O30" s="14">
        <f>N30*VLOOKUP('Données projet'!$B$9,Paramètres!$A$1:$I$89,3,0)*VLOOKUP('Données projet'!$B$9,Paramètres!$A$1:$I$89,5,0)</f>
        <v>125.22431999999996</v>
      </c>
      <c r="P30" s="14">
        <f t="shared" si="33"/>
        <v>32.890447642602773</v>
      </c>
      <c r="Q30" s="22">
        <f t="shared" si="2"/>
        <v>275.38322031086642</v>
      </c>
      <c r="R30" s="62">
        <f t="shared" si="0"/>
        <v>507.90106318342993</v>
      </c>
      <c r="S30" s="62">
        <f ca="1">AVERAGE(OFFSET($R$3,0,0,'Données projet'!$E$9+1,1))-AVERAGE(OFFSET($H$3,0,0,'Données projet'!$E$9+1,1))</f>
        <v>254.64144953102331</v>
      </c>
      <c r="T30" s="62">
        <f t="shared" si="34"/>
        <v>361.41009011468407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4.5508172452225146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4.5508172452225146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5.2</v>
      </c>
      <c r="N31" s="14">
        <f>IF('Données projet'!$A$36&gt;35,N30+M31-V30,IF(A31&lt;'Données projet'!$A$36,$K$205^A31,IF(A31='Données projet'!$A$36,'Données projet'!$B$36,N30+M31-V30)))</f>
        <v>143.59999999999997</v>
      </c>
      <c r="O31" s="14">
        <f>N31*VLOOKUP('Données projet'!$B$9,Paramètres!$A$1:$I$89,3,0)*VLOOKUP('Données projet'!$B$9,Paramètres!$A$1:$I$89,5,0)</f>
        <v>129.92927999999995</v>
      </c>
      <c r="P31" s="14">
        <f t="shared" si="33"/>
        <v>33.980017499256149</v>
      </c>
      <c r="Q31" s="22">
        <f t="shared" si="2"/>
        <v>285.47535981120433</v>
      </c>
      <c r="R31" s="62">
        <f t="shared" si="0"/>
        <v>520.20682923318839</v>
      </c>
      <c r="S31" s="62">
        <f ca="1">AVERAGE(OFFSET($R$3,0,0,'Données projet'!$E$9+1,1))-AVERAGE(OFFSET($H$3,0,0,'Données projet'!$E$9+1,1))</f>
        <v>254.64144953102331</v>
      </c>
      <c r="T31" s="62">
        <f t="shared" si="34"/>
        <v>361.41009011468407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4.4615784947681405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4.4615784947681405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5.2</v>
      </c>
      <c r="N32" s="14">
        <f>IF('Données projet'!$A$36&gt;35,N31+M32-V31,IF(A32&lt;'Données projet'!$A$36,$K$205^A32,IF(A32='Données projet'!$A$36,'Données projet'!$B$36,N31+M32-V31)))</f>
        <v>148.79999999999995</v>
      </c>
      <c r="O32" s="14">
        <f>N32*VLOOKUP('Données projet'!$B$9,Paramètres!$A$1:$I$89,3,0)*VLOOKUP('Données projet'!$B$9,Paramètres!$A$1:$I$89,5,0)</f>
        <v>134.63423999999998</v>
      </c>
      <c r="P32" s="14">
        <f t="shared" si="33"/>
        <v>35.065003380589694</v>
      </c>
      <c r="Q32" s="22">
        <f t="shared" si="2"/>
        <v>295.55951555452697</v>
      </c>
      <c r="R32" s="62">
        <f t="shared" si="0"/>
        <v>532.48741287730286</v>
      </c>
      <c r="S32" s="62">
        <f ca="1">AVERAGE(OFFSET($R$3,0,0,'Données projet'!$E$9+1,1))-AVERAGE(OFFSET($H$3,0,0,'Données projet'!$E$9+1,1))</f>
        <v>254.64144953102331</v>
      </c>
      <c r="T32" s="62">
        <f t="shared" si="34"/>
        <v>361.41009011468407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4.3740896617799132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4.3740896617799132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154</v>
      </c>
      <c r="L33" s="13">
        <f>VLOOKUP(A33,'Données projet'!$A$35:$I$55,9,0)</f>
        <v>5.2</v>
      </c>
      <c r="M33" s="13">
        <f t="array" ref="M33">INDEX(L:L,MIN(IF(ISNUMBER(L33:L229),ROW(L33:L229),"")))</f>
        <v>5.2</v>
      </c>
      <c r="N33" s="14">
        <f>IF('Données projet'!$A$36&gt;35,N32+M33-V32,IF(A33&lt;'Données projet'!$A$36,$K$205^A33,IF(A33='Données projet'!$A$36,'Données projet'!$B$36,N32+M33-V32)))</f>
        <v>153.99999999999994</v>
      </c>
      <c r="O33" s="14">
        <f>N33*VLOOKUP('Données projet'!$B$9,Paramètres!$A$1:$I$89,3,0)*VLOOKUP('Données projet'!$B$9,Paramètres!$A$1:$I$89,5,0)</f>
        <v>139.33919999999995</v>
      </c>
      <c r="P33" s="14">
        <f t="shared" si="33"/>
        <v>36.145583836349623</v>
      </c>
      <c r="Q33" s="22">
        <f t="shared" si="2"/>
        <v>305.63599851497548</v>
      </c>
      <c r="R33" s="62">
        <f t="shared" si="0"/>
        <v>544.74342344801744</v>
      </c>
      <c r="S33" s="62">
        <f ca="1">AVERAGE(OFFSET($R$3,0,0,'Données projet'!$E$9+1,1))-AVERAGE(OFFSET($H$3,0,0,'Données projet'!$E$9+1,1))</f>
        <v>254.64144953102331</v>
      </c>
      <c r="T33" s="62">
        <f t="shared" si="34"/>
        <v>361.41009011468407</v>
      </c>
      <c r="U33" s="16">
        <f>IF(ISNA(VLOOKUP(A33,'Données projet'!$A$35:$I$55,3,0)),0,VLOOKUP(A33,'Données projet'!$A$35:$I$55,3,0))</f>
        <v>6</v>
      </c>
      <c r="V33" s="16">
        <f>IF(ISNA(VLOOKUP(A33,'Données projet'!$A$35:$I$55,4,0)),0,VLOOKUP(A33,'Données projet'!$A$35:$I$55,4,0))</f>
        <v>6</v>
      </c>
      <c r="W33" s="17">
        <f>IF(ISNA(VLOOKUP(A33,'Données projet'!$A$35:$I$55,5,0)),0%,VLOOKUP(A33,'Données projet'!$A$35:$I$55,5,0)*VLOOKUP('Données projet'!$B$9,Paramètres!$A$1:$I$89,7,0))</f>
        <v>0.27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5.9086883824739562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5.9086883824739562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4.2</v>
      </c>
      <c r="N34" s="14">
        <f>IF('Données projet'!$A$36&gt;35,N33+M34-V33,IF(A34&lt;'Données projet'!$A$36,$K$205^A34,IF(A34='Données projet'!$A$36,'Données projet'!$B$36,N33+M34-V33)))</f>
        <v>152.19999999999993</v>
      </c>
      <c r="O34" s="14">
        <f>N34*VLOOKUP('Données projet'!$B$9,Paramètres!$A$1:$I$89,3,0)*VLOOKUP('Données projet'!$B$9,Paramètres!$A$1:$I$89,5,0)</f>
        <v>137.71055999999993</v>
      </c>
      <c r="P34" s="14">
        <f t="shared" si="33"/>
        <v>35.772024702085233</v>
      </c>
      <c r="Q34" s="22">
        <f t="shared" si="2"/>
        <v>302.14883502279832</v>
      </c>
      <c r="R34" s="62">
        <f t="shared" si="0"/>
        <v>542.19695823561585</v>
      </c>
      <c r="S34" s="62">
        <f ca="1">AVERAGE(OFFSET($R$3,0,0,'Données projet'!$E$9+1,1))-AVERAGE(OFFSET($H$3,0,0,'Données projet'!$E$9+1,1))</f>
        <v>254.64144953102331</v>
      </c>
      <c r="T34" s="62">
        <f t="shared" si="34"/>
        <v>361.41009011468407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5.7928226072376949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5.7928226072376949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4.2</v>
      </c>
      <c r="N35" s="14">
        <f>IF('Données projet'!$A$36&gt;35,N34+M35-V34,IF(A35&lt;'Données projet'!$A$36,$K$205^A35,IF(A35='Données projet'!$A$36,'Données projet'!$B$36,N34+M35-V34)))</f>
        <v>156.39999999999992</v>
      </c>
      <c r="O35" s="14">
        <f>N35*VLOOKUP('Données projet'!$B$9,Paramètres!$A$1:$I$89,3,0)*VLOOKUP('Données projet'!$B$9,Paramètres!$A$1:$I$89,5,0)</f>
        <v>141.51071999999994</v>
      </c>
      <c r="P35" s="14">
        <f t="shared" si="33"/>
        <v>36.642873749766764</v>
      </c>
      <c r="Q35" s="22">
        <f t="shared" ref="Q35:Q66" si="53">(O35+P35)*0.475*44/12</f>
        <v>310.28417578084361</v>
      </c>
      <c r="R35" s="62">
        <f t="shared" si="0"/>
        <v>551.25667826136896</v>
      </c>
      <c r="S35" s="62">
        <f ca="1">AVERAGE(OFFSET($R$3,0,0,'Données projet'!$E$9+1,1))-AVERAGE(OFFSET($H$3,0,0,'Données projet'!$E$9+1,1))</f>
        <v>254.64144953102331</v>
      </c>
      <c r="T35" s="62">
        <f t="shared" si="34"/>
        <v>361.41009011468407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5.6792288891826725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5.6792288891826725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4.2</v>
      </c>
      <c r="N36" s="14">
        <f>IF('Données projet'!$A$36&gt;35,N35+M36-V35,IF(A36&lt;'Données projet'!$A$36,$K$205^A36,IF(A36='Données projet'!$A$36,'Données projet'!$B$36,N35+M36-V35)))</f>
        <v>160.59999999999991</v>
      </c>
      <c r="O36" s="14">
        <f>N36*VLOOKUP('Données projet'!$B$9,Paramètres!$A$1:$I$89,3,0)*VLOOKUP('Données projet'!$B$9,Paramètres!$A$1:$I$89,5,0)</f>
        <v>145.31087999999991</v>
      </c>
      <c r="P36" s="14">
        <f t="shared" si="33"/>
        <v>37.511004575106362</v>
      </c>
      <c r="Q36" s="22">
        <f t="shared" si="53"/>
        <v>318.41478230164341</v>
      </c>
      <c r="R36" s="62">
        <f t="shared" si="0"/>
        <v>560.29562813618418</v>
      </c>
      <c r="S36" s="62">
        <f ca="1">AVERAGE(OFFSET($R$3,0,0,'Données projet'!$E$9+1,1))-AVERAGE(OFFSET($H$3,0,0,'Données projet'!$E$9+1,1))</f>
        <v>254.64144953102331</v>
      </c>
      <c r="T36" s="62">
        <f t="shared" si="34"/>
        <v>361.41009011468407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5.5678626746533828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5.5678626746533828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4.2</v>
      </c>
      <c r="N37" s="14">
        <f>IF('Données projet'!$A$36&gt;35,N36+M37-V36,IF(A37&lt;'Données projet'!$A$36,$K$205^A37,IF(A37='Données projet'!$A$36,'Données projet'!$B$36,N36+M37-V36)))</f>
        <v>164.7999999999999</v>
      </c>
      <c r="O37" s="14">
        <f>N37*VLOOKUP('Données projet'!$B$9,Paramètres!$A$1:$I$89,3,0)*VLOOKUP('Données projet'!$B$9,Paramètres!$A$1:$I$89,5,0)</f>
        <v>149.11103999999989</v>
      </c>
      <c r="P37" s="14">
        <f t="shared" si="33"/>
        <v>38.376496436982357</v>
      </c>
      <c r="Q37" s="22">
        <f t="shared" si="53"/>
        <v>326.54079262774405</v>
      </c>
      <c r="R37" s="62">
        <f t="shared" si="0"/>
        <v>569.31422408985964</v>
      </c>
      <c r="S37" s="62">
        <f ca="1">AVERAGE(OFFSET($R$3,0,0,'Données projet'!$E$9+1,1))-AVERAGE(OFFSET($H$3,0,0,'Données projet'!$E$9+1,1))</f>
        <v>254.64144953102331</v>
      </c>
      <c r="T37" s="62">
        <f t="shared" si="34"/>
        <v>361.41009011468407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5.4586802836643287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5.4586802836643287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169</v>
      </c>
      <c r="L38" s="13">
        <f>VLOOKUP(A38,'Données projet'!$A$35:$I$55,9,0)</f>
        <v>4.2</v>
      </c>
      <c r="M38" s="13">
        <f t="array" ref="M38">INDEX(L:L,MIN(IF(ISNUMBER(L38:L234),ROW(L38:L234),"")))</f>
        <v>4.2</v>
      </c>
      <c r="N38" s="14">
        <f>IF('Données projet'!$A$36&gt;35,N37+M38-V37,IF(A38&lt;'Données projet'!$A$36,$K$205^A38,IF(A38='Données projet'!$A$36,'Données projet'!$B$36,N37+M38-V37)))</f>
        <v>168.99999999999989</v>
      </c>
      <c r="O38" s="14">
        <f>N38*VLOOKUP('Données projet'!$B$9,Paramètres!$A$1:$I$89,3,0)*VLOOKUP('Données projet'!$B$9,Paramètres!$A$1:$I$89,5,0)</f>
        <v>152.91119999999989</v>
      </c>
      <c r="P38" s="14">
        <f t="shared" si="33"/>
        <v>39.239424324197508</v>
      </c>
      <c r="Q38" s="22">
        <f t="shared" si="53"/>
        <v>334.66233736464375</v>
      </c>
      <c r="R38" s="62">
        <f t="shared" si="0"/>
        <v>578.31287008921822</v>
      </c>
      <c r="S38" s="62">
        <f ca="1">AVERAGE(OFFSET($R$3,0,0,'Données projet'!$E$9+1,1))-AVERAGE(OFFSET($H$3,0,0,'Données projet'!$E$9+1,1))</f>
        <v>254.64144953102331</v>
      </c>
      <c r="T38" s="62">
        <f t="shared" si="34"/>
        <v>361.41009011468407</v>
      </c>
      <c r="U38" s="16">
        <f>IF(ISNA(VLOOKUP(A38,'Données projet'!$A$35:$I$55,3,0)),0,VLOOKUP(A38,'Données projet'!$A$35:$I$55,3,0))</f>
        <v>7</v>
      </c>
      <c r="V38" s="16">
        <f>IF(ISNA(VLOOKUP(A38,'Données projet'!$A$35:$I$55,4,0)),0,VLOOKUP(A38,'Données projet'!$A$35:$I$55,4,0))</f>
        <v>5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5.3516388927678866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5.3516388927678866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3.8</v>
      </c>
      <c r="N39" s="14">
        <f>IF('Données projet'!$A$36&gt;35,N38+M39-V38,IF(A39&lt;'Données projet'!$A$36,$K$205^A39,IF(A39='Données projet'!$A$36,'Données projet'!$B$36,N38+M39-V38)))</f>
        <v>167.7999999999999</v>
      </c>
      <c r="O39" s="14">
        <f>N39*VLOOKUP('Données projet'!$B$9,Paramètres!$A$1:$I$89,3,0)*VLOOKUP('Données projet'!$B$9,Paramètres!$A$1:$I$89,5,0)</f>
        <v>151.8254399999999</v>
      </c>
      <c r="P39" s="14">
        <f t="shared" si="33"/>
        <v>38.993130915848106</v>
      </c>
      <c r="Q39" s="22">
        <f t="shared" si="53"/>
        <v>332.34234434510194</v>
      </c>
      <c r="R39" s="62">
        <f t="shared" si="0"/>
        <v>576.8547625861363</v>
      </c>
      <c r="S39" s="62">
        <f ca="1">AVERAGE(OFFSET($R$3,0,0,'Données projet'!$E$9+1,1))-AVERAGE(OFFSET($H$3,0,0,'Données projet'!$E$9+1,1))</f>
        <v>254.64144953102331</v>
      </c>
      <c r="T39" s="62">
        <f t="shared" si="34"/>
        <v>361.41009011468407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5.2466965182581218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5.2466965182581218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3.8</v>
      </c>
      <c r="N40" s="14">
        <f>IF('Données projet'!$A$36&gt;35,N39+M40-V39,IF(A40&lt;'Données projet'!$A$36,$K$205^A40,IF(A40='Données projet'!$A$36,'Données projet'!$B$36,N39+M40-V39)))</f>
        <v>171.59999999999991</v>
      </c>
      <c r="O40" s="14">
        <f>N40*VLOOKUP('Données projet'!$B$9,Paramètres!$A$1:$I$89,3,0)*VLOOKUP('Données projet'!$B$9,Paramètres!$A$1:$I$89,5,0)</f>
        <v>155.26367999999991</v>
      </c>
      <c r="P40" s="14">
        <f t="shared" si="33"/>
        <v>39.77236412265178</v>
      </c>
      <c r="Q40" s="22">
        <f t="shared" si="53"/>
        <v>339.68777684695164</v>
      </c>
      <c r="R40" s="62">
        <f t="shared" si="0"/>
        <v>585.04712881762271</v>
      </c>
      <c r="S40" s="62">
        <f ca="1">AVERAGE(OFFSET($R$3,0,0,'Données projet'!$E$9+1,1))-AVERAGE(OFFSET($H$3,0,0,'Données projet'!$E$9+1,1))</f>
        <v>254.64144953102331</v>
      </c>
      <c r="T40" s="62">
        <f t="shared" si="34"/>
        <v>361.41009011468407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5.1438119997039653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5.1438119997039653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3.8</v>
      </c>
      <c r="N41" s="14">
        <f>IF('Données projet'!$A$36&gt;35,N40+M41-V40,IF(A41&lt;'Données projet'!$A$36,$K$205^A41,IF(A41='Données projet'!$A$36,'Données projet'!$B$36,N40+M41-V40)))</f>
        <v>175.39999999999992</v>
      </c>
      <c r="O41" s="14">
        <f>N41*VLOOKUP('Données projet'!$B$9,Paramètres!$A$1:$I$89,3,0)*VLOOKUP('Données projet'!$B$9,Paramètres!$A$1:$I$89,5,0)</f>
        <v>158.70191999999992</v>
      </c>
      <c r="P41" s="14">
        <f t="shared" si="33"/>
        <v>40.549591173644728</v>
      </c>
      <c r="Q41" s="22">
        <f t="shared" si="53"/>
        <v>347.02971529409774</v>
      </c>
      <c r="R41" s="62">
        <f t="shared" si="0"/>
        <v>593.22130858765649</v>
      </c>
      <c r="S41" s="62">
        <f ca="1">AVERAGE(OFFSET($R$3,0,0,'Données projet'!$E$9+1,1))-AVERAGE(OFFSET($H$3,0,0,'Données projet'!$E$9+1,1))</f>
        <v>254.64144953102331</v>
      </c>
      <c r="T41" s="62">
        <f t="shared" si="34"/>
        <v>361.41009011468407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5.0429449838052962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5.0429449838052962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3.8</v>
      </c>
      <c r="N42" s="14">
        <f>IF('Données projet'!$A$36&gt;35,N41+M42-V41,IF(A42&lt;'Données projet'!$A$36,$K$205^A42,IF(A42='Données projet'!$A$36,'Données projet'!$B$36,N41+M42-V41)))</f>
        <v>179.19999999999993</v>
      </c>
      <c r="O42" s="14">
        <f>N42*VLOOKUP('Données projet'!$B$9,Paramètres!$A$1:$I$89,3,0)*VLOOKUP('Données projet'!$B$9,Paramètres!$A$1:$I$89,5,0)</f>
        <v>162.14015999999992</v>
      </c>
      <c r="P42" s="14">
        <f t="shared" si="33"/>
        <v>41.324860537333677</v>
      </c>
      <c r="Q42" s="22">
        <f t="shared" si="53"/>
        <v>354.36824410252262</v>
      </c>
      <c r="R42" s="62">
        <f t="shared" si="0"/>
        <v>601.37764119262977</v>
      </c>
      <c r="S42" s="62">
        <f ca="1">AVERAGE(OFFSET($R$3,0,0,'Données projet'!$E$9+1,1))-AVERAGE(OFFSET($H$3,0,0,'Données projet'!$E$9+1,1))</f>
        <v>254.64144953102331</v>
      </c>
      <c r="T42" s="62">
        <f t="shared" si="34"/>
        <v>361.41009011468407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4.9440559085655957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4.9440559085655957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183</v>
      </c>
      <c r="L43" s="13">
        <f>VLOOKUP(A43,'Données projet'!$A$35:$I$55,9,0)</f>
        <v>3.8</v>
      </c>
      <c r="M43" s="13">
        <f t="array" ref="M43">INDEX(L:L,MIN(IF(ISNUMBER(L43:L239),ROW(L43:L239),"")))</f>
        <v>3.8</v>
      </c>
      <c r="N43" s="14">
        <f>IF('Données projet'!$A$36&gt;35,N42+M43-V42,IF(A43&lt;'Données projet'!$A$36,$K$205^A43,IF(A43='Données projet'!$A$36,'Données projet'!$B$36,N42+M43-V42)))</f>
        <v>182.99999999999994</v>
      </c>
      <c r="O43" s="14">
        <f>N43*VLOOKUP('Données projet'!$B$9,Paramètres!$A$1:$I$89,3,0)*VLOOKUP('Données projet'!$B$9,Paramètres!$A$1:$I$89,5,0)</f>
        <v>165.57839999999993</v>
      </c>
      <c r="P43" s="14">
        <f t="shared" si="33"/>
        <v>42.098218509199661</v>
      </c>
      <c r="Q43" s="22">
        <f t="shared" si="53"/>
        <v>361.70344390352261</v>
      </c>
      <c r="R43" s="62">
        <f t="shared" si="0"/>
        <v>609.51645772264339</v>
      </c>
      <c r="S43" s="62">
        <f ca="1">AVERAGE(OFFSET($R$3,0,0,'Données projet'!$E$9+1,1))-AVERAGE(OFFSET($H$3,0,0,'Données projet'!$E$9+1,1))</f>
        <v>254.64144953102331</v>
      </c>
      <c r="T43" s="62">
        <f t="shared" si="34"/>
        <v>361.41009011468407</v>
      </c>
      <c r="U43" s="16">
        <f>IF(ISNA(VLOOKUP(A43,'Données projet'!$A$35:$I$55,3,0)),0,VLOOKUP(A43,'Données projet'!$A$35:$I$55,3,0))</f>
        <v>8</v>
      </c>
      <c r="V43" s="16">
        <f>IF(ISNA(VLOOKUP(A43,'Données projet'!$A$35:$I$55,4,0)),0,VLOOKUP(A43,'Données projet'!$A$35:$I$55,4,0))</f>
        <v>4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4.8471059877749649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4.8471059877749649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3.8</v>
      </c>
      <c r="N44" s="14">
        <f>IF('Données projet'!$A$36&gt;35,N43+M44-V43,IF(A44&lt;'Données projet'!$A$36,$K$205^A44,IF(A44='Données projet'!$A$36,'Données projet'!$B$36,N43+M44-V43)))</f>
        <v>182.79999999999995</v>
      </c>
      <c r="O44" s="14">
        <f>N44*VLOOKUP('Données projet'!$B$9,Paramètres!$A$1:$I$89,3,0)*VLOOKUP('Données projet'!$B$9,Paramètres!$A$1:$I$89,5,0)</f>
        <v>165.39743999999996</v>
      </c>
      <c r="P44" s="14">
        <f t="shared" si="33"/>
        <v>42.057562385840804</v>
      </c>
      <c r="Q44" s="22">
        <f t="shared" si="53"/>
        <v>361.31746248867267</v>
      </c>
      <c r="R44" s="62">
        <f t="shared" si="0"/>
        <v>609.92015208317662</v>
      </c>
      <c r="S44" s="62">
        <f ca="1">AVERAGE(OFFSET($R$3,0,0,'Données projet'!$E$9+1,1))-AVERAGE(OFFSET($H$3,0,0,'Données projet'!$E$9+1,1))</f>
        <v>254.64144953102331</v>
      </c>
      <c r="T44" s="62">
        <f t="shared" si="34"/>
        <v>361.41009011468407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4.752057195797426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4.752057195797426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3.8</v>
      </c>
      <c r="N45" s="14">
        <f>IF('Données projet'!$A$36&gt;35,N44+M45-V44,IF(A45&lt;'Données projet'!$A$36,$K$205^A45,IF(A45='Données projet'!$A$36,'Données projet'!$B$36,N44+M45-V44)))</f>
        <v>186.59999999999997</v>
      </c>
      <c r="O45" s="14">
        <f>N45*VLOOKUP('Données projet'!$B$9,Paramètres!$A$1:$I$89,3,0)*VLOOKUP('Données projet'!$B$9,Paramètres!$A$1:$I$89,5,0)</f>
        <v>168.83567999999994</v>
      </c>
      <c r="P45" s="14">
        <f t="shared" si="33"/>
        <v>42.829150426593394</v>
      </c>
      <c r="Q45" s="22">
        <f t="shared" si="53"/>
        <v>368.64957965965004</v>
      </c>
      <c r="R45" s="62">
        <f t="shared" si="0"/>
        <v>618.0282459202848</v>
      </c>
      <c r="S45" s="62">
        <f ca="1">AVERAGE(OFFSET($R$3,0,0,'Données projet'!$E$9+1,1))-AVERAGE(OFFSET($H$3,0,0,'Données projet'!$E$9+1,1))</f>
        <v>254.64144953102331</v>
      </c>
      <c r="T45" s="62">
        <f t="shared" si="34"/>
        <v>361.41009011468407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4.6588722526565283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4.6588722526565283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3.8</v>
      </c>
      <c r="N46" s="14">
        <f>IF('Données projet'!$A$36&gt;35,N45+M46-V45,IF(A46&lt;'Données projet'!$A$36,$K$205^A46,IF(A46='Données projet'!$A$36,'Données projet'!$B$36,N45+M46-V45)))</f>
        <v>190.39999999999998</v>
      </c>
      <c r="O46" s="14">
        <f>N46*VLOOKUP('Données projet'!$B$9,Paramètres!$A$1:$I$89,3,0)*VLOOKUP('Données projet'!$B$9,Paramètres!$A$1:$I$89,5,0)</f>
        <v>172.27391999999998</v>
      </c>
      <c r="P46" s="14">
        <f t="shared" si="33"/>
        <v>43.598911513699605</v>
      </c>
      <c r="Q46" s="22">
        <f t="shared" si="53"/>
        <v>375.97851488636002</v>
      </c>
      <c r="R46" s="62">
        <f t="shared" si="0"/>
        <v>626.11969635279206</v>
      </c>
      <c r="S46" s="62">
        <f ca="1">AVERAGE(OFFSET($R$3,0,0,'Données projet'!$E$9+1,1))-AVERAGE(OFFSET($H$3,0,0,'Données projet'!$E$9+1,1))</f>
        <v>254.64144953102331</v>
      </c>
      <c r="T46" s="62">
        <f t="shared" si="34"/>
        <v>361.41009011468407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4.5675146094134202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4.5675146094134202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3.8</v>
      </c>
      <c r="N47" s="14">
        <f>IF('Données projet'!$A$36&gt;35,N46+M47-V46,IF(A47&lt;'Données projet'!$A$36,$K$205^A47,IF(A47='Données projet'!$A$36,'Données projet'!$B$36,N46+M47-V46)))</f>
        <v>194.2</v>
      </c>
      <c r="O47" s="14">
        <f>N47*VLOOKUP('Données projet'!$B$9,Paramètres!$A$1:$I$89,3,0)*VLOOKUP('Données projet'!$B$9,Paramètres!$A$1:$I$89,5,0)</f>
        <v>175.71215999999998</v>
      </c>
      <c r="P47" s="14">
        <f t="shared" si="33"/>
        <v>44.366886311884528</v>
      </c>
      <c r="Q47" s="22">
        <f t="shared" si="53"/>
        <v>383.30433899319883</v>
      </c>
      <c r="R47" s="62">
        <f t="shared" si="0"/>
        <v>634.19480773133625</v>
      </c>
      <c r="S47" s="62">
        <f ca="1">AVERAGE(OFFSET($R$3,0,0,'Données projet'!$E$9+1,1))-AVERAGE(OFFSET($H$3,0,0,'Données projet'!$E$9+1,1))</f>
        <v>254.64144953102331</v>
      </c>
      <c r="T47" s="62">
        <f t="shared" si="34"/>
        <v>361.41009011468407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4.4779484338316493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4.4779484338316493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198</v>
      </c>
      <c r="L48" s="13">
        <f>VLOOKUP(A48,'Données projet'!$A$35:$I$55,9,0)</f>
        <v>3.8</v>
      </c>
      <c r="M48" s="13">
        <f t="array" ref="M48">INDEX(L:L,MIN(IF(ISNUMBER(L48:L244),ROW(L48:L244),"")))</f>
        <v>3.8</v>
      </c>
      <c r="N48" s="14">
        <f>IF('Données projet'!$A$36&gt;35,N47+M48-V47,IF(A48&lt;'Données projet'!$A$36,$K$205^A48,IF(A48='Données projet'!$A$36,'Données projet'!$B$36,N47+M48-V47)))</f>
        <v>198</v>
      </c>
      <c r="O48" s="14">
        <f>N48*VLOOKUP('Données projet'!$B$9,Paramètres!$A$1:$I$89,3,0)*VLOOKUP('Données projet'!$B$9,Paramètres!$A$1:$I$89,5,0)</f>
        <v>179.15039999999999</v>
      </c>
      <c r="P48" s="14">
        <f t="shared" si="33"/>
        <v>45.133113803437304</v>
      </c>
      <c r="Q48" s="22">
        <f t="shared" si="53"/>
        <v>390.62711987431993</v>
      </c>
      <c r="R48" s="62">
        <f t="shared" si="0"/>
        <v>642.25387742515409</v>
      </c>
      <c r="S48" s="62">
        <f ca="1">AVERAGE(OFFSET($R$3,0,0,'Données projet'!$E$9+1,1))-AVERAGE(OFFSET($H$3,0,0,'Données projet'!$E$9+1,1))</f>
        <v>254.64144953102331</v>
      </c>
      <c r="T48" s="62">
        <f t="shared" si="34"/>
        <v>361.41009011468407</v>
      </c>
      <c r="U48" s="16">
        <f>IF(ISNA(VLOOKUP(A48,'Données projet'!$A$35:$I$55,3,0)),0,VLOOKUP(A48,'Données projet'!$A$35:$I$55,3,0))</f>
        <v>9</v>
      </c>
      <c r="V48" s="16">
        <f>IF(ISNA(VLOOKUP(A48,'Données projet'!$A$35:$I$55,4,0)),0,VLOOKUP(A48,'Données projet'!$A$35:$I$55,4,0))</f>
        <v>198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4.3901385963230641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4.3901385963230641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254.64144953102331</v>
      </c>
      <c r="T49" s="62">
        <f t="shared" si="34"/>
        <v>361.41009011468407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4.3040506561693093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4.3040506561693093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254.64144953102331</v>
      </c>
      <c r="T50" s="62">
        <f t="shared" si="34"/>
        <v>361.41009011468407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4.2196508480135115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4.2196508480135115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254.64144953102331</v>
      </c>
      <c r="T51" s="62">
        <f t="shared" si="34"/>
        <v>361.41009011468407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4.1369060686168488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4.1369060686168488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254.64144953102331</v>
      </c>
      <c r="T52" s="62">
        <f t="shared" si="34"/>
        <v>361.41009011468407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4.0557838638748231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4.0557838638748231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254.64144953102331</v>
      </c>
      <c r="T53" s="62">
        <f t="shared" si="34"/>
        <v>361.41009011468407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3.976252416088129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3.976252416088129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254.64144953102331</v>
      </c>
      <c r="T54" s="62">
        <f t="shared" si="34"/>
        <v>361.41009011468407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3.8982805314831386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3.8982805314831386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254.64144953102331</v>
      </c>
      <c r="T55" s="62">
        <f t="shared" si="34"/>
        <v>361.41009011468407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3.8218376279770983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3.8218376279770983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254.64144953102331</v>
      </c>
      <c r="T56" s="62">
        <f t="shared" si="34"/>
        <v>361.41009011468407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3.7468937231832444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3.7468937231832444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254.64144953102331</v>
      </c>
      <c r="T57" s="62">
        <f t="shared" si="34"/>
        <v>361.41009011468407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3.6734194226511296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3.6734194226511296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254.64144953102331</v>
      </c>
      <c r="T58" s="62">
        <f t="shared" si="34"/>
        <v>361.41009011468407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3.6013859083375515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3.6013859083375515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254.64144953102331</v>
      </c>
      <c r="T59" s="62">
        <f t="shared" si="34"/>
        <v>361.41009011468407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3.5307649273035571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3.5307649273035571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254.64144953102331</v>
      </c>
      <c r="T60" s="62">
        <f t="shared" si="34"/>
        <v>361.41009011468407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3.4615287806330941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3.4615287806330941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254.64144953102331</v>
      </c>
      <c r="T61" s="62">
        <f t="shared" si="34"/>
        <v>361.41009011468407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3.3936503125689592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3.3936503125689592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254.64144953102331</v>
      </c>
      <c r="T62" s="62">
        <f t="shared" si="34"/>
        <v>361.41009011468407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3.3271028998617846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3.3271028998617846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254.64144953102331</v>
      </c>
      <c r="T63" s="62">
        <f t="shared" si="34"/>
        <v>361.41009011468407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3.261860441327884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3.261860441327884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254.64144953102331</v>
      </c>
      <c r="T64" s="62">
        <f t="shared" si="34"/>
        <v>361.41009011468407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3.1978973476118626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3.1978973476118626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254.64144953102331</v>
      </c>
      <c r="T65" s="62">
        <f t="shared" si="34"/>
        <v>361.41009011468407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3.1351885311499776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3.1351885311499776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254.64144953102331</v>
      </c>
      <c r="T66" s="62">
        <f t="shared" si="34"/>
        <v>361.41009011468407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3.073709396330309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3.073709396330309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254.64144953102331</v>
      </c>
      <c r="T67" s="62">
        <f t="shared" si="34"/>
        <v>361.41009011468407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3.0134358298458843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3.0134358298458843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254.64144953102331</v>
      </c>
      <c r="T68" s="62">
        <f t="shared" si="34"/>
        <v>361.41009011468407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2.9543441912369737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2.9543441912369737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254.64144953102331</v>
      </c>
      <c r="T69" s="62">
        <f t="shared" ref="T69:T132" si="88">$T$3</f>
        <v>361.41009011468407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2.8964113036188435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2.8964113036188435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254.64144953102331</v>
      </c>
      <c r="T70" s="62">
        <f t="shared" si="88"/>
        <v>361.41009011468407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2.8396144445913323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2.8396144445913323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254.64144953102331</v>
      </c>
      <c r="T71" s="62">
        <f t="shared" si="88"/>
        <v>361.41009011468407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2.7839313373266874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2.7839313373266874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254.64144953102331</v>
      </c>
      <c r="T72" s="62">
        <f t="shared" si="88"/>
        <v>361.41009011468407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2.7293401418321603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2.7293401418321603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254.64144953102331</v>
      </c>
      <c r="T73" s="62">
        <f t="shared" si="88"/>
        <v>361.41009011468407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2.6758194463839393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2.6758194463839393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254.64144953102331</v>
      </c>
      <c r="T74" s="62">
        <f t="shared" si="88"/>
        <v>361.41009011468407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2.6233482591290573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2.6233482591290573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254.64144953102331</v>
      </c>
      <c r="T75" s="62">
        <f t="shared" si="88"/>
        <v>361.41009011468407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2.5719059998519795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2.5719059998519795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254.64144953102331</v>
      </c>
      <c r="T76" s="62">
        <f t="shared" si="88"/>
        <v>361.41009011468407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2.521472491902645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2.521472491902645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254.64144953102331</v>
      </c>
      <c r="T77" s="62">
        <f t="shared" si="88"/>
        <v>361.41009011468407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2.4720279542827948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2.4720279542827948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254.64144953102331</v>
      </c>
      <c r="T78" s="62">
        <f t="shared" si="88"/>
        <v>361.41009011468407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2.4235529938874794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2.4235529938874794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254.64144953102331</v>
      </c>
      <c r="T79" s="62">
        <f t="shared" si="88"/>
        <v>361.41009011468407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2.3760285978987099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2.3760285978987099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254.64144953102331</v>
      </c>
      <c r="T80" s="62">
        <f t="shared" si="88"/>
        <v>361.41009011468407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2.329436126328261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2.329436126328261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254.64144953102331</v>
      </c>
      <c r="T81" s="62">
        <f t="shared" si="88"/>
        <v>361.41009011468407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2.283757304706707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2.283757304706707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254.64144953102331</v>
      </c>
      <c r="T82" s="62">
        <f t="shared" si="88"/>
        <v>361.41009011468407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2.2389742169158215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2.2389742169158215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254.64144953102331</v>
      </c>
      <c r="T83" s="62">
        <f t="shared" si="88"/>
        <v>361.41009011468407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2.195069298161529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2.195069298161529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254.64144953102331</v>
      </c>
      <c r="T84" s="62">
        <f t="shared" si="88"/>
        <v>361.41009011468407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2.152025328084652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2.152025328084652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254.64144953102331</v>
      </c>
      <c r="T85" s="62">
        <f t="shared" si="88"/>
        <v>361.41009011468407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2.1098254240067531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2.1098254240067531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254.64144953102331</v>
      </c>
      <c r="T86" s="62">
        <f t="shared" si="88"/>
        <v>361.41009011468407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2.0684530343084218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2.0684530343084218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254.64144953102331</v>
      </c>
      <c r="T87" s="62">
        <f t="shared" si="88"/>
        <v>361.41009011468407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2.0278919319374089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2.0278919319374089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254.64144953102331</v>
      </c>
      <c r="T88" s="62">
        <f t="shared" si="88"/>
        <v>361.41009011468407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1.9881262080440618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1.9881262080440618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254.64144953102331</v>
      </c>
      <c r="T89" s="62">
        <f t="shared" si="88"/>
        <v>361.41009011468407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1.9491402657415666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1.9491402657415666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254.64144953102331</v>
      </c>
      <c r="T90" s="62">
        <f t="shared" si="88"/>
        <v>361.41009011468407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1.9109188139885467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1.9109188139885467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254.64144953102331</v>
      </c>
      <c r="T91" s="62">
        <f t="shared" si="88"/>
        <v>361.41009011468407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1.8734468615916198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1.8734468615916198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254.64144953102331</v>
      </c>
      <c r="T92" s="62">
        <f t="shared" si="88"/>
        <v>361.41009011468407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1.8367097113255624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1.8367097113255624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254.64144953102331</v>
      </c>
      <c r="T93" s="62">
        <f t="shared" si="88"/>
        <v>361.41009011468407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1.8006929541687733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1.8006929541687733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254.64144953102331</v>
      </c>
      <c r="T94" s="62">
        <f t="shared" si="88"/>
        <v>361.41009011468407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1.7653824636517761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1.7653824636517761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254.64144953102331</v>
      </c>
      <c r="T95" s="62">
        <f t="shared" si="88"/>
        <v>361.41009011468407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1.7307643903165446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1.7307643903165446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254.64144953102331</v>
      </c>
      <c r="T96" s="62">
        <f t="shared" si="88"/>
        <v>361.41009011468407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1.6968251562844774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1.6968251562844774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254.64144953102331</v>
      </c>
      <c r="T97" s="62">
        <f t="shared" si="88"/>
        <v>361.41009011468407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1.6635514499308901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1.6635514499308901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254.64144953102331</v>
      </c>
      <c r="T98" s="62">
        <f t="shared" si="88"/>
        <v>361.41009011468407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1.6309302206639398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1.6309302206639398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254.64144953102331</v>
      </c>
      <c r="T99" s="62">
        <f t="shared" si="88"/>
        <v>361.41009011468407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1.5989486738059293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1.5989486738059293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254.64144953102331</v>
      </c>
      <c r="T100" s="62">
        <f t="shared" si="88"/>
        <v>361.41009011468407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1.5675942655749868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1.5675942655749868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254.64144953102331</v>
      </c>
      <c r="T101" s="62">
        <f t="shared" si="88"/>
        <v>361.41009011468407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1.5368546981651525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1.5368546981651525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254.64144953102331</v>
      </c>
      <c r="T102" s="62">
        <f t="shared" si="88"/>
        <v>361.41009011468407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1.5067179149229404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1.5067179149229404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254.64144953102331</v>
      </c>
      <c r="T103" s="62">
        <f t="shared" si="88"/>
        <v>361.41009011468407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1.4771720956184853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1.4771720956184853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254.64144953102331</v>
      </c>
      <c r="T104" s="62">
        <f t="shared" si="88"/>
        <v>361.41009011468407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1.4482056518094202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1.4482056518094202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254.64144953102331</v>
      </c>
      <c r="T105" s="62">
        <f t="shared" si="88"/>
        <v>361.41009011468407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1.4198072222956646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1.4198072222956646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254.64144953102331</v>
      </c>
      <c r="T106" s="62">
        <f t="shared" si="88"/>
        <v>361.41009011468407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1.3919656686633421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1.3919656686633421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254.64144953102331</v>
      </c>
      <c r="T107" s="62">
        <f t="shared" si="88"/>
        <v>361.41009011468407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1.3646700709160786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1.3646700709160786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254.64144953102331</v>
      </c>
      <c r="T108" s="62">
        <f t="shared" si="88"/>
        <v>361.41009011468407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1.3379097231919681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1.3379097231919681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254.64144953102331</v>
      </c>
      <c r="T109" s="62">
        <f t="shared" si="88"/>
        <v>361.41009011468407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1.3116741295645271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1.3116741295645271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254.64144953102331</v>
      </c>
      <c r="T110" s="62">
        <f t="shared" si="88"/>
        <v>361.41009011468407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1.2859529999259882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1.2859529999259882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254.64144953102331</v>
      </c>
      <c r="T111" s="62">
        <f t="shared" si="88"/>
        <v>361.41009011468407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1.2607362459513209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1.2607362459513209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254.64144953102331</v>
      </c>
      <c r="T112" s="62">
        <f t="shared" si="88"/>
        <v>361.41009011468407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1.2360139771413958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1.2360139771413958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254.64144953102331</v>
      </c>
      <c r="T113" s="62">
        <f t="shared" si="88"/>
        <v>361.41009011468407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1.2117764969437383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1.2117764969437383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254.64144953102331</v>
      </c>
      <c r="T114" s="62">
        <f t="shared" si="88"/>
        <v>361.41009011468407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1.1880142989493536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1.1880142989493536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254.64144953102331</v>
      </c>
      <c r="T115" s="62">
        <f t="shared" si="88"/>
        <v>361.41009011468407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1.1647180631641292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1.1647180631641292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254.64144953102331</v>
      </c>
      <c r="T116" s="62">
        <f t="shared" si="88"/>
        <v>361.41009011468407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1.1418786523533522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1.1418786523533522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254.64144953102331</v>
      </c>
      <c r="T117" s="62">
        <f t="shared" si="88"/>
        <v>361.41009011468407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1.1194871084579094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1.1194871084579094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254.64144953102331</v>
      </c>
      <c r="T118" s="62">
        <f t="shared" si="88"/>
        <v>361.41009011468407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1.0975346490807631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1.0975346490807631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254.64144953102331</v>
      </c>
      <c r="T119" s="62">
        <f t="shared" si="88"/>
        <v>361.41009011468407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1.0760126640423247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1.0760126640423247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254.64144953102331</v>
      </c>
      <c r="T120" s="62">
        <f t="shared" si="88"/>
        <v>361.41009011468407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1.0549127120033752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1.0549127120033752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254.64144953102331</v>
      </c>
      <c r="T121" s="62">
        <f t="shared" si="88"/>
        <v>361.41009011468407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1.0342265171542095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1.0342265171542095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254.64144953102331</v>
      </c>
      <c r="T122" s="62">
        <f t="shared" si="88"/>
        <v>361.41009011468407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1.0139459659687031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1.0139459659687031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254.64144953102331</v>
      </c>
      <c r="T123" s="62">
        <f t="shared" si="88"/>
        <v>361.41009011468407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0.99406310402202958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0.99406310402202958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254.64144953102331</v>
      </c>
      <c r="T124" s="62">
        <f t="shared" si="88"/>
        <v>361.41009011468407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0.97457013287078209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0.97457013287078209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254.64144953102331</v>
      </c>
      <c r="T125" s="62">
        <f t="shared" si="88"/>
        <v>361.41009011468407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0.95545940699427212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0.95545940699427212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254.64144953102331</v>
      </c>
      <c r="T126" s="62">
        <f t="shared" si="88"/>
        <v>361.41009011468407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0.93672343079580866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0.93672343079580866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254.64144953102331</v>
      </c>
      <c r="T127" s="62">
        <f t="shared" si="88"/>
        <v>361.41009011468407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0.91835485566277997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0.91835485566277997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254.64144953102331</v>
      </c>
      <c r="T128" s="62">
        <f t="shared" si="88"/>
        <v>361.41009011468407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0.90034647708438542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0.90034647708438542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254.64144953102331</v>
      </c>
      <c r="T129" s="62">
        <f t="shared" si="88"/>
        <v>361.41009011468407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0.88269123182588693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0.88269123182588693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254.64144953102331</v>
      </c>
      <c r="T130" s="62">
        <f t="shared" si="88"/>
        <v>361.41009011468407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0.86538219515827131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0.86538219515827131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254.64144953102331</v>
      </c>
      <c r="T131" s="62">
        <f t="shared" si="88"/>
        <v>361.41009011468407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0.84841257814223769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0.84841257814223769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254.64144953102331</v>
      </c>
      <c r="T132" s="62">
        <f t="shared" si="88"/>
        <v>361.41009011468407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0.83177572496544416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0.83177572496544416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254.64144953102331</v>
      </c>
      <c r="T133" s="62">
        <f t="shared" ref="T133:T196" si="142">$T$3</f>
        <v>361.41009011468407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0.815465110331969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0.815465110331969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254.64144953102331</v>
      </c>
      <c r="T134" s="62">
        <f t="shared" si="142"/>
        <v>361.41009011468407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0.79947433690296377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0.79947433690296377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254.64144953102331</v>
      </c>
      <c r="T135" s="62">
        <f t="shared" si="142"/>
        <v>361.41009011468407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0.78379713278749252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0.78379713278749252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254.64144953102331</v>
      </c>
      <c r="T136" s="62">
        <f t="shared" si="142"/>
        <v>361.41009011468407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0.76842734908257537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0.76842734908257537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254.64144953102331</v>
      </c>
      <c r="T137" s="62">
        <f t="shared" si="142"/>
        <v>361.41009011468407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0.7533589574614693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0.7533589574614693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254.64144953102331</v>
      </c>
      <c r="T138" s="62">
        <f t="shared" si="142"/>
        <v>361.41009011468407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0.73858604780924175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0.73858604780924175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254.64144953102331</v>
      </c>
      <c r="T139" s="62">
        <f t="shared" si="142"/>
        <v>361.41009011468407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0.7241028259047092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0.7241028259047092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254.64144953102331</v>
      </c>
      <c r="T140" s="62">
        <f t="shared" si="142"/>
        <v>361.41009011468407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0.7099036111478314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0.7099036111478314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254.64144953102331</v>
      </c>
      <c r="T141" s="62">
        <f t="shared" si="142"/>
        <v>361.41009011468407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0.69598283433167019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0.69598283433167019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254.64144953102331</v>
      </c>
      <c r="T142" s="62">
        <f t="shared" si="142"/>
        <v>361.41009011468407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0.68233503545803842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0.68233503545803842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254.64144953102331</v>
      </c>
      <c r="T143" s="62">
        <f t="shared" si="142"/>
        <v>361.41009011468407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0.66895486159598327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0.66895486159598327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254.64144953102331</v>
      </c>
      <c r="T144" s="62">
        <f t="shared" si="142"/>
        <v>361.41009011468407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0.65583706478226278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0.65583706478226278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254.64144953102331</v>
      </c>
      <c r="T145" s="62">
        <f t="shared" si="142"/>
        <v>361.41009011468407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0.64297649996299333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0.64297649996299333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254.64144953102331</v>
      </c>
      <c r="T146" s="62">
        <f t="shared" si="142"/>
        <v>361.41009011468407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0.63036812297565981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0.63036812297565981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254.64144953102331</v>
      </c>
      <c r="T147" s="62">
        <f t="shared" si="142"/>
        <v>361.41009011468407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0.61800698857069725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0.61800698857069725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254.64144953102331</v>
      </c>
      <c r="T148" s="62">
        <f t="shared" si="142"/>
        <v>361.41009011468407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0.60588824847186851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0.60588824847186851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254.64144953102331</v>
      </c>
      <c r="T149" s="62">
        <f t="shared" si="142"/>
        <v>361.41009011468407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0.59400714947467614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0.59400714947467614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254.64144953102331</v>
      </c>
      <c r="T150" s="62">
        <f t="shared" si="142"/>
        <v>361.41009011468407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0.58235903158206392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0.58235903158206392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254.64144953102331</v>
      </c>
      <c r="T151" s="62">
        <f t="shared" si="142"/>
        <v>361.41009011468407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0.57093932617667542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0.57093932617667542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254.64144953102331</v>
      </c>
      <c r="T152" s="62">
        <f t="shared" si="142"/>
        <v>361.41009011468407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0.55974355422895405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0.55974355422895405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254.64144953102331</v>
      </c>
      <c r="T153" s="62">
        <f t="shared" si="142"/>
        <v>361.41009011468407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0.54876732454038091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0.54876732454038091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254.64144953102331</v>
      </c>
      <c r="T154" s="62">
        <f t="shared" si="142"/>
        <v>361.41009011468407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0.53800633202116166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0.53800633202116166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254.64144953102331</v>
      </c>
      <c r="T155" s="62">
        <f t="shared" si="142"/>
        <v>361.41009011468407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0.52745635600168694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0.52745635600168694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254.64144953102331</v>
      </c>
      <c r="T156" s="62">
        <f t="shared" si="142"/>
        <v>361.41009011468407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0.51711325857710411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0.51711325857710411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254.64144953102331</v>
      </c>
      <c r="T157" s="62">
        <f t="shared" si="142"/>
        <v>361.41009011468407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0.5069729829843509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0.5069729829843509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254.64144953102331</v>
      </c>
      <c r="T158" s="62">
        <f t="shared" si="142"/>
        <v>361.41009011468407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0.49703155201101418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0.49703155201101418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254.64144953102331</v>
      </c>
      <c r="T159" s="62">
        <f t="shared" si="142"/>
        <v>361.41009011468407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0.48728506643539043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0.48728506643539043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254.64144953102331</v>
      </c>
      <c r="T160" s="62">
        <f t="shared" si="142"/>
        <v>361.41009011468407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0.47772970349713545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0.47772970349713545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254.64144953102331</v>
      </c>
      <c r="T161" s="62">
        <f t="shared" si="142"/>
        <v>361.41009011468407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0.46836171539790372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0.46836171539790372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254.64144953102331</v>
      </c>
      <c r="T162" s="62">
        <f t="shared" si="142"/>
        <v>361.41009011468407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0.45917742783138943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0.45917742783138943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254.64144953102331</v>
      </c>
      <c r="T163" s="62">
        <f t="shared" si="142"/>
        <v>361.41009011468407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0.45017323854219221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0.45017323854219221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254.64144953102331</v>
      </c>
      <c r="T164" s="62">
        <f t="shared" si="142"/>
        <v>361.41009011468407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0.44134561591294297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0.44134561591294297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254.64144953102331</v>
      </c>
      <c r="T165" s="62">
        <f t="shared" si="142"/>
        <v>361.41009011468407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0.43269109757913515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0.43269109757913515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254.64144953102331</v>
      </c>
      <c r="T166" s="62">
        <f t="shared" si="142"/>
        <v>361.41009011468407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0.42420628907111835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0.42420628907111835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254.64144953102331</v>
      </c>
      <c r="T167" s="62">
        <f t="shared" si="142"/>
        <v>361.41009011468407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0.41588786248272158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0.41588786248272158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254.64144953102331</v>
      </c>
      <c r="T168" s="62">
        <f t="shared" si="142"/>
        <v>361.41009011468407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0.40773255516598406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0.40773255516598406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254.64144953102331</v>
      </c>
      <c r="T169" s="62">
        <f t="shared" si="142"/>
        <v>361.41009011468407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0.39973716845148144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0.39973716845148144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254.64144953102331</v>
      </c>
      <c r="T170" s="62">
        <f t="shared" si="142"/>
        <v>361.41009011468407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0.39189856639374587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0.39189856639374587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254.64144953102331</v>
      </c>
      <c r="T171" s="62">
        <f t="shared" si="142"/>
        <v>361.41009011468407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0.3842136745412873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0.3842136745412873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254.64144953102331</v>
      </c>
      <c r="T172" s="62">
        <f t="shared" si="142"/>
        <v>361.41009011468407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0.37667947873073426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0.37667947873073426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254.64144953102331</v>
      </c>
      <c r="T173" s="62">
        <f t="shared" si="142"/>
        <v>361.41009011468407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0.36929302390462049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0.36929302390462049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254.64144953102331</v>
      </c>
      <c r="T174" s="62">
        <f t="shared" si="142"/>
        <v>361.41009011468407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0.36205141295235421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0.36205141295235421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254.64144953102331</v>
      </c>
      <c r="T175" s="62">
        <f t="shared" si="142"/>
        <v>361.41009011468407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0.35495180557391531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0.35495180557391531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254.64144953102331</v>
      </c>
      <c r="T176" s="62">
        <f t="shared" si="142"/>
        <v>361.41009011468407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0.3479914171658347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0.3479914171658347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254.64144953102331</v>
      </c>
      <c r="T177" s="62">
        <f t="shared" si="142"/>
        <v>361.41009011468407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0.34116751772901882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0.34116751772901882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254.64144953102331</v>
      </c>
      <c r="T178" s="62">
        <f t="shared" si="142"/>
        <v>361.41009011468407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0.33447743079799125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0.33447743079799125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254.64144953102331</v>
      </c>
      <c r="T179" s="62">
        <f t="shared" si="142"/>
        <v>361.41009011468407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0.327918532391131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0.327918532391131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254.64144953102331</v>
      </c>
      <c r="T180" s="62">
        <f t="shared" si="142"/>
        <v>361.41009011468407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0.32148824998149628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0.32148824998149628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254.64144953102331</v>
      </c>
      <c r="T181" s="62">
        <f t="shared" si="142"/>
        <v>361.41009011468407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0.31518406148782951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0.31518406148782951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254.64144953102331</v>
      </c>
      <c r="T182" s="62">
        <f t="shared" si="142"/>
        <v>361.41009011468407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0.30900349428534823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0.30900349428534823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254.64144953102331</v>
      </c>
      <c r="T183" s="62">
        <f t="shared" si="142"/>
        <v>361.41009011468407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0.30294412423593386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0.30294412423593386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254.64144953102331</v>
      </c>
      <c r="T184" s="62">
        <f t="shared" si="142"/>
        <v>361.41009011468407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0.29700357473733768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0.29700357473733768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254.64144953102331</v>
      </c>
      <c r="T185" s="62">
        <f t="shared" si="142"/>
        <v>361.41009011468407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0.29117951579103157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0.29117951579103157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254.64144953102331</v>
      </c>
      <c r="T186" s="62">
        <f t="shared" si="142"/>
        <v>361.41009011468407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0.28546966308833732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0.28546966308833732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254.64144953102331</v>
      </c>
      <c r="T187" s="62">
        <f t="shared" si="142"/>
        <v>361.41009011468407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0.27987177711447664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0.27987177711447664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254.64144953102331</v>
      </c>
      <c r="T188" s="62">
        <f t="shared" si="142"/>
        <v>361.41009011468407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0.27438366227019007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0.27438366227019007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254.64144953102331</v>
      </c>
      <c r="T189" s="62">
        <f t="shared" si="142"/>
        <v>361.41009011468407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0.26900316601058044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0.26900316601058044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254.64144953102331</v>
      </c>
      <c r="T190" s="62">
        <f t="shared" si="142"/>
        <v>361.41009011468407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0.26372817800084308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0.26372817800084308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254.64144953102331</v>
      </c>
      <c r="T191" s="62">
        <f t="shared" si="142"/>
        <v>361.41009011468407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0.25855662928855166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0.25855662928855166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254.64144953102331</v>
      </c>
      <c r="T192" s="62">
        <f t="shared" si="142"/>
        <v>361.41009011468407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0.25348649149217506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0.25348649149217506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254.64144953102331</v>
      </c>
      <c r="T193" s="62">
        <f t="shared" si="142"/>
        <v>361.41009011468407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0.2485157760055067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0.2485157760055067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254.64144953102331</v>
      </c>
      <c r="T194" s="62">
        <f t="shared" si="142"/>
        <v>361.41009011468407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0.24364253321769483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0.24364253321769483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254.64144953102331</v>
      </c>
      <c r="T195" s="62">
        <f t="shared" si="142"/>
        <v>361.41009011468407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0.23886485174856734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0.23886485174856734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254.64144953102331</v>
      </c>
      <c r="T196" s="62">
        <f t="shared" si="142"/>
        <v>361.41009011468407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0.2341808576989515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0.2341808576989515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254.64144953102331</v>
      </c>
      <c r="T197" s="62">
        <f t="shared" ref="T197:T203" si="204">$T$3</f>
        <v>361.41009011468407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0.22958871391569435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0.22958871391569435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254.64144953102331</v>
      </c>
      <c r="T198" s="62">
        <f t="shared" si="204"/>
        <v>361.41009011468407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0.22508661927109574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0.22508661927109574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254.64144953102331</v>
      </c>
      <c r="T199" s="62">
        <f t="shared" si="204"/>
        <v>361.41009011468407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0.22067280795647112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0.22067280795647112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254.64144953102331</v>
      </c>
      <c r="T200" s="62">
        <f t="shared" si="204"/>
        <v>361.41009011468407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0.21634554878956722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0.21634554878956722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254.64144953102331</v>
      </c>
      <c r="T201" s="62">
        <f t="shared" si="204"/>
        <v>361.41009011468407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0.21210314453555881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0.21210314453555881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254.64144953102331</v>
      </c>
      <c r="T202" s="62">
        <f t="shared" si="204"/>
        <v>361.41009011468407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0.20794393124136043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0.20794393124136043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254.64144953102331</v>
      </c>
      <c r="T203" s="62">
        <f t="shared" si="204"/>
        <v>361.41009011468407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0.20386627758299167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0.20386627758299167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1.8556007362580844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N12" sqref="N12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Robinier faux-acacia</v>
      </c>
      <c r="B6" s="155">
        <f>'Données projet'!D9</f>
        <v>5</v>
      </c>
      <c r="C6" s="156">
        <f ca="1">IF(OR('Données projet'!B9="",'Données projet'!C9="",'Données projet'!C9=0%),0,Calculateur!S3)</f>
        <v>254.64144953102331</v>
      </c>
      <c r="D6" s="156">
        <f>IF(OR('Données projet'!B9="",'Données projet'!C9="",'Données projet'!C9=0%),0,Calculateur!T3)</f>
        <v>361.41009011468407</v>
      </c>
      <c r="E6" s="156">
        <f ca="1">MIN(C6,D6)</f>
        <v>254.64144953102331</v>
      </c>
      <c r="F6" s="156">
        <f ca="1">E6*B6</f>
        <v>1273.2072476551166</v>
      </c>
      <c r="G6" s="156">
        <f ca="1">F6*(100%-'Données projet'!$C$24)*(100%-'Données projet'!$C$25)*(100%-'Données projet'!$C$26)*(100%-'Données projet'!$C$27)</f>
        <v>1145.886522889605</v>
      </c>
      <c r="H6" s="157">
        <f>IF(OR('Données projet'!B9="",'Données projet'!C9="",'Données projet'!C9=0%),0,AVERAGE(Calculateur!$AC$3:$AC$33)*B6)</f>
        <v>7.6388707875897062</v>
      </c>
      <c r="I6" s="158">
        <f>H6*(100%-'Données projet'!$C$24)*(100%-'Données projet'!$C$25)*(100%-'Données projet'!$C$26)*(100%-'Données projet'!$C$27)</f>
        <v>6.8749837088307357</v>
      </c>
      <c r="J6" s="159">
        <f>IF(OR('Données projet'!B9="",'Données projet'!C9="",'Données projet'!C9=0%),0,SUM(Calculateur!$V$3:$V$33)*VLOOKUP('Données projet'!$B$9,Paramètres!$A$1:$I$89,9,0)*B6)</f>
        <v>67.5</v>
      </c>
      <c r="K6" s="160">
        <f>J6*(100%-'Données projet'!$C$24)*(100%-'Données projet'!$C$25)*(100%-'Données projet'!$C$26)*(100%-'Données projet'!$C$27)</f>
        <v>60.75</v>
      </c>
      <c r="L6" s="161">
        <f ca="1">G6+I6+K6</f>
        <v>1213.5115065984357</v>
      </c>
      <c r="M6" s="25">
        <f ca="1">L6/B6</f>
        <v>242.70230131968714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 t="e">
        <f>L7/B7</f>
        <v>#DIV/0!</v>
      </c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1273.2072476551166</v>
      </c>
      <c r="G16" s="175">
        <f t="shared" ca="1" si="3"/>
        <v>1145.886522889605</v>
      </c>
      <c r="H16" s="176">
        <f t="shared" si="3"/>
        <v>7.6388707875897062</v>
      </c>
      <c r="I16" s="176">
        <f t="shared" si="3"/>
        <v>6.8749837088307357</v>
      </c>
      <c r="J16" s="177">
        <f t="shared" si="3"/>
        <v>67.5</v>
      </c>
      <c r="K16" s="177">
        <f t="shared" si="3"/>
        <v>60.75</v>
      </c>
      <c r="L16" s="178">
        <f t="shared" ca="1" si="3"/>
        <v>1213.5115065984357</v>
      </c>
      <c r="M16" s="25">
        <f ca="1">L16/6.42</f>
        <v>189.02048389383734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Robinier faux-acacia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R10" zoomScale="90" zoomScaleNormal="90" workbookViewId="0">
      <selection activeCell="AP30" sqref="AP30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Robinier faux-acacia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659.08388083304453</v>
      </c>
      <c r="U10" s="190">
        <f>'Données projet'!D9</f>
        <v>5</v>
      </c>
      <c r="V10" s="189">
        <f>U10*T10</f>
        <v>3295.4194041652227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Robinier faux-acacia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>
        <v>0</v>
      </c>
      <c r="I20" s="204">
        <f xml:space="preserve"> 26152/5</f>
        <v>5230.3999999999996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5</v>
      </c>
      <c r="B23" s="193">
        <f>'Données projet'!D36</f>
        <v>2</v>
      </c>
      <c r="C23" s="292">
        <v>8</v>
      </c>
      <c r="D23" s="194">
        <f>B23*C23</f>
        <v>16</v>
      </c>
      <c r="E23" s="206"/>
      <c r="F23" s="261"/>
      <c r="H23" s="203"/>
      <c r="I23" s="204"/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-22856.580595834777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10</v>
      </c>
      <c r="B24" s="193">
        <f>'Données projet'!D37</f>
        <v>15</v>
      </c>
      <c r="C24" s="292">
        <v>8</v>
      </c>
      <c r="D24" s="194">
        <f t="shared" ref="D24:D42" si="2">B24*C24</f>
        <v>120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15</v>
      </c>
      <c r="B25" s="193">
        <f>'Données projet'!D38</f>
        <v>13</v>
      </c>
      <c r="C25" s="292">
        <v>9</v>
      </c>
      <c r="D25" s="194">
        <f t="shared" si="2"/>
        <v>117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2">
        <f ca="1">T23-T24</f>
        <v>-22856.580595834777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20</v>
      </c>
      <c r="B26" s="193">
        <f>'Données projet'!D39</f>
        <v>10</v>
      </c>
      <c r="C26" s="292">
        <v>12</v>
      </c>
      <c r="D26" s="194">
        <f t="shared" si="2"/>
        <v>120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est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25</v>
      </c>
      <c r="B27" s="193">
        <f>'Données projet'!D40</f>
        <v>8</v>
      </c>
      <c r="C27" s="292">
        <v>12</v>
      </c>
      <c r="D27" s="194">
        <f t="shared" si="2"/>
        <v>96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30</v>
      </c>
      <c r="B28" s="193">
        <f>'Données projet'!D41</f>
        <v>6</v>
      </c>
      <c r="C28" s="292">
        <v>13</v>
      </c>
      <c r="D28" s="194">
        <f t="shared" si="2"/>
        <v>78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35</v>
      </c>
      <c r="B29" s="193">
        <f>'Données projet'!D42</f>
        <v>5</v>
      </c>
      <c r="C29" s="292">
        <v>13</v>
      </c>
      <c r="D29" s="194">
        <f t="shared" si="2"/>
        <v>65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40</v>
      </c>
      <c r="B30" s="193">
        <f>'Données projet'!D43</f>
        <v>4</v>
      </c>
      <c r="C30" s="292">
        <v>14</v>
      </c>
      <c r="D30" s="194">
        <f t="shared" si="2"/>
        <v>56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45</v>
      </c>
      <c r="B31" s="193">
        <f>'Données projet'!D44</f>
        <v>198</v>
      </c>
      <c r="C31" s="292">
        <v>14</v>
      </c>
      <c r="D31" s="194">
        <f t="shared" si="2"/>
        <v>2772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92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92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92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92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92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92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92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str">
        <f>IF(O78+1&lt;=MIN('Données projet'!$E$9:$E$18),O78+1,"STOP")</f>
        <v>STOP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2024-11-20T15:52:00Z</dcterms:modified>
</cp:coreProperties>
</file>