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La Teste de Buch (33) DELEPOULLE\Dossier déposé 11102024\"/>
    </mc:Choice>
  </mc:AlternateContent>
  <xr:revisionPtr revIDLastSave="0" documentId="13_ncr:1_{AC2E4D76-D772-4D65-BFFB-8A9F235EC97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<sst xmlns="http://schemas.openxmlformats.org/spreadsheetml/2006/main" count="1169" uniqueCount="324">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</sst>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130.91926315364825</c:v>
                </c:pt>
                <c:pt idx="20">
                  <c:v>148.73547386114751</c:v>
                </c:pt>
                <c:pt idx="21">
                  <c:v>166.50072957530213</c:v>
                </c:pt>
                <c:pt idx="22">
                  <c:v>184.22123662819629</c:v>
                </c:pt>
                <c:pt idx="23">
                  <c:v>201.90190730491364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5" zoomScaleNormal="8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F25" sqref="F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14.46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14.46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14.46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111</v>
      </c>
      <c r="C36" s="63">
        <v>1</v>
      </c>
      <c r="D36" s="63">
        <v>27</v>
      </c>
      <c r="E36" s="54"/>
      <c r="F36" s="54"/>
      <c r="G36" s="54">
        <v>1</v>
      </c>
      <c r="H36" s="54"/>
      <c r="I36" s="52">
        <f>IFERROR(B36/A36,"")</f>
        <v>6.166666666666667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24</v>
      </c>
      <c r="B37" s="63">
        <v>166</v>
      </c>
      <c r="C37" s="63">
        <v>2</v>
      </c>
      <c r="D37" s="63">
        <v>38</v>
      </c>
      <c r="E37" s="54">
        <v>0.2</v>
      </c>
      <c r="F37" s="54">
        <v>0.1</v>
      </c>
      <c r="G37" s="54">
        <v>0.7</v>
      </c>
      <c r="H37" s="54"/>
      <c r="I37" s="56">
        <f t="shared" ref="I37:I55" si="1">IF(A37&lt;&gt;0,(B37-(B36-D36))/(A37-A36),"")</f>
        <v>13.666666666666666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205</v>
      </c>
      <c r="C38" s="63">
        <v>3</v>
      </c>
      <c r="D38" s="63">
        <v>47</v>
      </c>
      <c r="E38" s="54">
        <v>0.4</v>
      </c>
      <c r="F38" s="54">
        <v>0.2</v>
      </c>
      <c r="G38" s="54">
        <v>0.4</v>
      </c>
      <c r="H38" s="54"/>
      <c r="I38" s="56">
        <f t="shared" si="1"/>
        <v>12.833333333333334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265</v>
      </c>
      <c r="C39" s="63">
        <v>4</v>
      </c>
      <c r="D39" s="63">
        <v>50</v>
      </c>
      <c r="E39" s="54"/>
      <c r="F39" s="54"/>
      <c r="G39" s="54"/>
      <c r="H39" s="54"/>
      <c r="I39" s="52">
        <f t="shared" si="1"/>
        <v>10.7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294</v>
      </c>
      <c r="C40" s="63">
        <v>5</v>
      </c>
      <c r="D40" s="63">
        <v>294</v>
      </c>
      <c r="E40" s="54"/>
      <c r="F40" s="54"/>
      <c r="G40" s="54"/>
      <c r="H40" s="54"/>
      <c r="I40" s="52">
        <f t="shared" si="1"/>
        <v>7.9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0" sqref="C1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147.86588596077661</v>
      </c>
      <c r="T3" s="62">
        <f>IF('Données projet'!E9&gt;30,$R$33-$H$33,LOOKUP('Données projet'!$E$9,$A$3:$A$203,R3:R203)-LOOKUP('Données projet'!$E$9,$A$3:$A$203,$H$3:$H$203))</f>
        <v>228.19398518024298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6.166666666666667</v>
      </c>
      <c r="N4" s="14">
        <f>IF('Données projet'!$A$36&gt;35,N3+M4-V3,IF(A4&lt;'Données projet'!$A$36,$K$205^A4,IF(A4='Données projet'!$A$36,'Données projet'!$B$36,N3+M4-V3)))</f>
        <v>1.2990595333015609</v>
      </c>
      <c r="O4" s="14">
        <f>N4*VLOOKUP('Données projet'!$B$9,Paramètres!$A$1:$I$89,3,0)*VLOOKUP('Données projet'!$B$9,Paramètres!$A$1:$I$89,5,0)</f>
        <v>0.7768376009143334</v>
      </c>
      <c r="P4" s="14">
        <f>EXP(-1.0587+0.8836*LN(O4)+0.284)</f>
        <v>0.36867854383113818</v>
      </c>
      <c r="Q4" s="22">
        <f t="shared" ref="Q4:Q34" si="2">(O4+P4)*0.475*44/12</f>
        <v>1.9951072854316962</v>
      </c>
      <c r="R4" s="62">
        <f t="shared" si="0"/>
        <v>295.328440618765</v>
      </c>
      <c r="S4" s="62">
        <f ca="1">AVERAGE(OFFSET($R$3,0,0,'Données projet'!$E$9+1,1))-AVERAGE(OFFSET($H$3,0,0,'Données projet'!$E$9+1,1))</f>
        <v>147.86588596077661</v>
      </c>
      <c r="T4" s="62">
        <f>$T$3</f>
        <v>228.19398518024298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6.166666666666667</v>
      </c>
      <c r="N5" s="14">
        <f>IF('Données projet'!$A$36&gt;35,N4+M5-V4,IF(A5&lt;'Données projet'!$A$36,$K$205^A5,IF(A5='Données projet'!$A$36,'Données projet'!$B$36,N4+M5-V4)))</f>
        <v>1.6875556710616693</v>
      </c>
      <c r="O5" s="14">
        <f>N5*VLOOKUP('Données projet'!$B$9,Paramètres!$A$1:$I$89,3,0)*VLOOKUP('Données projet'!$B$9,Paramètres!$A$1:$I$89,5,0)</f>
        <v>1.0091582912948782</v>
      </c>
      <c r="P5" s="14">
        <f t="shared" ref="P5:P68" si="33">EXP(-1.0587+0.8836*LN(O5)+0.284)</f>
        <v>0.46456928810721226</v>
      </c>
      <c r="Q5" s="22">
        <f t="shared" si="2"/>
        <v>2.5667422007919742</v>
      </c>
      <c r="R5" s="62">
        <f t="shared" si="0"/>
        <v>295.90007553412528</v>
      </c>
      <c r="S5" s="62">
        <f ca="1">AVERAGE(OFFSET($R$3,0,0,'Données projet'!$E$9+1,1))-AVERAGE(OFFSET($H$3,0,0,'Données projet'!$E$9+1,1))</f>
        <v>147.86588596077661</v>
      </c>
      <c r="T5" s="62">
        <f t="shared" ref="T5:T68" si="34">$T$3</f>
        <v>228.19398518024298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6.166666666666667</v>
      </c>
      <c r="N6" s="14">
        <f>IF('Données projet'!$A$36&gt;35,N5+M6-V5,IF(A6&lt;'Données projet'!$A$36,$K$205^A6,IF(A6='Données projet'!$A$36,'Données projet'!$B$36,N5+M6-V5)))</f>
        <v>2.1922352824697744</v>
      </c>
      <c r="O6" s="14">
        <f>N6*VLOOKUP('Données projet'!$B$9,Paramètres!$A$1:$I$89,3,0)*VLOOKUP('Données projet'!$B$9,Paramètres!$A$1:$I$89,5,0)</f>
        <v>1.3109566989169252</v>
      </c>
      <c r="P6" s="14">
        <f t="shared" si="33"/>
        <v>0.58540055303921845</v>
      </c>
      <c r="Q6" s="22">
        <f t="shared" si="2"/>
        <v>3.3028222138236161</v>
      </c>
      <c r="R6" s="62">
        <f t="shared" si="0"/>
        <v>296.63615554715693</v>
      </c>
      <c r="S6" s="62">
        <f ca="1">AVERAGE(OFFSET($R$3,0,0,'Données projet'!$E$9+1,1))-AVERAGE(OFFSET($H$3,0,0,'Données projet'!$E$9+1,1))</f>
        <v>147.86588596077661</v>
      </c>
      <c r="T6" s="62">
        <f t="shared" si="34"/>
        <v>228.19398518024298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6.166666666666667</v>
      </c>
      <c r="N7" s="14">
        <f>IF('Données projet'!$A$36&gt;35,N6+M7-V6,IF(A7&lt;'Données projet'!$A$36,$K$205^A7,IF(A7='Données projet'!$A$36,'Données projet'!$B$36,N6+M7-V6)))</f>
        <v>2.8478441429324008</v>
      </c>
      <c r="O7" s="14">
        <f>N7*VLOOKUP('Données projet'!$B$9,Paramètres!$A$1:$I$89,3,0)*VLOOKUP('Données projet'!$B$9,Paramètres!$A$1:$I$89,5,0)</f>
        <v>1.703010797473576</v>
      </c>
      <c r="P7" s="14">
        <f t="shared" si="33"/>
        <v>0.73765919588626938</v>
      </c>
      <c r="Q7" s="22">
        <f t="shared" si="2"/>
        <v>4.2508335717683972</v>
      </c>
      <c r="R7" s="62">
        <f t="shared" si="0"/>
        <v>297.58416690510171</v>
      </c>
      <c r="S7" s="62">
        <f ca="1">AVERAGE(OFFSET($R$3,0,0,'Données projet'!$E$9+1,1))-AVERAGE(OFFSET($H$3,0,0,'Données projet'!$E$9+1,1))</f>
        <v>147.86588596077661</v>
      </c>
      <c r="T7" s="62">
        <f t="shared" si="34"/>
        <v>228.19398518024298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6.166666666666667</v>
      </c>
      <c r="N8" s="14">
        <f>IF('Données projet'!$A$36&gt;35,N7+M8-V7,IF(A8&lt;'Données projet'!$A$36,$K$205^A8,IF(A8='Données projet'!$A$36,'Données projet'!$B$36,N7+M8-V7)))</f>
        <v>3.6995190832333482</v>
      </c>
      <c r="O8" s="14">
        <f>N8*VLOOKUP('Données projet'!$B$9,Paramètres!$A$1:$I$89,3,0)*VLOOKUP('Données projet'!$B$9,Paramètres!$A$1:$I$89,5,0)</f>
        <v>2.2123124117735422</v>
      </c>
      <c r="P8" s="14">
        <f t="shared" si="33"/>
        <v>0.92951926070203594</v>
      </c>
      <c r="Q8" s="22">
        <f t="shared" si="2"/>
        <v>5.4720234962282985</v>
      </c>
      <c r="R8" s="62">
        <f t="shared" si="0"/>
        <v>298.80535682956162</v>
      </c>
      <c r="S8" s="62">
        <f ca="1">AVERAGE(OFFSET($R$3,0,0,'Données projet'!$E$9+1,1))-AVERAGE(OFFSET($H$3,0,0,'Données projet'!$E$9+1,1))</f>
        <v>147.86588596077661</v>
      </c>
      <c r="T8" s="62">
        <f t="shared" si="34"/>
        <v>228.19398518024298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6.166666666666667</v>
      </c>
      <c r="N9" s="14">
        <f>IF('Données projet'!$A$36&gt;35,N8+M9-V8,IF(A9&lt;'Données projet'!$A$36,$K$205^A9,IF(A9='Données projet'!$A$36,'Données projet'!$B$36,N8+M9-V8)))</f>
        <v>4.805895533705332</v>
      </c>
      <c r="O9" s="14">
        <f>N9*VLOOKUP('Données projet'!$B$9,Paramètres!$A$1:$I$89,3,0)*VLOOKUP('Données projet'!$B$9,Paramètres!$A$1:$I$89,5,0)</f>
        <v>2.8739255291557888</v>
      </c>
      <c r="P9" s="14">
        <f t="shared" si="33"/>
        <v>1.1712808039734253</v>
      </c>
      <c r="Q9" s="22">
        <f t="shared" si="2"/>
        <v>7.0454010302000478</v>
      </c>
      <c r="R9" s="62">
        <f t="shared" si="0"/>
        <v>300.37873436353334</v>
      </c>
      <c r="S9" s="62">
        <f ca="1">AVERAGE(OFFSET($R$3,0,0,'Données projet'!$E$9+1,1))-AVERAGE(OFFSET($H$3,0,0,'Données projet'!$E$9+1,1))</f>
        <v>147.86588596077661</v>
      </c>
      <c r="T9" s="62">
        <f t="shared" si="34"/>
        <v>228.19398518024298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6.166666666666667</v>
      </c>
      <c r="N10" s="14">
        <f>IF('Données projet'!$A$36&gt;35,N9+M10-V9,IF(A10&lt;'Données projet'!$A$36,$K$205^A10,IF(A10='Données projet'!$A$36,'Données projet'!$B$36,N9+M10-V9)))</f>
        <v>6.243144409111304</v>
      </c>
      <c r="O10" s="14">
        <f>N10*VLOOKUP('Données projet'!$B$9,Paramètres!$A$1:$I$89,3,0)*VLOOKUP('Données projet'!$B$9,Paramètres!$A$1:$I$89,5,0)</f>
        <v>3.7334003566485601</v>
      </c>
      <c r="P10" s="14">
        <f t="shared" si="33"/>
        <v>1.4759228557786761</v>
      </c>
      <c r="Q10" s="22">
        <f t="shared" si="2"/>
        <v>9.0729045949774356</v>
      </c>
      <c r="R10" s="62">
        <f t="shared" si="0"/>
        <v>302.40623792831076</v>
      </c>
      <c r="S10" s="62">
        <f ca="1">AVERAGE(OFFSET($R$3,0,0,'Données projet'!$E$9+1,1))-AVERAGE(OFFSET($H$3,0,0,'Données projet'!$E$9+1,1))</f>
        <v>147.86588596077661</v>
      </c>
      <c r="T10" s="62">
        <f t="shared" si="34"/>
        <v>228.19398518024298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6.166666666666667</v>
      </c>
      <c r="N11" s="14">
        <f>IF('Données projet'!$A$36&gt;35,N10+M11-V10,IF(A11&lt;'Données projet'!$A$36,$K$205^A11,IF(A11='Données projet'!$A$36,'Données projet'!$B$36,N10+M11-V10)))</f>
        <v>8.1102162624343812</v>
      </c>
      <c r="O11" s="14">
        <f>N11*VLOOKUP('Données projet'!$B$9,Paramètres!$A$1:$I$89,3,0)*VLOOKUP('Données projet'!$B$9,Paramètres!$A$1:$I$89,5,0)</f>
        <v>4.8499093249357603</v>
      </c>
      <c r="P11" s="14">
        <f t="shared" si="33"/>
        <v>1.8598002023256139</v>
      </c>
      <c r="Q11" s="22">
        <f t="shared" si="2"/>
        <v>11.686077426646891</v>
      </c>
      <c r="R11" s="62">
        <f t="shared" si="0"/>
        <v>305.01941075998019</v>
      </c>
      <c r="S11" s="62">
        <f ca="1">AVERAGE(OFFSET($R$3,0,0,'Données projet'!$E$9+1,1))-AVERAGE(OFFSET($H$3,0,0,'Données projet'!$E$9+1,1))</f>
        <v>147.86588596077661</v>
      </c>
      <c r="T11" s="62">
        <f t="shared" si="34"/>
        <v>228.19398518024298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6.166666666666667</v>
      </c>
      <c r="N12" s="14">
        <f>IF('Données projet'!$A$36&gt;35,N11+M12-V11,IF(A12&lt;'Données projet'!$A$36,$K$205^A12,IF(A12='Données projet'!$A$36,'Données projet'!$B$36,N11+M12-V11)))</f>
        <v>10.535653752852737</v>
      </c>
      <c r="O12" s="14">
        <f>N12*VLOOKUP('Données projet'!$B$9,Paramètres!$A$1:$I$89,3,0)*VLOOKUP('Données projet'!$B$9,Paramètres!$A$1:$I$89,5,0)</f>
        <v>6.3003209442059376</v>
      </c>
      <c r="P12" s="14">
        <f t="shared" si="33"/>
        <v>2.3435213968182298</v>
      </c>
      <c r="Q12" s="22">
        <f t="shared" si="2"/>
        <v>15.054692077283761</v>
      </c>
      <c r="R12" s="62">
        <f t="shared" si="0"/>
        <v>308.38802541061705</v>
      </c>
      <c r="S12" s="62">
        <f ca="1">AVERAGE(OFFSET($R$3,0,0,'Données projet'!$E$9+1,1))-AVERAGE(OFFSET($H$3,0,0,'Données projet'!$E$9+1,1))</f>
        <v>147.86588596077661</v>
      </c>
      <c r="T12" s="62">
        <f t="shared" si="34"/>
        <v>228.19398518024298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6.166666666666667</v>
      </c>
      <c r="N13" s="14">
        <f>IF('Données projet'!$A$36&gt;35,N12+M13-V12,IF(A13&lt;'Données projet'!$A$36,$K$205^A13,IF(A13='Données projet'!$A$36,'Données projet'!$B$36,N12+M13-V12)))</f>
        <v>13.686441447207715</v>
      </c>
      <c r="O13" s="14">
        <f>N13*VLOOKUP('Données projet'!$B$9,Paramètres!$A$1:$I$89,3,0)*VLOOKUP('Données projet'!$B$9,Paramètres!$A$1:$I$89,5,0)</f>
        <v>8.1844919854302152</v>
      </c>
      <c r="P13" s="14">
        <f t="shared" si="33"/>
        <v>2.9530551348887908</v>
      </c>
      <c r="Q13" s="22">
        <f t="shared" si="2"/>
        <v>19.397894567888933</v>
      </c>
      <c r="R13" s="62">
        <f t="shared" si="0"/>
        <v>312.73122790122227</v>
      </c>
      <c r="S13" s="62">
        <f ca="1">AVERAGE(OFFSET($R$3,0,0,'Données projet'!$E$9+1,1))-AVERAGE(OFFSET($H$3,0,0,'Données projet'!$E$9+1,1))</f>
        <v>147.86588596077661</v>
      </c>
      <c r="T13" s="62">
        <f t="shared" si="34"/>
        <v>228.19398518024298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6.166666666666667</v>
      </c>
      <c r="N14" s="14">
        <f>IF('Données projet'!$A$36&gt;35,N13+M14-V13,IF(A14&lt;'Données projet'!$A$36,$K$205^A14,IF(A14='Données projet'!$A$36,'Données projet'!$B$36,N13+M14-V13)))</f>
        <v>17.779502238968792</v>
      </c>
      <c r="O14" s="14">
        <f>N14*VLOOKUP('Données projet'!$B$9,Paramètres!$A$1:$I$89,3,0)*VLOOKUP('Données projet'!$B$9,Paramètres!$A$1:$I$89,5,0)</f>
        <v>10.632142338903337</v>
      </c>
      <c r="P14" s="14">
        <f t="shared" si="33"/>
        <v>3.7211243906425677</v>
      </c>
      <c r="Q14" s="22">
        <f t="shared" si="2"/>
        <v>24.998606220625785</v>
      </c>
      <c r="R14" s="62">
        <f t="shared" si="0"/>
        <v>318.3319395539591</v>
      </c>
      <c r="S14" s="62">
        <f ca="1">AVERAGE(OFFSET($R$3,0,0,'Données projet'!$E$9+1,1))-AVERAGE(OFFSET($H$3,0,0,'Données projet'!$E$9+1,1))</f>
        <v>147.86588596077661</v>
      </c>
      <c r="T14" s="62">
        <f t="shared" si="34"/>
        <v>228.19398518024298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6.166666666666667</v>
      </c>
      <c r="N15" s="14">
        <f>IF('Données projet'!$A$36&gt;35,N14+M15-V14,IF(A15&lt;'Données projet'!$A$36,$K$205^A15,IF(A15='Données projet'!$A$36,'Données projet'!$B$36,N14+M15-V14)))</f>
        <v>23.096631880888861</v>
      </c>
      <c r="O15" s="14">
        <f>N15*VLOOKUP('Données projet'!$B$9,Paramètres!$A$1:$I$89,3,0)*VLOOKUP('Données projet'!$B$9,Paramètres!$A$1:$I$89,5,0)</f>
        <v>13.811785864771538</v>
      </c>
      <c r="P15" s="14">
        <f t="shared" si="33"/>
        <v>4.6889631578641264</v>
      </c>
      <c r="Q15" s="22">
        <f t="shared" si="2"/>
        <v>32.222137881090447</v>
      </c>
      <c r="R15" s="62">
        <f t="shared" si="0"/>
        <v>325.55547121442373</v>
      </c>
      <c r="S15" s="62">
        <f ca="1">AVERAGE(OFFSET($R$3,0,0,'Données projet'!$E$9+1,1))-AVERAGE(OFFSET($H$3,0,0,'Données projet'!$E$9+1,1))</f>
        <v>147.86588596077661</v>
      </c>
      <c r="T15" s="62">
        <f t="shared" si="34"/>
        <v>228.19398518024298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6.166666666666667</v>
      </c>
      <c r="N16" s="14">
        <f>IF('Données projet'!$A$36&gt;35,N15+M16-V15,IF(A16&lt;'Données projet'!$A$36,$K$205^A16,IF(A16='Données projet'!$A$36,'Données projet'!$B$36,N15+M16-V15)))</f>
        <v>30.003899832025432</v>
      </c>
      <c r="O16" s="14">
        <f>N16*VLOOKUP('Données projet'!$B$9,Paramètres!$A$1:$I$89,3,0)*VLOOKUP('Données projet'!$B$9,Paramètres!$A$1:$I$89,5,0)</f>
        <v>17.942332099551209</v>
      </c>
      <c r="P16" s="14">
        <f t="shared" si="33"/>
        <v>5.9085301074846619</v>
      </c>
      <c r="Q16" s="22">
        <f t="shared" si="2"/>
        <v>41.54025167725414</v>
      </c>
      <c r="R16" s="62">
        <f t="shared" si="0"/>
        <v>334.87358501058748</v>
      </c>
      <c r="S16" s="62">
        <f ca="1">AVERAGE(OFFSET($R$3,0,0,'Données projet'!$E$9+1,1))-AVERAGE(OFFSET($H$3,0,0,'Données projet'!$E$9+1,1))</f>
        <v>147.86588596077661</v>
      </c>
      <c r="T16" s="62">
        <f t="shared" si="34"/>
        <v>228.19398518024298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6.166666666666667</v>
      </c>
      <c r="N17" s="14">
        <f>IF('Données projet'!$A$36&gt;35,N16+M17-V16,IF(A17&lt;'Données projet'!$A$36,$K$205^A17,IF(A17='Données projet'!$A$36,'Données projet'!$B$36,N16+M17-V16)))</f>
        <v>38.976852113017742</v>
      </c>
      <c r="O17" s="14">
        <f>N17*VLOOKUP('Données projet'!$B$9,Paramètres!$A$1:$I$89,3,0)*VLOOKUP('Données projet'!$B$9,Paramètres!$A$1:$I$89,5,0)</f>
        <v>23.308157563584611</v>
      </c>
      <c r="P17" s="14">
        <f t="shared" si="33"/>
        <v>7.4452980020757735</v>
      </c>
      <c r="Q17" s="22">
        <f t="shared" si="2"/>
        <v>53.56226844352517</v>
      </c>
      <c r="R17" s="62">
        <f t="shared" si="0"/>
        <v>346.89560177685848</v>
      </c>
      <c r="S17" s="62">
        <f ca="1">AVERAGE(OFFSET($R$3,0,0,'Données projet'!$E$9+1,1))-AVERAGE(OFFSET($H$3,0,0,'Données projet'!$E$9+1,1))</f>
        <v>147.86588596077661</v>
      </c>
      <c r="T17" s="62">
        <f t="shared" si="34"/>
        <v>228.19398518024298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6.166666666666667</v>
      </c>
      <c r="N18" s="14">
        <f>IF('Données projet'!$A$36&gt;35,N17+M18-V17,IF(A18&lt;'Données projet'!$A$36,$K$205^A18,IF(A18='Données projet'!$A$36,'Données projet'!$B$36,N17+M18-V17)))</f>
        <v>50.633251315500786</v>
      </c>
      <c r="O18" s="14">
        <f>N18*VLOOKUP('Données projet'!$B$9,Paramètres!$A$1:$I$89,3,0)*VLOOKUP('Données projet'!$B$9,Paramètres!$A$1:$I$89,5,0)</f>
        <v>30.278684286669471</v>
      </c>
      <c r="P18" s="14">
        <f t="shared" si="33"/>
        <v>9.3817686177978814</v>
      </c>
      <c r="Q18" s="22">
        <f t="shared" si="2"/>
        <v>69.075288808613962</v>
      </c>
      <c r="R18" s="62">
        <f t="shared" si="0"/>
        <v>362.40862214194726</v>
      </c>
      <c r="S18" s="62">
        <f ca="1">AVERAGE(OFFSET($R$3,0,0,'Données projet'!$E$9+1,1))-AVERAGE(OFFSET($H$3,0,0,'Données projet'!$E$9+1,1))</f>
        <v>147.86588596077661</v>
      </c>
      <c r="T18" s="62">
        <f t="shared" si="34"/>
        <v>228.19398518024298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6.166666666666667</v>
      </c>
      <c r="N19" s="14">
        <f>IF('Données projet'!$A$36&gt;35,N18+M19-V18,IF(A19&lt;'Données projet'!$A$36,$K$205^A19,IF(A19='Données projet'!$A$36,'Données projet'!$B$36,N18+M19-V18)))</f>
        <v>65.775607823455104</v>
      </c>
      <c r="O19" s="14">
        <f>N19*VLOOKUP('Données projet'!$B$9,Paramètres!$A$1:$I$89,3,0)*VLOOKUP('Données projet'!$B$9,Paramètres!$A$1:$I$89,5,0)</f>
        <v>39.333813478426158</v>
      </c>
      <c r="P19" s="14">
        <f t="shared" si="33"/>
        <v>11.821901873283993</v>
      </c>
      <c r="Q19" s="22">
        <f t="shared" si="2"/>
        <v>89.096204237561849</v>
      </c>
      <c r="R19" s="62">
        <f t="shared" si="0"/>
        <v>382.42953757089515</v>
      </c>
      <c r="S19" s="62">
        <f ca="1">AVERAGE(OFFSET($R$3,0,0,'Données projet'!$E$9+1,1))-AVERAGE(OFFSET($H$3,0,0,'Données projet'!$E$9+1,1))</f>
        <v>147.86588596077661</v>
      </c>
      <c r="T19" s="62">
        <f t="shared" si="34"/>
        <v>228.19398518024298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6.166666666666667</v>
      </c>
      <c r="N20" s="14">
        <f>IF('Données projet'!$A$36&gt;35,N19+M20-V19,IF(A20&lt;'Données projet'!$A$36,$K$205^A20,IF(A20='Données projet'!$A$36,'Données projet'!$B$36,N19+M20-V19)))</f>
        <v>85.44643040176409</v>
      </c>
      <c r="O20" s="14">
        <f>N20*VLOOKUP('Données projet'!$B$9,Paramètres!$A$1:$I$89,3,0)*VLOOKUP('Données projet'!$B$9,Paramètres!$A$1:$I$89,5,0)</f>
        <v>51.096965380254936</v>
      </c>
      <c r="P20" s="14">
        <f t="shared" si="33"/>
        <v>14.896696944372083</v>
      </c>
      <c r="Q20" s="22">
        <f t="shared" si="2"/>
        <v>114.93896188205872</v>
      </c>
      <c r="R20" s="62">
        <f t="shared" si="0"/>
        <v>408.27229521539203</v>
      </c>
      <c r="S20" s="62">
        <f ca="1">AVERAGE(OFFSET($R$3,0,0,'Données projet'!$E$9+1,1))-AVERAGE(OFFSET($H$3,0,0,'Données projet'!$E$9+1,1))</f>
        <v>147.86588596077661</v>
      </c>
      <c r="T20" s="62">
        <f t="shared" si="34"/>
        <v>228.19398518024298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111</v>
      </c>
      <c r="L21" s="13">
        <f>VLOOKUP(A21,'Données projet'!$A$35:$I$55,9,0)</f>
        <v>6.166666666666667</v>
      </c>
      <c r="M21" s="13">
        <f t="array" ref="M21">INDEX(L:L,MIN(IF(ISNUMBER(L21:L217),ROW(L21:L217),"")))</f>
        <v>6.166666666666667</v>
      </c>
      <c r="N21" s="14">
        <f>IF('Données projet'!$A$36&gt;35,N20+M21-V20,IF(A21&lt;'Données projet'!$A$36,$K$205^A21,IF(A21='Données projet'!$A$36,'Données projet'!$B$36,N20+M21-V20)))</f>
        <v>111</v>
      </c>
      <c r="O21" s="14">
        <f>N21*VLOOKUP('Données projet'!$B$9,Paramètres!$A$1:$I$89,3,0)*VLOOKUP('Données projet'!$B$9,Paramètres!$A$1:$I$89,5,0)</f>
        <v>66.378</v>
      </c>
      <c r="P21" s="14">
        <f t="shared" si="33"/>
        <v>18.771224988253085</v>
      </c>
      <c r="Q21" s="22">
        <f t="shared" si="2"/>
        <v>148.30156685454077</v>
      </c>
      <c r="R21" s="62">
        <f t="shared" si="0"/>
        <v>441.63490018787411</v>
      </c>
      <c r="S21" s="62">
        <f ca="1">AVERAGE(OFFSET($R$3,0,0,'Données projet'!$E$9+1,1))-AVERAGE(OFFSET($H$3,0,0,'Données projet'!$E$9+1,1))</f>
        <v>147.86588596077661</v>
      </c>
      <c r="T21" s="62">
        <f t="shared" si="34"/>
        <v>228.19398518024298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27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1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18.281022675862321</v>
      </c>
      <c r="AC21" s="24">
        <f t="shared" si="3"/>
        <v>18.281022675862321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13.666666666666666</v>
      </c>
      <c r="N22" s="14">
        <f>IF('Données projet'!$A$36&gt;35,N21+M22-V21,IF(A22&lt;'Données projet'!$A$36,$K$205^A22,IF(A22='Données projet'!$A$36,'Données projet'!$B$36,N21+M22-V21)))</f>
        <v>97.666666666666671</v>
      </c>
      <c r="O22" s="14">
        <f>N22*VLOOKUP('Données projet'!$B$9,Paramètres!$A$1:$I$89,3,0)*VLOOKUP('Données projet'!$B$9,Paramètres!$A$1:$I$89,5,0)</f>
        <v>58.404666666666671</v>
      </c>
      <c r="P22" s="14">
        <f t="shared" si="33"/>
        <v>16.764288254088292</v>
      </c>
      <c r="Q22" s="22">
        <f t="shared" si="2"/>
        <v>130.91926315364825</v>
      </c>
      <c r="R22" s="62">
        <f t="shared" si="0"/>
        <v>424.25259648698159</v>
      </c>
      <c r="S22" s="62">
        <f ca="1">AVERAGE(OFFSET($R$3,0,0,'Données projet'!$E$9+1,1))-AVERAGE(OFFSET($H$3,0,0,'Données projet'!$E$9+1,1))</f>
        <v>147.86588596077661</v>
      </c>
      <c r="T22" s="62">
        <f t="shared" si="34"/>
        <v>228.19398518024298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12.926635101127292</v>
      </c>
      <c r="AC22" s="24">
        <f t="shared" si="3"/>
        <v>12.926635101127292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13.666666666666666</v>
      </c>
      <c r="N23" s="14">
        <f>IF('Données projet'!$A$36&gt;35,N22+M23-V22,IF(A23&lt;'Données projet'!$A$36,$K$205^A23,IF(A23='Données projet'!$A$36,'Données projet'!$B$36,N22+M23-V22)))</f>
        <v>111.33333333333334</v>
      </c>
      <c r="O23" s="14">
        <f>N23*VLOOKUP('Données projet'!$B$9,Paramètres!$A$1:$I$89,3,0)*VLOOKUP('Données projet'!$B$9,Paramètres!$A$1:$I$89,5,0)</f>
        <v>66.577333333333343</v>
      </c>
      <c r="P23" s="14">
        <f t="shared" si="33"/>
        <v>18.821024864454692</v>
      </c>
      <c r="Q23" s="22">
        <f t="shared" si="2"/>
        <v>148.73547386114751</v>
      </c>
      <c r="R23" s="62">
        <f t="shared" si="0"/>
        <v>442.06880719448083</v>
      </c>
      <c r="S23" s="62">
        <f ca="1">AVERAGE(OFFSET($R$3,0,0,'Données projet'!$E$9+1,1))-AVERAGE(OFFSET($H$3,0,0,'Données projet'!$E$9+1,1))</f>
        <v>147.86588596077661</v>
      </c>
      <c r="T23" s="62">
        <f t="shared" si="34"/>
        <v>228.19398518024298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9.1405113379311622</v>
      </c>
      <c r="AC23" s="24">
        <f t="shared" si="3"/>
        <v>9.1405113379311622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13.666666666666666</v>
      </c>
      <c r="N24" s="14">
        <f>IF('Données projet'!$A$36&gt;35,N23+M24-V23,IF(A24&lt;'Données projet'!$A$36,$K$205^A24,IF(A24='Données projet'!$A$36,'Données projet'!$B$36,N23+M24-V23)))</f>
        <v>125.00000000000001</v>
      </c>
      <c r="O24" s="14">
        <f>N24*VLOOKUP('Données projet'!$B$9,Paramètres!$A$1:$I$89,3,0)*VLOOKUP('Données projet'!$B$9,Paramètres!$A$1:$I$89,5,0)</f>
        <v>74.750000000000014</v>
      </c>
      <c r="P24" s="14">
        <f t="shared" si="33"/>
        <v>20.848505019312213</v>
      </c>
      <c r="Q24" s="22">
        <f t="shared" si="2"/>
        <v>166.50072957530213</v>
      </c>
      <c r="R24" s="62">
        <f t="shared" si="0"/>
        <v>459.83406290863547</v>
      </c>
      <c r="S24" s="62">
        <f ca="1">AVERAGE(OFFSET($R$3,0,0,'Données projet'!$E$9+1,1))-AVERAGE(OFFSET($H$3,0,0,'Données projet'!$E$9+1,1))</f>
        <v>147.86588596077661</v>
      </c>
      <c r="T24" s="62">
        <f t="shared" si="34"/>
        <v>228.19398518024298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6.4633175505636471</v>
      </c>
      <c r="AC24" s="24">
        <f t="shared" si="3"/>
        <v>6.4633175505636471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13.666666666666666</v>
      </c>
      <c r="N25" s="14">
        <f>IF('Données projet'!$A$36&gt;35,N24+M25-V24,IF(A25&lt;'Données projet'!$A$36,$K$205^A25,IF(A25='Données projet'!$A$36,'Données projet'!$B$36,N24+M25-V24)))</f>
        <v>138.66666666666669</v>
      </c>
      <c r="O25" s="14">
        <f>N25*VLOOKUP('Données projet'!$B$9,Paramètres!$A$1:$I$89,3,0)*VLOOKUP('Données projet'!$B$9,Paramètres!$A$1:$I$89,5,0)</f>
        <v>82.922666666666686</v>
      </c>
      <c r="P25" s="14">
        <f t="shared" si="33"/>
        <v>22.850292162919715</v>
      </c>
      <c r="Q25" s="22">
        <f t="shared" si="2"/>
        <v>184.22123662819629</v>
      </c>
      <c r="R25" s="62">
        <f t="shared" si="0"/>
        <v>477.55456996152964</v>
      </c>
      <c r="S25" s="62">
        <f ca="1">AVERAGE(OFFSET($R$3,0,0,'Données projet'!$E$9+1,1))-AVERAGE(OFFSET($H$3,0,0,'Données projet'!$E$9+1,1))</f>
        <v>147.86588596077661</v>
      </c>
      <c r="T25" s="62">
        <f t="shared" si="34"/>
        <v>228.19398518024298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4.5702556689655811</v>
      </c>
      <c r="AC25" s="24">
        <f t="shared" si="3"/>
        <v>4.5702556689655811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13.666666666666666</v>
      </c>
      <c r="N26" s="14">
        <f>IF('Données projet'!$A$36&gt;35,N25+M26-V25,IF(A26&lt;'Données projet'!$A$36,$K$205^A26,IF(A26='Données projet'!$A$36,'Données projet'!$B$36,N25+M26-V25)))</f>
        <v>152.33333333333334</v>
      </c>
      <c r="O26" s="14">
        <f>N26*VLOOKUP('Données projet'!$B$9,Paramètres!$A$1:$I$89,3,0)*VLOOKUP('Données projet'!$B$9,Paramètres!$A$1:$I$89,5,0)</f>
        <v>91.095333333333343</v>
      </c>
      <c r="P26" s="14">
        <f t="shared" si="33"/>
        <v>24.829206746042935</v>
      </c>
      <c r="Q26" s="22">
        <f t="shared" si="2"/>
        <v>201.90190730491364</v>
      </c>
      <c r="R26" s="62">
        <f t="shared" si="0"/>
        <v>495.23524063824698</v>
      </c>
      <c r="S26" s="62">
        <f ca="1">AVERAGE(OFFSET($R$3,0,0,'Données projet'!$E$9+1,1))-AVERAGE(OFFSET($H$3,0,0,'Données projet'!$E$9+1,1))</f>
        <v>147.86588596077661</v>
      </c>
      <c r="T26" s="62">
        <f t="shared" si="34"/>
        <v>228.19398518024298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3.2316587752818235</v>
      </c>
      <c r="AC26" s="24">
        <f t="shared" si="3"/>
        <v>3.2316587752818235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166</v>
      </c>
      <c r="L27" s="13">
        <f>VLOOKUP(A27,'Données projet'!$A$35:$I$55,9,0)</f>
        <v>13.666666666666666</v>
      </c>
      <c r="M27" s="13">
        <f t="array" ref="M27">INDEX(L:L,MIN(IF(ISNUMBER(L27:L223),ROW(L27:L223),"")))</f>
        <v>13.666666666666666</v>
      </c>
      <c r="N27" s="14">
        <f>IF('Données projet'!$A$36&gt;35,N26+M27-V26,IF(A27&lt;'Données projet'!$A$36,$K$205^A27,IF(A27='Données projet'!$A$36,'Données projet'!$B$36,N26+M27-V26)))</f>
        <v>166</v>
      </c>
      <c r="O27" s="14">
        <f>N27*VLOOKUP('Données projet'!$B$9,Paramètres!$A$1:$I$89,3,0)*VLOOKUP('Données projet'!$B$9,Paramètres!$A$1:$I$89,5,0)</f>
        <v>99.268000000000001</v>
      </c>
      <c r="P27" s="14">
        <f t="shared" si="33"/>
        <v>26.78753414535981</v>
      </c>
      <c r="Q27" s="22">
        <f t="shared" si="2"/>
        <v>219.54672196983498</v>
      </c>
      <c r="R27" s="62">
        <f t="shared" si="0"/>
        <v>512.88005530316832</v>
      </c>
      <c r="S27" s="62">
        <f ca="1">AVERAGE(OFFSET($R$3,0,0,'Données projet'!$E$9+1,1))-AVERAGE(OFFSET($H$3,0,0,'Données projet'!$E$9+1,1))</f>
        <v>147.86588596077661</v>
      </c>
      <c r="T27" s="62">
        <f t="shared" si="34"/>
        <v>228.19398518024298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38</v>
      </c>
      <c r="W27" s="17">
        <f>IF(ISNA(VLOOKUP(A27,'Données projet'!$A$35:$I$55,5,0)),0%,VLOOKUP(A27,'Données projet'!$A$35:$I$55,5,0)*VLOOKUP('Données projet'!$B$9,Paramètres!$A$1:$I$89,7,0))</f>
        <v>9.0000000000000011E-2</v>
      </c>
      <c r="X27" s="17">
        <f>IF(ISNA(VLOOKUP(A27,'Données projet'!$A$35:$I$55,6,0)),0%,VLOOKUP(A27,'Données projet'!$A$35:$I$55,6,0)*VLOOKUP('Données projet'!$B$9,Paramètres!$A$1:$I$89,7,0))</f>
        <v>4.5000000000000005E-2</v>
      </c>
      <c r="Y27" s="17">
        <f>IF(ISNA(VLOOKUP(A27,'Données projet'!$A$35:$I$55,7,0)),0%,VLOOKUP(A27,'Données projet'!$A$35:$I$55,7,0))</f>
        <v>0.7</v>
      </c>
      <c r="Z27" s="23">
        <f>EXP(-LN(2)/35)*Z26+(1-EXP(-LN(2)/35))/(LN(2)/35)*V27*W27*VLOOKUP('Données projet'!$B$9,Paramètres!$A$1:$I$89,3,0)*0.475*44/12</f>
        <v>2.7130365616867302</v>
      </c>
      <c r="AA27" s="23">
        <f>EXP(-LN(2)/25)*AA26+(1-EXP(-LN(2)/25))/(LN(2)/25)*Calculateur!V27*Calculateur!X27*VLOOKUP('Données projet'!$B$9,Paramètres!$A$1:$I$89,3,0)*0.475*44/12</f>
        <v>1.3511771514976976</v>
      </c>
      <c r="AB27" s="23">
        <f>EXP(-LN(2)/2)*AB26+(1-EXP(-LN(2)/2))/(LN(2)/2)*V27*Y27*VLOOKUP('Données projet'!$B$9,Paramètres!$A$1:$I$89,3,0)*0.475*44/12</f>
        <v>20.295320544776779</v>
      </c>
      <c r="AC27" s="24">
        <f t="shared" si="3"/>
        <v>24.359534257961208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12.833333333333334</v>
      </c>
      <c r="N28" s="14">
        <f>IF('Données projet'!$A$36&gt;35,N27+M28-V27,IF(A28&lt;'Données projet'!$A$36,$K$205^A28,IF(A28='Données projet'!$A$36,'Données projet'!$B$36,N27+M28-V27)))</f>
        <v>140.83333333333334</v>
      </c>
      <c r="O28" s="14">
        <f>N28*VLOOKUP('Données projet'!$B$9,Paramètres!$A$1:$I$89,3,0)*VLOOKUP('Données projet'!$B$9,Paramètres!$A$1:$I$89,5,0)</f>
        <v>84.218333333333348</v>
      </c>
      <c r="P28" s="14">
        <f t="shared" si="33"/>
        <v>23.165483776806148</v>
      </c>
      <c r="Q28" s="22">
        <f t="shared" si="2"/>
        <v>187.0268148001596</v>
      </c>
      <c r="R28" s="62">
        <f t="shared" si="0"/>
        <v>480.36014813349288</v>
      </c>
      <c r="S28" s="62">
        <f ca="1">AVERAGE(OFFSET($R$3,0,0,'Données projet'!$E$9+1,1))-AVERAGE(OFFSET($H$3,0,0,'Données projet'!$E$9+1,1))</f>
        <v>147.86588596077661</v>
      </c>
      <c r="T28" s="62">
        <f t="shared" si="34"/>
        <v>228.19398518024298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2.6598355695009595</v>
      </c>
      <c r="AA28" s="23">
        <f>EXP(-LN(2)/25)*AA27+(1-EXP(-LN(2)/25))/(LN(2)/25)*Calculateur!V28*Calculateur!X28*VLOOKUP('Données projet'!$B$9,Paramètres!$A$1:$I$89,3,0)*0.475*44/12</f>
        <v>1.3142291412346747</v>
      </c>
      <c r="AB28" s="23">
        <f>EXP(-LN(2)/2)*AB27+(1-EXP(-LN(2)/2))/(LN(2)/2)*V28*Y28*VLOOKUP('Données projet'!$B$9,Paramètres!$A$1:$I$89,3,0)*0.475*44/12</f>
        <v>14.350958783566318</v>
      </c>
      <c r="AC28" s="24">
        <f t="shared" si="3"/>
        <v>18.325023494301952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12.833333333333334</v>
      </c>
      <c r="N29" s="14">
        <f>IF('Données projet'!$A$36&gt;35,N28+M29-V28,IF(A29&lt;'Données projet'!$A$36,$K$205^A29,IF(A29='Données projet'!$A$36,'Données projet'!$B$36,N28+M29-V28)))</f>
        <v>153.66666666666669</v>
      </c>
      <c r="O29" s="14">
        <f>N29*VLOOKUP('Données projet'!$B$9,Paramètres!$A$1:$I$89,3,0)*VLOOKUP('Données projet'!$B$9,Paramètres!$A$1:$I$89,5,0)</f>
        <v>91.892666666666685</v>
      </c>
      <c r="P29" s="14">
        <f t="shared" si="33"/>
        <v>25.021136263266175</v>
      </c>
      <c r="Q29" s="22">
        <f t="shared" si="2"/>
        <v>203.62487343629971</v>
      </c>
      <c r="R29" s="62">
        <f t="shared" si="0"/>
        <v>496.95820676963302</v>
      </c>
      <c r="S29" s="62">
        <f ca="1">AVERAGE(OFFSET($R$3,0,0,'Données projet'!$E$9+1,1))-AVERAGE(OFFSET($H$3,0,0,'Données projet'!$E$9+1,1))</f>
        <v>147.86588596077661</v>
      </c>
      <c r="T29" s="62">
        <f t="shared" si="34"/>
        <v>228.19398518024298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2.6076778163225502</v>
      </c>
      <c r="AA29" s="23">
        <f>EXP(-LN(2)/25)*AA28+(1-EXP(-LN(2)/25))/(LN(2)/25)*Calculateur!V29*Calculateur!X29*VLOOKUP('Données projet'!$B$9,Paramètres!$A$1:$I$89,3,0)*0.475*44/12</f>
        <v>1.2782914762553057</v>
      </c>
      <c r="AB29" s="23">
        <f>EXP(-LN(2)/2)*AB28+(1-EXP(-LN(2)/2))/(LN(2)/2)*V29*Y29*VLOOKUP('Données projet'!$B$9,Paramètres!$A$1:$I$89,3,0)*0.475*44/12</f>
        <v>10.147660272388391</v>
      </c>
      <c r="AC29" s="24">
        <f t="shared" si="3"/>
        <v>14.033629564966247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12.833333333333334</v>
      </c>
      <c r="N30" s="14">
        <f>IF('Données projet'!$A$36&gt;35,N29+M30-V29,IF(A30&lt;'Données projet'!$A$36,$K$205^A30,IF(A30='Données projet'!$A$36,'Données projet'!$B$36,N29+M30-V29)))</f>
        <v>166.50000000000003</v>
      </c>
      <c r="O30" s="14">
        <f>N30*VLOOKUP('Données projet'!$B$9,Paramètres!$A$1:$I$89,3,0)*VLOOKUP('Données projet'!$B$9,Paramètres!$A$1:$I$89,5,0)</f>
        <v>99.567000000000021</v>
      </c>
      <c r="P30" s="14">
        <f t="shared" si="33"/>
        <v>26.858815231289142</v>
      </c>
      <c r="Q30" s="22">
        <f t="shared" si="2"/>
        <v>220.19162819449528</v>
      </c>
      <c r="R30" s="62">
        <f t="shared" si="0"/>
        <v>513.52496152782862</v>
      </c>
      <c r="S30" s="62">
        <f ca="1">AVERAGE(OFFSET($R$3,0,0,'Données projet'!$E$9+1,1))-AVERAGE(OFFSET($H$3,0,0,'Données projet'!$E$9+1,1))</f>
        <v>147.86588596077661</v>
      </c>
      <c r="T30" s="62">
        <f t="shared" si="34"/>
        <v>228.19398518024298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2.5565428448708816</v>
      </c>
      <c r="AA30" s="23">
        <f>EXP(-LN(2)/25)*AA29+(1-EXP(-LN(2)/25))/(LN(2)/25)*Calculateur!V30*Calculateur!X30*VLOOKUP('Données projet'!$B$9,Paramètres!$A$1:$I$89,3,0)*0.475*44/12</f>
        <v>1.2433365286146771</v>
      </c>
      <c r="AB30" s="23">
        <f>EXP(-LN(2)/2)*AB29+(1-EXP(-LN(2)/2))/(LN(2)/2)*V30*Y30*VLOOKUP('Données projet'!$B$9,Paramètres!$A$1:$I$89,3,0)*0.475*44/12</f>
        <v>7.1754793917831599</v>
      </c>
      <c r="AC30" s="24">
        <f t="shared" si="3"/>
        <v>10.975358765268719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12.833333333333334</v>
      </c>
      <c r="N31" s="14">
        <f>IF('Données projet'!$A$36&gt;35,N30+M31-V30,IF(A31&lt;'Données projet'!$A$36,$K$205^A31,IF(A31='Données projet'!$A$36,'Données projet'!$B$36,N30+M31-V30)))</f>
        <v>179.33333333333337</v>
      </c>
      <c r="O31" s="14">
        <f>N31*VLOOKUP('Données projet'!$B$9,Paramètres!$A$1:$I$89,3,0)*VLOOKUP('Données projet'!$B$9,Paramètres!$A$1:$I$89,5,0)</f>
        <v>107.24133333333336</v>
      </c>
      <c r="P31" s="14">
        <f t="shared" si="33"/>
        <v>28.680063538962813</v>
      </c>
      <c r="Q31" s="22">
        <f t="shared" si="2"/>
        <v>236.72976621924911</v>
      </c>
      <c r="R31" s="62">
        <f t="shared" si="0"/>
        <v>530.06309955258246</v>
      </c>
      <c r="S31" s="62">
        <f ca="1">AVERAGE(OFFSET($R$3,0,0,'Données projet'!$E$9+1,1))-AVERAGE(OFFSET($H$3,0,0,'Données projet'!$E$9+1,1))</f>
        <v>147.86588596077661</v>
      </c>
      <c r="T31" s="62">
        <f t="shared" si="34"/>
        <v>228.19398518024298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2.5064105990201271</v>
      </c>
      <c r="AA31" s="23">
        <f>EXP(-LN(2)/25)*AA30+(1-EXP(-LN(2)/25))/(LN(2)/25)*Calculateur!V31*Calculateur!X31*VLOOKUP('Données projet'!$B$9,Paramètres!$A$1:$I$89,3,0)*0.475*44/12</f>
        <v>1.2093374258554825</v>
      </c>
      <c r="AB31" s="23">
        <f>EXP(-LN(2)/2)*AB30+(1-EXP(-LN(2)/2))/(LN(2)/2)*V31*Y31*VLOOKUP('Données projet'!$B$9,Paramètres!$A$1:$I$89,3,0)*0.475*44/12</f>
        <v>5.0738301361941964</v>
      </c>
      <c r="AC31" s="24">
        <f t="shared" si="3"/>
        <v>8.7895781610698052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12.833333333333334</v>
      </c>
      <c r="N32" s="14">
        <f>IF('Données projet'!$A$36&gt;35,N31+M32-V31,IF(A32&lt;'Données projet'!$A$36,$K$205^A32,IF(A32='Données projet'!$A$36,'Données projet'!$B$36,N31+M32-V31)))</f>
        <v>192.16666666666671</v>
      </c>
      <c r="O32" s="14">
        <f>N32*VLOOKUP('Données projet'!$B$9,Paramètres!$A$1:$I$89,3,0)*VLOOKUP('Données projet'!$B$9,Paramètres!$A$1:$I$89,5,0)</f>
        <v>114.9156666666667</v>
      </c>
      <c r="P32" s="14">
        <f t="shared" si="33"/>
        <v>30.486190713157598</v>
      </c>
      <c r="Q32" s="22">
        <f t="shared" si="2"/>
        <v>253.24156826986064</v>
      </c>
      <c r="R32" s="62">
        <f t="shared" si="0"/>
        <v>546.57490160319389</v>
      </c>
      <c r="S32" s="62">
        <f ca="1">AVERAGE(OFFSET($R$3,0,0,'Données projet'!$E$9+1,1))-AVERAGE(OFFSET($H$3,0,0,'Données projet'!$E$9+1,1))</f>
        <v>147.86588596077661</v>
      </c>
      <c r="T32" s="62">
        <f t="shared" si="34"/>
        <v>228.19398518024298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2.4572614159328552</v>
      </c>
      <c r="AA32" s="23">
        <f>EXP(-LN(2)/25)*AA31+(1-EXP(-LN(2)/25))/(LN(2)/25)*Calculateur!V32*Calculateur!X32*VLOOKUP('Données projet'!$B$9,Paramètres!$A$1:$I$89,3,0)*0.475*44/12</f>
        <v>1.176268030349173</v>
      </c>
      <c r="AB32" s="23">
        <f>EXP(-LN(2)/2)*AB31+(1-EXP(-LN(2)/2))/(LN(2)/2)*V32*Y32*VLOOKUP('Données projet'!$B$9,Paramètres!$A$1:$I$89,3,0)*0.475*44/12</f>
        <v>3.5877396958915804</v>
      </c>
      <c r="AC32" s="24">
        <f t="shared" si="3"/>
        <v>7.2212691421736093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205</v>
      </c>
      <c r="L33" s="13">
        <f>VLOOKUP(A33,'Données projet'!$A$35:$I$55,9,0)</f>
        <v>12.833333333333334</v>
      </c>
      <c r="M33" s="13">
        <f t="array" ref="M33">INDEX(L:L,MIN(IF(ISNUMBER(L33:L229),ROW(L33:L229),"")))</f>
        <v>12.833333333333334</v>
      </c>
      <c r="N33" s="14">
        <f>IF('Données projet'!$A$36&gt;35,N32+M33-V32,IF(A33&lt;'Données projet'!$A$36,$K$205^A33,IF(A33='Données projet'!$A$36,'Données projet'!$B$36,N32+M33-V32)))</f>
        <v>205.00000000000006</v>
      </c>
      <c r="O33" s="14">
        <f>N33*VLOOKUP('Données projet'!$B$9,Paramètres!$A$1:$I$89,3,0)*VLOOKUP('Données projet'!$B$9,Paramètres!$A$1:$I$89,5,0)</f>
        <v>122.59000000000003</v>
      </c>
      <c r="P33" s="14">
        <f t="shared" si="33"/>
        <v>32.278321478706822</v>
      </c>
      <c r="Q33" s="22">
        <f t="shared" si="2"/>
        <v>269.72899324208112</v>
      </c>
      <c r="R33" s="62">
        <f t="shared" si="0"/>
        <v>563.06232657541443</v>
      </c>
      <c r="S33" s="62">
        <f ca="1">AVERAGE(OFFSET($R$3,0,0,'Données projet'!$E$9+1,1))-AVERAGE(OFFSET($H$3,0,0,'Données projet'!$E$9+1,1))</f>
        <v>147.86588596077661</v>
      </c>
      <c r="T33" s="62">
        <f t="shared" si="34"/>
        <v>228.19398518024298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47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9.1202717235729533</v>
      </c>
      <c r="AA33" s="23">
        <f>EXP(-LN(2)/25)*AA32+(1-EXP(-LN(2)/25))/(LN(2)/25)*Calculateur!V33*Calculateur!X33*VLOOKUP('Données projet'!$B$9,Paramètres!$A$1:$I$89,3,0)*0.475*44/12</f>
        <v>4.4864885044858056</v>
      </c>
      <c r="AB33" s="23">
        <f>EXP(-LN(2)/2)*AB32+(1-EXP(-LN(2)/2))/(LN(2)/2)*V33*Y33*VLOOKUP('Données projet'!$B$9,Paramètres!$A$1:$I$89,3,0)*0.475*44/12</f>
        <v>15.265923449808641</v>
      </c>
      <c r="AC33" s="24">
        <f t="shared" si="3"/>
        <v>28.8726836778674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</v>
      </c>
      <c r="N34" s="14">
        <f>IF('Données projet'!$A$36&gt;35,N33+M34-V33,IF(A34&lt;'Données projet'!$A$36,$K$205^A34,IF(A34='Données projet'!$A$36,'Données projet'!$B$36,N33+M34-V33)))</f>
        <v>168.70000000000005</v>
      </c>
      <c r="O34" s="14">
        <f>N34*VLOOKUP('Données projet'!$B$9,Paramètres!$A$1:$I$89,3,0)*VLOOKUP('Données projet'!$B$9,Paramètres!$A$1:$I$89,5,0)</f>
        <v>100.88260000000002</v>
      </c>
      <c r="P34" s="14">
        <f t="shared" si="33"/>
        <v>27.172157172029827</v>
      </c>
      <c r="Q34" s="22">
        <f t="shared" si="2"/>
        <v>223.02870207461862</v>
      </c>
      <c r="R34" s="62">
        <f t="shared" si="0"/>
        <v>516.36203540795191</v>
      </c>
      <c r="S34" s="62">
        <f ca="1">AVERAGE(OFFSET($R$3,0,0,'Données projet'!$E$9+1,1))-AVERAGE(OFFSET($H$3,0,0,'Données projet'!$E$9+1,1))</f>
        <v>147.86588596077661</v>
      </c>
      <c r="T34" s="62">
        <f t="shared" si="34"/>
        <v>228.19398518024298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8.9414287578901561</v>
      </c>
      <c r="AA34" s="23">
        <f>EXP(-LN(2)/25)*AA33+(1-EXP(-LN(2)/25))/(LN(2)/25)*Calculateur!V34*Calculateur!X34*VLOOKUP('Données projet'!$B$9,Paramètres!$A$1:$I$89,3,0)*0.475*44/12</f>
        <v>4.3638052403964647</v>
      </c>
      <c r="AB34" s="23">
        <f>EXP(-LN(2)/2)*AB33+(1-EXP(-LN(2)/2))/(LN(2)/2)*V34*Y34*VLOOKUP('Données projet'!$B$9,Paramètres!$A$1:$I$89,3,0)*0.475*44/12</f>
        <v>10.794637992434424</v>
      </c>
      <c r="AC34" s="24">
        <f t="shared" si="3"/>
        <v>24.099871990721045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</v>
      </c>
      <c r="N35" s="14">
        <f>IF('Données projet'!$A$36&gt;35,N34+M35-V34,IF(A35&lt;'Données projet'!$A$36,$K$205^A35,IF(A35='Données projet'!$A$36,'Données projet'!$B$36,N34+M35-V34)))</f>
        <v>179.40000000000003</v>
      </c>
      <c r="O35" s="14">
        <f>N35*VLOOKUP('Données projet'!$B$9,Paramètres!$A$1:$I$89,3,0)*VLOOKUP('Données projet'!$B$9,Paramètres!$A$1:$I$89,5,0)</f>
        <v>107.28120000000003</v>
      </c>
      <c r="P35" s="14">
        <f t="shared" si="33"/>
        <v>28.689484043027395</v>
      </c>
      <c r="Q35" s="22">
        <f t="shared" ref="Q35:Q66" si="53">(O35+P35)*0.475*44/12</f>
        <v>236.81560804160608</v>
      </c>
      <c r="R35" s="62">
        <f t="shared" si="0"/>
        <v>530.14894137493934</v>
      </c>
      <c r="S35" s="62">
        <f ca="1">AVERAGE(OFFSET($R$3,0,0,'Données projet'!$E$9+1,1))-AVERAGE(OFFSET($H$3,0,0,'Données projet'!$E$9+1,1))</f>
        <v>147.86588596077661</v>
      </c>
      <c r="T35" s="62">
        <f t="shared" si="34"/>
        <v>228.19398518024298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8.7660927936809614</v>
      </c>
      <c r="AA35" s="23">
        <f>EXP(-LN(2)/25)*AA34+(1-EXP(-LN(2)/25))/(LN(2)/25)*Calculateur!V35*Calculateur!X35*VLOOKUP('Données projet'!$B$9,Paramètres!$A$1:$I$89,3,0)*0.475*44/12</f>
        <v>4.2444767566152795</v>
      </c>
      <c r="AB35" s="23">
        <f>EXP(-LN(2)/2)*AB34+(1-EXP(-LN(2)/2))/(LN(2)/2)*V35*Y35*VLOOKUP('Données projet'!$B$9,Paramètres!$A$1:$I$89,3,0)*0.475*44/12</f>
        <v>7.6329617249043213</v>
      </c>
      <c r="AC35" s="24">
        <f t="shared" si="3"/>
        <v>20.643531275200562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</v>
      </c>
      <c r="N36" s="14">
        <f>IF('Données projet'!$A$36&gt;35,N35+M36-V35,IF(A36&lt;'Données projet'!$A$36,$K$205^A36,IF(A36='Données projet'!$A$36,'Données projet'!$B$36,N35+M36-V35)))</f>
        <v>190.10000000000002</v>
      </c>
      <c r="O36" s="14">
        <f>N36*VLOOKUP('Données projet'!$B$9,Paramètres!$A$1:$I$89,3,0)*VLOOKUP('Données projet'!$B$9,Paramètres!$A$1:$I$89,5,0)</f>
        <v>113.67980000000001</v>
      </c>
      <c r="P36" s="14">
        <f t="shared" si="33"/>
        <v>30.19630681882758</v>
      </c>
      <c r="Q36" s="22">
        <f t="shared" si="53"/>
        <v>250.58421937612471</v>
      </c>
      <c r="R36" s="62">
        <f t="shared" si="0"/>
        <v>543.91755270945805</v>
      </c>
      <c r="S36" s="62">
        <f ca="1">AVERAGE(OFFSET($R$3,0,0,'Données projet'!$E$9+1,1))-AVERAGE(OFFSET($H$3,0,0,'Données projet'!$E$9+1,1))</f>
        <v>147.86588596077661</v>
      </c>
      <c r="T36" s="62">
        <f t="shared" si="34"/>
        <v>228.19398518024298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8.5941950607855304</v>
      </c>
      <c r="AA36" s="23">
        <f>EXP(-LN(2)/25)*AA35+(1-EXP(-LN(2)/25))/(LN(2)/25)*Calculateur!V36*Calculateur!X36*VLOOKUP('Données projet'!$B$9,Paramètres!$A$1:$I$89,3,0)*0.475*44/12</f>
        <v>4.128411316498303</v>
      </c>
      <c r="AB36" s="23">
        <f>EXP(-LN(2)/2)*AB35+(1-EXP(-LN(2)/2))/(LN(2)/2)*V36*Y36*VLOOKUP('Données projet'!$B$9,Paramètres!$A$1:$I$89,3,0)*0.475*44/12</f>
        <v>5.397318996217213</v>
      </c>
      <c r="AC36" s="24">
        <f t="shared" si="3"/>
        <v>18.119925373501047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</v>
      </c>
      <c r="N37" s="14">
        <f>IF('Données projet'!$A$36&gt;35,N36+M37-V36,IF(A37&lt;'Données projet'!$A$36,$K$205^A37,IF(A37='Données projet'!$A$36,'Données projet'!$B$36,N36+M37-V36)))</f>
        <v>200.8</v>
      </c>
      <c r="O37" s="14">
        <f>N37*VLOOKUP('Données projet'!$B$9,Paramètres!$A$1:$I$89,3,0)*VLOOKUP('Données projet'!$B$9,Paramètres!$A$1:$I$89,5,0)</f>
        <v>120.07840000000002</v>
      </c>
      <c r="P37" s="14">
        <f t="shared" si="33"/>
        <v>31.693284111529564</v>
      </c>
      <c r="Q37" s="22">
        <f t="shared" si="53"/>
        <v>264.33568316091396</v>
      </c>
      <c r="R37" s="62">
        <f t="shared" si="0"/>
        <v>557.66901649424722</v>
      </c>
      <c r="S37" s="62">
        <f ca="1">AVERAGE(OFFSET($R$3,0,0,'Données projet'!$E$9+1,1))-AVERAGE(OFFSET($H$3,0,0,'Données projet'!$E$9+1,1))</f>
        <v>147.86588596077661</v>
      </c>
      <c r="T37" s="62">
        <f t="shared" si="34"/>
        <v>228.19398518024298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8.4256681375849141</v>
      </c>
      <c r="AA37" s="23">
        <f>EXP(-LN(2)/25)*AA36+(1-EXP(-LN(2)/25))/(LN(2)/25)*Calculateur!V37*Calculateur!X37*VLOOKUP('Données projet'!$B$9,Paramètres!$A$1:$I$89,3,0)*0.475*44/12</f>
        <v>4.0155196919449416</v>
      </c>
      <c r="AB37" s="23">
        <f>EXP(-LN(2)/2)*AB36+(1-EXP(-LN(2)/2))/(LN(2)/2)*V37*Y37*VLOOKUP('Données projet'!$B$9,Paramètres!$A$1:$I$89,3,0)*0.475*44/12</f>
        <v>3.8164808624521616</v>
      </c>
      <c r="AC37" s="24">
        <f t="shared" si="3"/>
        <v>16.257668691982019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10.7</v>
      </c>
      <c r="N38" s="14">
        <f>IF('Données projet'!$A$36&gt;35,N37+M38-V37,IF(A38&lt;'Données projet'!$A$36,$K$205^A38,IF(A38='Données projet'!$A$36,'Données projet'!$B$36,N37+M38-V37)))</f>
        <v>211.5</v>
      </c>
      <c r="O38" s="14">
        <f>N38*VLOOKUP('Données projet'!$B$9,Paramètres!$A$1:$I$89,3,0)*VLOOKUP('Données projet'!$B$9,Paramètres!$A$1:$I$89,5,0)</f>
        <v>126.47700000000002</v>
      </c>
      <c r="P38" s="14">
        <f t="shared" si="33"/>
        <v>33.181000378224027</v>
      </c>
      <c r="Q38" s="22">
        <f t="shared" si="53"/>
        <v>278.0710173254069</v>
      </c>
      <c r="R38" s="62">
        <f t="shared" si="0"/>
        <v>571.40435065874021</v>
      </c>
      <c r="S38" s="62">
        <f ca="1">AVERAGE(OFFSET($R$3,0,0,'Données projet'!$E$9+1,1))-AVERAGE(OFFSET($H$3,0,0,'Données projet'!$E$9+1,1))</f>
        <v>147.86588596077661</v>
      </c>
      <c r="T38" s="62">
        <f t="shared" si="34"/>
        <v>228.19398518024298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8.2604459245569881</v>
      </c>
      <c r="AA38" s="23">
        <f>EXP(-LN(2)/25)*AA37+(1-EXP(-LN(2)/25))/(LN(2)/25)*Calculateur!V38*Calculateur!X38*VLOOKUP('Données projet'!$B$9,Paramètres!$A$1:$I$89,3,0)*0.475*44/12</f>
        <v>3.9057150948017041</v>
      </c>
      <c r="AB38" s="23">
        <f>EXP(-LN(2)/2)*AB37+(1-EXP(-LN(2)/2))/(LN(2)/2)*V38*Y38*VLOOKUP('Données projet'!$B$9,Paramètres!$A$1:$I$89,3,0)*0.475*44/12</f>
        <v>2.6986594981086069</v>
      </c>
      <c r="AC38" s="24">
        <f t="shared" si="3"/>
        <v>14.864820517467301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10.7</v>
      </c>
      <c r="N39" s="14">
        <f>IF('Données projet'!$A$36&gt;35,N38+M39-V38,IF(A39&lt;'Données projet'!$A$36,$K$205^A39,IF(A39='Données projet'!$A$36,'Données projet'!$B$36,N38+M39-V38)))</f>
        <v>222.2</v>
      </c>
      <c r="O39" s="14">
        <f>N39*VLOOKUP('Données projet'!$B$9,Paramètres!$A$1:$I$89,3,0)*VLOOKUP('Données projet'!$B$9,Paramètres!$A$1:$I$89,5,0)</f>
        <v>132.87560000000002</v>
      </c>
      <c r="P39" s="14">
        <f t="shared" si="33"/>
        <v>34.659977599024245</v>
      </c>
      <c r="Q39" s="22">
        <f t="shared" si="53"/>
        <v>291.79113098496725</v>
      </c>
      <c r="R39" s="62">
        <f t="shared" si="0"/>
        <v>585.12446431830062</v>
      </c>
      <c r="S39" s="62">
        <f ca="1">AVERAGE(OFFSET($R$3,0,0,'Données projet'!$E$9+1,1))-AVERAGE(OFFSET($H$3,0,0,'Données projet'!$E$9+1,1))</f>
        <v>147.86588596077661</v>
      </c>
      <c r="T39" s="62">
        <f t="shared" si="34"/>
        <v>228.19398518024298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8.0984636183509409</v>
      </c>
      <c r="AA39" s="23">
        <f>EXP(-LN(2)/25)*AA38+(1-EXP(-LN(2)/25))/(LN(2)/25)*Calculateur!V39*Calculateur!X39*VLOOKUP('Données projet'!$B$9,Paramètres!$A$1:$I$89,3,0)*0.475*44/12</f>
        <v>3.7989131101417213</v>
      </c>
      <c r="AB39" s="23">
        <f>EXP(-LN(2)/2)*AB38+(1-EXP(-LN(2)/2))/(LN(2)/2)*V39*Y39*VLOOKUP('Données projet'!$B$9,Paramètres!$A$1:$I$89,3,0)*0.475*44/12</f>
        <v>1.908240431226081</v>
      </c>
      <c r="AC39" s="24">
        <f t="shared" si="3"/>
        <v>13.805617159718745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10.7</v>
      </c>
      <c r="N40" s="14">
        <f>IF('Données projet'!$A$36&gt;35,N39+M40-V39,IF(A40&lt;'Données projet'!$A$36,$K$205^A40,IF(A40='Données projet'!$A$36,'Données projet'!$B$36,N39+M40-V39)))</f>
        <v>232.89999999999998</v>
      </c>
      <c r="O40" s="14">
        <f>N40*VLOOKUP('Données projet'!$B$9,Paramètres!$A$1:$I$89,3,0)*VLOOKUP('Données projet'!$B$9,Paramètres!$A$1:$I$89,5,0)</f>
        <v>139.27420000000001</v>
      </c>
      <c r="P40" s="14">
        <f t="shared" si="33"/>
        <v>36.130684641909269</v>
      </c>
      <c r="Q40" s="22">
        <f t="shared" si="53"/>
        <v>305.49684075132535</v>
      </c>
      <c r="R40" s="62">
        <f t="shared" si="0"/>
        <v>598.83017408465867</v>
      </c>
      <c r="S40" s="62">
        <f ca="1">AVERAGE(OFFSET($R$3,0,0,'Données projet'!$E$9+1,1))-AVERAGE(OFFSET($H$3,0,0,'Données projet'!$E$9+1,1))</f>
        <v>147.86588596077661</v>
      </c>
      <c r="T40" s="62">
        <f t="shared" si="34"/>
        <v>228.19398518024298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7.9396576863701434</v>
      </c>
      <c r="AA40" s="23">
        <f>EXP(-LN(2)/25)*AA39+(1-EXP(-LN(2)/25))/(LN(2)/25)*Calculateur!V40*Calculateur!X40*VLOOKUP('Données projet'!$B$9,Paramètres!$A$1:$I$89,3,0)*0.475*44/12</f>
        <v>3.6950316313687379</v>
      </c>
      <c r="AB40" s="23">
        <f>EXP(-LN(2)/2)*AB39+(1-EXP(-LN(2)/2))/(LN(2)/2)*V40*Y40*VLOOKUP('Données projet'!$B$9,Paramètres!$A$1:$I$89,3,0)*0.475*44/12</f>
        <v>1.3493297490543037</v>
      </c>
      <c r="AC40" s="24">
        <f t="shared" si="3"/>
        <v>12.984019066793186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10.7</v>
      </c>
      <c r="N41" s="14">
        <f>IF('Données projet'!$A$36&gt;35,N40+M41-V40,IF(A41&lt;'Données projet'!$A$36,$K$205^A41,IF(A41='Données projet'!$A$36,'Données projet'!$B$36,N40+M41-V40)))</f>
        <v>243.59999999999997</v>
      </c>
      <c r="O41" s="14">
        <f>N41*VLOOKUP('Données projet'!$B$9,Paramètres!$A$1:$I$89,3,0)*VLOOKUP('Données projet'!$B$9,Paramètres!$A$1:$I$89,5,0)</f>
        <v>145.6728</v>
      </c>
      <c r="P41" s="14">
        <f t="shared" si="33"/>
        <v>37.593544857919731</v>
      </c>
      <c r="Q41" s="22">
        <f t="shared" si="53"/>
        <v>319.18888396087686</v>
      </c>
      <c r="R41" s="62">
        <f t="shared" si="0"/>
        <v>612.52221729421012</v>
      </c>
      <c r="S41" s="62">
        <f ca="1">AVERAGE(OFFSET($R$3,0,0,'Données projet'!$E$9+1,1))-AVERAGE(OFFSET($H$3,0,0,'Données projet'!$E$9+1,1))</f>
        <v>147.86588596077661</v>
      </c>
      <c r="T41" s="62">
        <f t="shared" si="34"/>
        <v>228.19398518024298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7.7839658418534352</v>
      </c>
      <c r="AA41" s="23">
        <f>EXP(-LN(2)/25)*AA40+(1-EXP(-LN(2)/25))/(LN(2)/25)*Calculateur!V41*Calculateur!X41*VLOOKUP('Données projet'!$B$9,Paramètres!$A$1:$I$89,3,0)*0.475*44/12</f>
        <v>3.5939907970956915</v>
      </c>
      <c r="AB41" s="23">
        <f>EXP(-LN(2)/2)*AB40+(1-EXP(-LN(2)/2))/(LN(2)/2)*V41*Y41*VLOOKUP('Données projet'!$B$9,Paramètres!$A$1:$I$89,3,0)*0.475*44/12</f>
        <v>0.95412021561304072</v>
      </c>
      <c r="AC41" s="24">
        <f t="shared" si="3"/>
        <v>12.332076854562166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10.7</v>
      </c>
      <c r="N42" s="14">
        <f>IF('Données projet'!$A$36&gt;35,N41+M42-V41,IF(A42&lt;'Données projet'!$A$36,$K$205^A42,IF(A42='Données projet'!$A$36,'Données projet'!$B$36,N41+M42-V41)))</f>
        <v>254.29999999999995</v>
      </c>
      <c r="O42" s="14">
        <f>N42*VLOOKUP('Données projet'!$B$9,Paramètres!$A$1:$I$89,3,0)*VLOOKUP('Données projet'!$B$9,Paramètres!$A$1:$I$89,5,0)</f>
        <v>152.07139999999998</v>
      </c>
      <c r="P42" s="14">
        <f t="shared" si="33"/>
        <v>39.048942304224767</v>
      </c>
      <c r="Q42" s="22">
        <f t="shared" si="53"/>
        <v>332.86792951319143</v>
      </c>
      <c r="R42" s="62">
        <f t="shared" si="0"/>
        <v>626.20126284652474</v>
      </c>
      <c r="S42" s="62">
        <f ca="1">AVERAGE(OFFSET($R$3,0,0,'Données projet'!$E$9+1,1))-AVERAGE(OFFSET($H$3,0,0,'Données projet'!$E$9+1,1))</f>
        <v>147.86588596077661</v>
      </c>
      <c r="T42" s="62">
        <f t="shared" si="34"/>
        <v>228.19398518024298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7.6313270194450515</v>
      </c>
      <c r="AA42" s="23">
        <f>EXP(-LN(2)/25)*AA41+(1-EXP(-LN(2)/25))/(LN(2)/25)*Calculateur!V42*Calculateur!X42*VLOOKUP('Données projet'!$B$9,Paramètres!$A$1:$I$89,3,0)*0.475*44/12</f>
        <v>3.4957129297493479</v>
      </c>
      <c r="AB42" s="23">
        <f>EXP(-LN(2)/2)*AB41+(1-EXP(-LN(2)/2))/(LN(2)/2)*V42*Y42*VLOOKUP('Données projet'!$B$9,Paramètres!$A$1:$I$89,3,0)*0.475*44/12</f>
        <v>0.67466487452715196</v>
      </c>
      <c r="AC42" s="24">
        <f t="shared" si="3"/>
        <v>11.80170482372155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265</v>
      </c>
      <c r="L43" s="13">
        <f>VLOOKUP(A43,'Données projet'!$A$35:$I$55,9,0)</f>
        <v>10.7</v>
      </c>
      <c r="M43" s="13">
        <f t="array" ref="M43">INDEX(L:L,MIN(IF(ISNUMBER(L43:L239),ROW(L43:L239),"")))</f>
        <v>10.7</v>
      </c>
      <c r="N43" s="14">
        <f>IF('Données projet'!$A$36&gt;35,N42+M43-V42,IF(A43&lt;'Données projet'!$A$36,$K$205^A43,IF(A43='Données projet'!$A$36,'Données projet'!$B$36,N42+M43-V42)))</f>
        <v>264.99999999999994</v>
      </c>
      <c r="O43" s="14">
        <f>N43*VLOOKUP('Données projet'!$B$9,Paramètres!$A$1:$I$89,3,0)*VLOOKUP('Données projet'!$B$9,Paramètres!$A$1:$I$89,5,0)</f>
        <v>158.46999999999997</v>
      </c>
      <c r="P43" s="14">
        <f t="shared" si="33"/>
        <v>40.497226890293632</v>
      </c>
      <c r="Q43" s="22">
        <f t="shared" si="53"/>
        <v>346.53458683392802</v>
      </c>
      <c r="R43" s="62">
        <f t="shared" si="0"/>
        <v>639.86792016726133</v>
      </c>
      <c r="S43" s="62">
        <f ca="1">AVERAGE(OFFSET($R$3,0,0,'Données projet'!$E$9+1,1))-AVERAGE(OFFSET($H$3,0,0,'Données projet'!$E$9+1,1))</f>
        <v>147.86588596077661</v>
      </c>
      <c r="T43" s="62">
        <f t="shared" si="34"/>
        <v>228.19398518024298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7.4816813512436076</v>
      </c>
      <c r="AA43" s="23">
        <f>EXP(-LN(2)/25)*AA42+(1-EXP(-LN(2)/25))/(LN(2)/25)*Calculateur!V43*Calculateur!X43*VLOOKUP('Données projet'!$B$9,Paramètres!$A$1:$I$89,3,0)*0.475*44/12</f>
        <v>3.4001224758537987</v>
      </c>
      <c r="AB43" s="23">
        <f>EXP(-LN(2)/2)*AB42+(1-EXP(-LN(2)/2))/(LN(2)/2)*V43*Y43*VLOOKUP('Données projet'!$B$9,Paramètres!$A$1:$I$89,3,0)*0.475*44/12</f>
        <v>0.47706010780652042</v>
      </c>
      <c r="AC43" s="24">
        <f t="shared" si="3"/>
        <v>11.358863934903928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7.9</v>
      </c>
      <c r="N44" s="14">
        <f>IF('Données projet'!$A$36&gt;35,N43+M44-V43,IF(A44&lt;'Données projet'!$A$36,$K$205^A44,IF(A44='Données projet'!$A$36,'Données projet'!$B$36,N43+M44-V43)))</f>
        <v>222.89999999999992</v>
      </c>
      <c r="O44" s="14">
        <f>N44*VLOOKUP('Données projet'!$B$9,Paramètres!$A$1:$I$89,3,0)*VLOOKUP('Données projet'!$B$9,Paramètres!$A$1:$I$89,5,0)</f>
        <v>133.29419999999996</v>
      </c>
      <c r="P44" s="14">
        <f t="shared" si="33"/>
        <v>34.756440080318377</v>
      </c>
      <c r="Q44" s="22">
        <f t="shared" si="53"/>
        <v>292.68819813988773</v>
      </c>
      <c r="R44" s="62">
        <f t="shared" si="0"/>
        <v>586.0215314732211</v>
      </c>
      <c r="S44" s="62">
        <f ca="1">AVERAGE(OFFSET($R$3,0,0,'Données projet'!$E$9+1,1))-AVERAGE(OFFSET($H$3,0,0,'Données projet'!$E$9+1,1))</f>
        <v>147.86588596077661</v>
      </c>
      <c r="T44" s="62">
        <f t="shared" si="34"/>
        <v>228.19398518024298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7.3349701433207493</v>
      </c>
      <c r="AA44" s="23">
        <f>EXP(-LN(2)/25)*AA43+(1-EXP(-LN(2)/25))/(LN(2)/25)*Calculateur!V44*Calculateur!X44*VLOOKUP('Données projet'!$B$9,Paramètres!$A$1:$I$89,3,0)*0.475*44/12</f>
        <v>3.3071459479469065</v>
      </c>
      <c r="AB44" s="23">
        <f>EXP(-LN(2)/2)*AB43+(1-EXP(-LN(2)/2))/(LN(2)/2)*V44*Y44*VLOOKUP('Données projet'!$B$9,Paramètres!$A$1:$I$89,3,0)*0.475*44/12</f>
        <v>0.33733243726357603</v>
      </c>
      <c r="AC44" s="24">
        <f t="shared" si="3"/>
        <v>10.979448528531233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7.9</v>
      </c>
      <c r="N45" s="14">
        <f>IF('Données projet'!$A$36&gt;35,N44+M45-V44,IF(A45&lt;'Données projet'!$A$36,$K$205^A45,IF(A45='Données projet'!$A$36,'Données projet'!$B$36,N44+M45-V44)))</f>
        <v>230.79999999999993</v>
      </c>
      <c r="O45" s="14">
        <f>N45*VLOOKUP('Données projet'!$B$9,Paramètres!$A$1:$I$89,3,0)*VLOOKUP('Données projet'!$B$9,Paramètres!$A$1:$I$89,5,0)</f>
        <v>138.01839999999996</v>
      </c>
      <c r="P45" s="14">
        <f t="shared" si="33"/>
        <v>35.84267281669451</v>
      </c>
      <c r="Q45" s="22">
        <f t="shared" si="53"/>
        <v>302.80803515574286</v>
      </c>
      <c r="R45" s="62">
        <f t="shared" si="0"/>
        <v>596.14136848907617</v>
      </c>
      <c r="S45" s="62">
        <f ca="1">AVERAGE(OFFSET($R$3,0,0,'Données projet'!$E$9+1,1))-AVERAGE(OFFSET($H$3,0,0,'Données projet'!$E$9+1,1))</f>
        <v>147.86588596077661</v>
      </c>
      <c r="T45" s="62">
        <f t="shared" si="34"/>
        <v>228.19398518024298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7.1911358527002571</v>
      </c>
      <c r="AA45" s="23">
        <f>EXP(-LN(2)/25)*AA44+(1-EXP(-LN(2)/25))/(LN(2)/25)*Calculateur!V45*Calculateur!X45*VLOOKUP('Données projet'!$B$9,Paramètres!$A$1:$I$89,3,0)*0.475*44/12</f>
        <v>3.2167118680850515</v>
      </c>
      <c r="AB45" s="23">
        <f>EXP(-LN(2)/2)*AB44+(1-EXP(-LN(2)/2))/(LN(2)/2)*V45*Y45*VLOOKUP('Données projet'!$B$9,Paramètres!$A$1:$I$89,3,0)*0.475*44/12</f>
        <v>0.23853005390326024</v>
      </c>
      <c r="AC45" s="24">
        <f t="shared" si="3"/>
        <v>10.646377774688569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7.9</v>
      </c>
      <c r="N46" s="14">
        <f>IF('Données projet'!$A$36&gt;35,N45+M46-V45,IF(A46&lt;'Données projet'!$A$36,$K$205^A46,IF(A46='Données projet'!$A$36,'Données projet'!$B$36,N45+M46-V45)))</f>
        <v>238.69999999999993</v>
      </c>
      <c r="O46" s="14">
        <f>N46*VLOOKUP('Données projet'!$B$9,Paramètres!$A$1:$I$89,3,0)*VLOOKUP('Données projet'!$B$9,Paramètres!$A$1:$I$89,5,0)</f>
        <v>142.74259999999998</v>
      </c>
      <c r="P46" s="14">
        <f t="shared" si="33"/>
        <v>36.924585472239464</v>
      </c>
      <c r="Q46" s="22">
        <f t="shared" si="53"/>
        <v>312.92034803081702</v>
      </c>
      <c r="R46" s="62">
        <f t="shared" si="0"/>
        <v>606.25368136415034</v>
      </c>
      <c r="S46" s="62">
        <f ca="1">AVERAGE(OFFSET($R$3,0,0,'Données projet'!$E$9+1,1))-AVERAGE(OFFSET($H$3,0,0,'Données projet'!$E$9+1,1))</f>
        <v>147.86588596077661</v>
      </c>
      <c r="T46" s="62">
        <f t="shared" si="34"/>
        <v>228.19398518024298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7.0501220647885781</v>
      </c>
      <c r="AA46" s="23">
        <f>EXP(-LN(2)/25)*AA45+(1-EXP(-LN(2)/25))/(LN(2)/25)*Calculateur!V46*Calculateur!X46*VLOOKUP('Données projet'!$B$9,Paramètres!$A$1:$I$89,3,0)*0.475*44/12</f>
        <v>3.1287507128927405</v>
      </c>
      <c r="AB46" s="23">
        <f>EXP(-LN(2)/2)*AB45+(1-EXP(-LN(2)/2))/(LN(2)/2)*V46*Y46*VLOOKUP('Données projet'!$B$9,Paramètres!$A$1:$I$89,3,0)*0.475*44/12</f>
        <v>0.16866621863178805</v>
      </c>
      <c r="AC46" s="24">
        <f t="shared" si="3"/>
        <v>10.347538996313107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7.9</v>
      </c>
      <c r="N47" s="14">
        <f>IF('Données projet'!$A$36&gt;35,N46+M47-V46,IF(A47&lt;'Données projet'!$A$36,$K$205^A47,IF(A47='Données projet'!$A$36,'Données projet'!$B$36,N46+M47-V46)))</f>
        <v>246.59999999999994</v>
      </c>
      <c r="O47" s="14">
        <f>N47*VLOOKUP('Données projet'!$B$9,Paramètres!$A$1:$I$89,3,0)*VLOOKUP('Données projet'!$B$9,Paramètres!$A$1:$I$89,5,0)</f>
        <v>147.46679999999998</v>
      </c>
      <c r="P47" s="14">
        <f t="shared" si="33"/>
        <v>38.002337418636273</v>
      </c>
      <c r="Q47" s="22">
        <f t="shared" si="53"/>
        <v>323.02541433745813</v>
      </c>
      <c r="R47" s="62">
        <f t="shared" si="0"/>
        <v>616.35874767079144</v>
      </c>
      <c r="S47" s="62">
        <f ca="1">AVERAGE(OFFSET($R$3,0,0,'Données projet'!$E$9+1,1))-AVERAGE(OFFSET($H$3,0,0,'Données projet'!$E$9+1,1))</f>
        <v>147.86588596077661</v>
      </c>
      <c r="T47" s="62">
        <f t="shared" si="34"/>
        <v>228.19398518024298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6.9118734712479286</v>
      </c>
      <c r="AA47" s="23">
        <f>EXP(-LN(2)/25)*AA46+(1-EXP(-LN(2)/25))/(LN(2)/25)*Calculateur!V47*Calculateur!X47*VLOOKUP('Données projet'!$B$9,Paramètres!$A$1:$I$89,3,0)*0.475*44/12</f>
        <v>3.0431948601148395</v>
      </c>
      <c r="AB47" s="23">
        <f>EXP(-LN(2)/2)*AB46+(1-EXP(-LN(2)/2))/(LN(2)/2)*V47*Y47*VLOOKUP('Données projet'!$B$9,Paramètres!$A$1:$I$89,3,0)*0.475*44/12</f>
        <v>0.11926502695163015</v>
      </c>
      <c r="AC47" s="24">
        <f t="shared" si="3"/>
        <v>10.074333358314398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7.9</v>
      </c>
      <c r="N48" s="14">
        <f>IF('Données projet'!$A$36&gt;35,N47+M48-V47,IF(A48&lt;'Données projet'!$A$36,$K$205^A48,IF(A48='Données projet'!$A$36,'Données projet'!$B$36,N47+M48-V47)))</f>
        <v>254.49999999999994</v>
      </c>
      <c r="O48" s="14">
        <f>N48*VLOOKUP('Données projet'!$B$9,Paramètres!$A$1:$I$89,3,0)*VLOOKUP('Données projet'!$B$9,Paramètres!$A$1:$I$89,5,0)</f>
        <v>152.19099999999997</v>
      </c>
      <c r="P48" s="14">
        <f t="shared" si="33"/>
        <v>39.07607723663272</v>
      </c>
      <c r="Q48" s="22">
        <f t="shared" si="53"/>
        <v>333.12349285380191</v>
      </c>
      <c r="R48" s="62">
        <f t="shared" si="0"/>
        <v>626.45682618713522</v>
      </c>
      <c r="S48" s="62">
        <f ca="1">AVERAGE(OFFSET($R$3,0,0,'Données projet'!$E$9+1,1))-AVERAGE(OFFSET($H$3,0,0,'Données projet'!$E$9+1,1))</f>
        <v>147.86588596077661</v>
      </c>
      <c r="T48" s="62">
        <f t="shared" si="34"/>
        <v>228.19398518024298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6.7763358483032956</v>
      </c>
      <c r="AA48" s="23">
        <f>EXP(-LN(2)/25)*AA47+(1-EXP(-LN(2)/25))/(LN(2)/25)*Calculateur!V48*Calculateur!X48*VLOOKUP('Données projet'!$B$9,Paramètres!$A$1:$I$89,3,0)*0.475*44/12</f>
        <v>2.9599785366303371</v>
      </c>
      <c r="AB48" s="23">
        <f>EXP(-LN(2)/2)*AB47+(1-EXP(-LN(2)/2))/(LN(2)/2)*V48*Y48*VLOOKUP('Données projet'!$B$9,Paramètres!$A$1:$I$89,3,0)*0.475*44/12</f>
        <v>8.4333109315894036E-2</v>
      </c>
      <c r="AC48" s="24">
        <f t="shared" si="3"/>
        <v>9.8206474942495259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7.9</v>
      </c>
      <c r="N49" s="14">
        <f>IF('Données projet'!$A$36&gt;35,N48+M49-V48,IF(A49&lt;'Données projet'!$A$36,$K$205^A49,IF(A49='Données projet'!$A$36,'Données projet'!$B$36,N48+M49-V48)))</f>
        <v>262.39999999999992</v>
      </c>
      <c r="O49" s="14">
        <f>N49*VLOOKUP('Données projet'!$B$9,Paramètres!$A$1:$I$89,3,0)*VLOOKUP('Données projet'!$B$9,Paramètres!$A$1:$I$89,5,0)</f>
        <v>156.91519999999997</v>
      </c>
      <c r="P49" s="14">
        <f t="shared" si="33"/>
        <v>40.145943758721963</v>
      </c>
      <c r="Q49" s="22">
        <f t="shared" si="53"/>
        <v>343.21482537977403</v>
      </c>
      <c r="R49" s="62">
        <f t="shared" si="0"/>
        <v>636.54815871310734</v>
      </c>
      <c r="S49" s="62">
        <f ca="1">AVERAGE(OFFSET($R$3,0,0,'Données projet'!$E$9+1,1))-AVERAGE(OFFSET($H$3,0,0,'Données projet'!$E$9+1,1))</f>
        <v>147.86588596077661</v>
      </c>
      <c r="T49" s="62">
        <f t="shared" si="34"/>
        <v>228.19398518024298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6.64345603547482</v>
      </c>
      <c r="AA49" s="23">
        <f>EXP(-LN(2)/25)*AA48+(1-EXP(-LN(2)/25))/(LN(2)/25)*Calculateur!V49*Calculateur!X49*VLOOKUP('Données projet'!$B$9,Paramètres!$A$1:$I$89,3,0)*0.475*44/12</f>
        <v>2.8790377678876742</v>
      </c>
      <c r="AB49" s="23">
        <f>EXP(-LN(2)/2)*AB48+(1-EXP(-LN(2)/2))/(LN(2)/2)*V49*Y49*VLOOKUP('Données projet'!$B$9,Paramètres!$A$1:$I$89,3,0)*0.475*44/12</f>
        <v>5.963251347581508E-2</v>
      </c>
      <c r="AC49" s="24">
        <f t="shared" si="3"/>
        <v>9.5821263168383091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7.9</v>
      </c>
      <c r="N50" s="14">
        <f>IF('Données projet'!$A$36&gt;35,N49+M50-V49,IF(A50&lt;'Données projet'!$A$36,$K$205^A50,IF(A50='Données projet'!$A$36,'Données projet'!$B$36,N49+M50-V49)))</f>
        <v>270.2999999999999</v>
      </c>
      <c r="O50" s="14">
        <f>N50*VLOOKUP('Données projet'!$B$9,Paramètres!$A$1:$I$89,3,0)*VLOOKUP('Données projet'!$B$9,Paramètres!$A$1:$I$89,5,0)</f>
        <v>161.63939999999997</v>
      </c>
      <c r="P50" s="14">
        <f t="shared" si="33"/>
        <v>41.212066982728679</v>
      </c>
      <c r="Q50" s="22">
        <f t="shared" si="53"/>
        <v>353.29963832825234</v>
      </c>
      <c r="R50" s="62">
        <f t="shared" si="0"/>
        <v>646.63297166158566</v>
      </c>
      <c r="S50" s="62">
        <f ca="1">AVERAGE(OFFSET($R$3,0,0,'Données projet'!$E$9+1,1))-AVERAGE(OFFSET($H$3,0,0,'Données projet'!$E$9+1,1))</f>
        <v>147.86588596077661</v>
      </c>
      <c r="T50" s="62">
        <f t="shared" si="34"/>
        <v>228.19398518024298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6.5131819147272276</v>
      </c>
      <c r="AA50" s="23">
        <f>EXP(-LN(2)/25)*AA49+(1-EXP(-LN(2)/25))/(LN(2)/25)*Calculateur!V50*Calculateur!X50*VLOOKUP('Données projet'!$B$9,Paramètres!$A$1:$I$89,3,0)*0.475*44/12</f>
        <v>2.8003103287227695</v>
      </c>
      <c r="AB50" s="23">
        <f>EXP(-LN(2)/2)*AB49+(1-EXP(-LN(2)/2))/(LN(2)/2)*V50*Y50*VLOOKUP('Données projet'!$B$9,Paramètres!$A$1:$I$89,3,0)*0.475*44/12</f>
        <v>4.2166554657947025E-2</v>
      </c>
      <c r="AC50" s="24">
        <f t="shared" si="3"/>
        <v>9.3556587981079424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7.9</v>
      </c>
      <c r="N51" s="14">
        <f>IF('Données projet'!$A$36&gt;35,N50+M51-V50,IF(A51&lt;'Données projet'!$A$36,$K$205^A51,IF(A51='Données projet'!$A$36,'Données projet'!$B$36,N50+M51-V50)))</f>
        <v>278.19999999999987</v>
      </c>
      <c r="O51" s="14">
        <f>N51*VLOOKUP('Données projet'!$B$9,Paramètres!$A$1:$I$89,3,0)*VLOOKUP('Données projet'!$B$9,Paramètres!$A$1:$I$89,5,0)</f>
        <v>166.36359999999993</v>
      </c>
      <c r="P51" s="14">
        <f t="shared" si="33"/>
        <v>42.274568875588898</v>
      </c>
      <c r="Q51" s="22">
        <f t="shared" si="53"/>
        <v>363.37814412498386</v>
      </c>
      <c r="R51" s="62">
        <f t="shared" si="0"/>
        <v>656.71147745831718</v>
      </c>
      <c r="S51" s="62">
        <f ca="1">AVERAGE(OFFSET($R$3,0,0,'Données projet'!$E$9+1,1))-AVERAGE(OFFSET($H$3,0,0,'Données projet'!$E$9+1,1))</f>
        <v>147.86588596077661</v>
      </c>
      <c r="T51" s="62">
        <f t="shared" si="34"/>
        <v>228.19398518024298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6.3854623900281284</v>
      </c>
      <c r="AA51" s="23">
        <f>EXP(-LN(2)/25)*AA50+(1-EXP(-LN(2)/25))/(LN(2)/25)*Calculateur!V51*Calculateur!X51*VLOOKUP('Données projet'!$B$9,Paramètres!$A$1:$I$89,3,0)*0.475*44/12</f>
        <v>2.7237356955219254</v>
      </c>
      <c r="AB51" s="23">
        <f>EXP(-LN(2)/2)*AB50+(1-EXP(-LN(2)/2))/(LN(2)/2)*V51*Y51*VLOOKUP('Données projet'!$B$9,Paramètres!$A$1:$I$89,3,0)*0.475*44/12</f>
        <v>2.9816256737907547E-2</v>
      </c>
      <c r="AC51" s="24">
        <f t="shared" si="3"/>
        <v>9.1390143422879611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7.9</v>
      </c>
      <c r="N52" s="14">
        <f>IF('Données projet'!$A$36&gt;35,N51+M52-V51,IF(A52&lt;'Données projet'!$A$36,$K$205^A52,IF(A52='Données projet'!$A$36,'Données projet'!$B$36,N51+M52-V51)))</f>
        <v>286.09999999999985</v>
      </c>
      <c r="O52" s="14">
        <f>N52*VLOOKUP('Données projet'!$B$9,Paramètres!$A$1:$I$89,3,0)*VLOOKUP('Données projet'!$B$9,Paramètres!$A$1:$I$89,5,0)</f>
        <v>171.08779999999993</v>
      </c>
      <c r="P52" s="14">
        <f t="shared" si="33"/>
        <v>43.333564083264214</v>
      </c>
      <c r="Q52" s="22">
        <f t="shared" si="53"/>
        <v>373.45054244501836</v>
      </c>
      <c r="R52" s="62">
        <f t="shared" si="0"/>
        <v>666.78387577835167</v>
      </c>
      <c r="S52" s="62">
        <f ca="1">AVERAGE(OFFSET($R$3,0,0,'Données projet'!$E$9+1,1))-AVERAGE(OFFSET($H$3,0,0,'Données projet'!$E$9+1,1))</f>
        <v>147.86588596077661</v>
      </c>
      <c r="T52" s="62">
        <f t="shared" si="34"/>
        <v>228.19398518024298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6.2602473673071604</v>
      </c>
      <c r="AA52" s="23">
        <f>EXP(-LN(2)/25)*AA51+(1-EXP(-LN(2)/25))/(LN(2)/25)*Calculateur!V52*Calculateur!X52*VLOOKUP('Données projet'!$B$9,Paramètres!$A$1:$I$89,3,0)*0.475*44/12</f>
        <v>2.6492549996928432</v>
      </c>
      <c r="AB52" s="23">
        <f>EXP(-LN(2)/2)*AB51+(1-EXP(-LN(2)/2))/(LN(2)/2)*V52*Y52*VLOOKUP('Données projet'!$B$9,Paramètres!$A$1:$I$89,3,0)*0.475*44/12</f>
        <v>2.1083277328973516E-2</v>
      </c>
      <c r="AC52" s="24">
        <f t="shared" si="3"/>
        <v>8.9305856443289766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294</v>
      </c>
      <c r="L53" s="13">
        <f>VLOOKUP(A53,'Données projet'!$A$35:$I$55,9,0)</f>
        <v>7.9</v>
      </c>
      <c r="M53" s="13">
        <f t="array" ref="M53">INDEX(L:L,MIN(IF(ISNUMBER(L53:L249),ROW(L53:L249),"")))</f>
        <v>7.9</v>
      </c>
      <c r="N53" s="14">
        <f>IF('Données projet'!$A$36&gt;35,N52+M53-V52,IF(A53&lt;'Données projet'!$A$36,$K$205^A53,IF(A53='Données projet'!$A$36,'Données projet'!$B$36,N52+M53-V52)))</f>
        <v>293.99999999999983</v>
      </c>
      <c r="O53" s="14">
        <f>N53*VLOOKUP('Données projet'!$B$9,Paramètres!$A$1:$I$89,3,0)*VLOOKUP('Données projet'!$B$9,Paramètres!$A$1:$I$89,5,0)</f>
        <v>175.8119999999999</v>
      </c>
      <c r="P53" s="14">
        <f t="shared" si="33"/>
        <v>44.389160560041141</v>
      </c>
      <c r="Q53" s="22">
        <f t="shared" si="53"/>
        <v>383.51702130873815</v>
      </c>
      <c r="R53" s="62">
        <f t="shared" si="0"/>
        <v>676.85035464207147</v>
      </c>
      <c r="S53" s="62">
        <f ca="1">AVERAGE(OFFSET($R$3,0,0,'Données projet'!$E$9+1,1))-AVERAGE(OFFSET($H$3,0,0,'Données projet'!$E$9+1,1))</f>
        <v>147.86588596077661</v>
      </c>
      <c r="T53" s="62">
        <f t="shared" si="34"/>
        <v>228.19398518024298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294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6.1374877348081283</v>
      </c>
      <c r="AA53" s="23">
        <f>EXP(-LN(2)/25)*AA52+(1-EXP(-LN(2)/25))/(LN(2)/25)*Calculateur!V53*Calculateur!X53*VLOOKUP('Données projet'!$B$9,Paramètres!$A$1:$I$89,3,0)*0.475*44/12</f>
        <v>2.5768109824079768</v>
      </c>
      <c r="AB53" s="23">
        <f>EXP(-LN(2)/2)*AB52+(1-EXP(-LN(2)/2))/(LN(2)/2)*V53*Y53*VLOOKUP('Données projet'!$B$9,Paramètres!$A$1:$I$89,3,0)*0.475*44/12</f>
        <v>1.4908128368953775E-2</v>
      </c>
      <c r="AC53" s="24">
        <f t="shared" si="3"/>
        <v>8.7292068455850576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-1.7053025658242404E-13</v>
      </c>
      <c r="O54" s="14">
        <f>N54*VLOOKUP('Données projet'!$B$9,Paramètres!$A$1:$I$89,3,0)*VLOOKUP('Données projet'!$B$9,Paramètres!$A$1:$I$89,5,0)</f>
        <v>-1.0197709343628959E-13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147.86588596077661</v>
      </c>
      <c r="T54" s="62">
        <f t="shared" si="34"/>
        <v>228.19398518024298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6.0171353438264195</v>
      </c>
      <c r="AA54" s="23">
        <f>EXP(-LN(2)/25)*AA53+(1-EXP(-LN(2)/25))/(LN(2)/25)*Calculateur!V54*Calculateur!X54*VLOOKUP('Données projet'!$B$9,Paramètres!$A$1:$I$89,3,0)*0.475*44/12</f>
        <v>2.5063479505854307</v>
      </c>
      <c r="AB54" s="23">
        <f>EXP(-LN(2)/2)*AB53+(1-EXP(-LN(2)/2))/(LN(2)/2)*V54*Y54*VLOOKUP('Données projet'!$B$9,Paramètres!$A$1:$I$89,3,0)*0.475*44/12</f>
        <v>1.054163866448676E-2</v>
      </c>
      <c r="AC54" s="24">
        <f t="shared" si="3"/>
        <v>8.5340249330763367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-1.7053025658242404E-13</v>
      </c>
      <c r="O55" s="14">
        <f>N55*VLOOKUP('Données projet'!$B$9,Paramètres!$A$1:$I$89,3,0)*VLOOKUP('Données projet'!$B$9,Paramètres!$A$1:$I$89,5,0)</f>
        <v>-1.0197709343628959E-13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147.86588596077661</v>
      </c>
      <c r="T55" s="62">
        <f t="shared" si="34"/>
        <v>228.19398518024298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5.8991429898241519</v>
      </c>
      <c r="AA55" s="23">
        <f>EXP(-LN(2)/25)*AA54+(1-EXP(-LN(2)/25))/(LN(2)/25)*Calculateur!V55*Calculateur!X55*VLOOKUP('Données projet'!$B$9,Paramètres!$A$1:$I$89,3,0)*0.475*44/12</f>
        <v>2.4378117340735619</v>
      </c>
      <c r="AB55" s="23">
        <f>EXP(-LN(2)/2)*AB54+(1-EXP(-LN(2)/2))/(LN(2)/2)*V55*Y55*VLOOKUP('Données projet'!$B$9,Paramètres!$A$1:$I$89,3,0)*0.475*44/12</f>
        <v>7.4540641844768885E-3</v>
      </c>
      <c r="AC55" s="24">
        <f t="shared" si="3"/>
        <v>8.3444087880821911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-1.7053025658242404E-13</v>
      </c>
      <c r="O56" s="14">
        <f>N56*VLOOKUP('Données projet'!$B$9,Paramètres!$A$1:$I$89,3,0)*VLOOKUP('Données projet'!$B$9,Paramètres!$A$1:$I$89,5,0)</f>
        <v>-1.0197709343628959E-13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147.86588596077661</v>
      </c>
      <c r="T56" s="62">
        <f t="shared" si="34"/>
        <v>228.19398518024298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5.7834643939156392</v>
      </c>
      <c r="AA56" s="23">
        <f>EXP(-LN(2)/25)*AA55+(1-EXP(-LN(2)/25))/(LN(2)/25)*Calculateur!V56*Calculateur!X56*VLOOKUP('Données projet'!$B$9,Paramètres!$A$1:$I$89,3,0)*0.475*44/12</f>
        <v>2.3711496440063731</v>
      </c>
      <c r="AB56" s="23">
        <f>EXP(-LN(2)/2)*AB55+(1-EXP(-LN(2)/2))/(LN(2)/2)*V56*Y56*VLOOKUP('Données projet'!$B$9,Paramètres!$A$1:$I$89,3,0)*0.475*44/12</f>
        <v>5.2708193322433807E-3</v>
      </c>
      <c r="AC56" s="24">
        <f t="shared" si="3"/>
        <v>8.1598848572542568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-1.7053025658242404E-13</v>
      </c>
      <c r="O57" s="14">
        <f>N57*VLOOKUP('Données projet'!$B$9,Paramètres!$A$1:$I$89,3,0)*VLOOKUP('Données projet'!$B$9,Paramètres!$A$1:$I$89,5,0)</f>
        <v>-1.0197709343628959E-13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147.86588596077661</v>
      </c>
      <c r="T57" s="62">
        <f t="shared" si="34"/>
        <v>228.19398518024298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5.6700541847159158</v>
      </c>
      <c r="AA57" s="23">
        <f>EXP(-LN(2)/25)*AA56+(1-EXP(-LN(2)/25))/(LN(2)/25)*Calculateur!V57*Calculateur!X57*VLOOKUP('Données projet'!$B$9,Paramètres!$A$1:$I$89,3,0)*0.475*44/12</f>
        <v>2.3063104322976784</v>
      </c>
      <c r="AB57" s="23">
        <f>EXP(-LN(2)/2)*AB56+(1-EXP(-LN(2)/2))/(LN(2)/2)*V57*Y57*VLOOKUP('Données projet'!$B$9,Paramètres!$A$1:$I$89,3,0)*0.475*44/12</f>
        <v>3.7270320922384451E-3</v>
      </c>
      <c r="AC57" s="24">
        <f t="shared" si="3"/>
        <v>7.9800916491058329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-1.7053025658242404E-13</v>
      </c>
      <c r="O58" s="14">
        <f>N58*VLOOKUP('Données projet'!$B$9,Paramètres!$A$1:$I$89,3,0)*VLOOKUP('Données projet'!$B$9,Paramètres!$A$1:$I$89,5,0)</f>
        <v>-1.0197709343628959E-13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147.86588596077661</v>
      </c>
      <c r="T58" s="62">
        <f t="shared" si="34"/>
        <v>228.19398518024298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5.5588678805452014</v>
      </c>
      <c r="AA58" s="23">
        <f>EXP(-LN(2)/25)*AA57+(1-EXP(-LN(2)/25))/(LN(2)/25)*Calculateur!V58*Calculateur!X58*VLOOKUP('Données projet'!$B$9,Paramètres!$A$1:$I$89,3,0)*0.475*44/12</f>
        <v>2.2432442522429037</v>
      </c>
      <c r="AB58" s="23">
        <f>EXP(-LN(2)/2)*AB57+(1-EXP(-LN(2)/2))/(LN(2)/2)*V58*Y58*VLOOKUP('Données projet'!$B$9,Paramètres!$A$1:$I$89,3,0)*0.475*44/12</f>
        <v>2.6354096661216908E-3</v>
      </c>
      <c r="AC58" s="24">
        <f t="shared" si="3"/>
        <v>7.8047475424542272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-1.7053025658242404E-13</v>
      </c>
      <c r="O59" s="14">
        <f>N59*VLOOKUP('Données projet'!$B$9,Paramètres!$A$1:$I$89,3,0)*VLOOKUP('Données projet'!$B$9,Paramètres!$A$1:$I$89,5,0)</f>
        <v>-1.0197709343628959E-13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147.86588596077661</v>
      </c>
      <c r="T59" s="62">
        <f t="shared" si="34"/>
        <v>228.19398518024298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5.4498618719823257</v>
      </c>
      <c r="AA59" s="23">
        <f>EXP(-LN(2)/25)*AA58+(1-EXP(-LN(2)/25))/(LN(2)/25)*Calculateur!V59*Calculateur!X59*VLOOKUP('Données projet'!$B$9,Paramètres!$A$1:$I$89,3,0)*0.475*44/12</f>
        <v>2.1819026201982332</v>
      </c>
      <c r="AB59" s="23">
        <f>EXP(-LN(2)/2)*AB58+(1-EXP(-LN(2)/2))/(LN(2)/2)*V59*Y59*VLOOKUP('Données projet'!$B$9,Paramètres!$A$1:$I$89,3,0)*0.475*44/12</f>
        <v>1.8635160461192228E-3</v>
      </c>
      <c r="AC59" s="24">
        <f t="shared" si="3"/>
        <v>7.6336280082266779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-1.7053025658242404E-13</v>
      </c>
      <c r="O60" s="14">
        <f>N60*VLOOKUP('Données projet'!$B$9,Paramètres!$A$1:$I$89,3,0)*VLOOKUP('Données projet'!$B$9,Paramètres!$A$1:$I$89,5,0)</f>
        <v>-1.0197709343628959E-13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147.86588596077661</v>
      </c>
      <c r="T60" s="62">
        <f t="shared" si="34"/>
        <v>228.19398518024298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5.3429934047602679</v>
      </c>
      <c r="AA60" s="23">
        <f>EXP(-LN(2)/25)*AA59+(1-EXP(-LN(2)/25))/(LN(2)/25)*Calculateur!V60*Calculateur!X60*VLOOKUP('Données projet'!$B$9,Paramètres!$A$1:$I$89,3,0)*0.475*44/12</f>
        <v>2.1222383783076406</v>
      </c>
      <c r="AB60" s="23">
        <f>EXP(-LN(2)/2)*AB59+(1-EXP(-LN(2)/2))/(LN(2)/2)*V60*Y60*VLOOKUP('Données projet'!$B$9,Paramètres!$A$1:$I$89,3,0)*0.475*44/12</f>
        <v>1.3177048330608456E-3</v>
      </c>
      <c r="AC60" s="24">
        <f t="shared" si="3"/>
        <v>7.4665494879009691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-1.7053025658242404E-13</v>
      </c>
      <c r="O61" s="14">
        <f>N61*VLOOKUP('Données projet'!$B$9,Paramètres!$A$1:$I$89,3,0)*VLOOKUP('Données projet'!$B$9,Paramètres!$A$1:$I$89,5,0)</f>
        <v>-1.0197709343628959E-13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147.86588596077661</v>
      </c>
      <c r="T61" s="62">
        <f t="shared" si="34"/>
        <v>228.19398518024298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5.2382205629971059</v>
      </c>
      <c r="AA61" s="23">
        <f>EXP(-LN(2)/25)*AA60+(1-EXP(-LN(2)/25))/(LN(2)/25)*Calculateur!V61*Calculateur!X61*VLOOKUP('Données projet'!$B$9,Paramètres!$A$1:$I$89,3,0)*0.475*44/12</f>
        <v>2.0642056582491524</v>
      </c>
      <c r="AB61" s="23">
        <f>EXP(-LN(2)/2)*AB60+(1-EXP(-LN(2)/2))/(LN(2)/2)*V61*Y61*VLOOKUP('Données projet'!$B$9,Paramètres!$A$1:$I$89,3,0)*0.475*44/12</f>
        <v>9.317580230596116E-4</v>
      </c>
      <c r="AC61" s="24">
        <f t="shared" si="3"/>
        <v>7.3033579792693182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-1.7053025658242404E-13</v>
      </c>
      <c r="O62" s="14">
        <f>N62*VLOOKUP('Données projet'!$B$9,Paramètres!$A$1:$I$89,3,0)*VLOOKUP('Données projet'!$B$9,Paramètres!$A$1:$I$89,5,0)</f>
        <v>-1.0197709343628959E-13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147.86588596077661</v>
      </c>
      <c r="T62" s="62">
        <f t="shared" si="34"/>
        <v>228.19398518024298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5.1355022527557965</v>
      </c>
      <c r="AA62" s="23">
        <f>EXP(-LN(2)/25)*AA61+(1-EXP(-LN(2)/25))/(LN(2)/25)*Calculateur!V62*Calculateur!X62*VLOOKUP('Données projet'!$B$9,Paramètres!$A$1:$I$89,3,0)*0.475*44/12</f>
        <v>2.0077598459724717</v>
      </c>
      <c r="AB62" s="23">
        <f>EXP(-LN(2)/2)*AB61+(1-EXP(-LN(2)/2))/(LN(2)/2)*V62*Y62*VLOOKUP('Données projet'!$B$9,Paramètres!$A$1:$I$89,3,0)*0.475*44/12</f>
        <v>6.5885241653042292E-4</v>
      </c>
      <c r="AC62" s="24">
        <f t="shared" si="3"/>
        <v>7.143920951144799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-1.7053025658242404E-13</v>
      </c>
      <c r="O63" s="14">
        <f>N63*VLOOKUP('Données projet'!$B$9,Paramètres!$A$1:$I$89,3,0)*VLOOKUP('Données projet'!$B$9,Paramètres!$A$1:$I$89,5,0)</f>
        <v>-1.0197709343628959E-13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147.86588596077661</v>
      </c>
      <c r="T63" s="62">
        <f t="shared" si="34"/>
        <v>228.19398518024298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5.034798185926336</v>
      </c>
      <c r="AA63" s="23">
        <f>EXP(-LN(2)/25)*AA62+(1-EXP(-LN(2)/25))/(LN(2)/25)*Calculateur!V63*Calculateur!X63*VLOOKUP('Données projet'!$B$9,Paramètres!$A$1:$I$89,3,0)*0.475*44/12</f>
        <v>1.9528575474008529</v>
      </c>
      <c r="AB63" s="23">
        <f>EXP(-LN(2)/2)*AB62+(1-EXP(-LN(2)/2))/(LN(2)/2)*V63*Y63*VLOOKUP('Données projet'!$B$9,Paramètres!$A$1:$I$89,3,0)*0.475*44/12</f>
        <v>4.6587901152980585E-4</v>
      </c>
      <c r="AC63" s="24">
        <f t="shared" si="3"/>
        <v>6.9881216123387189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-1.0197709343628959E-13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147.86588596077661</v>
      </c>
      <c r="T64" s="62">
        <f t="shared" si="34"/>
        <v>228.19398518024298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4.9360688644239854</v>
      </c>
      <c r="AA64" s="23">
        <f>EXP(-LN(2)/25)*AA63+(1-EXP(-LN(2)/25))/(LN(2)/25)*Calculateur!V64*Calculateur!X64*VLOOKUP('Données projet'!$B$9,Paramètres!$A$1:$I$89,3,0)*0.475*44/12</f>
        <v>1.8994565550708615</v>
      </c>
      <c r="AB64" s="23">
        <f>EXP(-LN(2)/2)*AB63+(1-EXP(-LN(2)/2))/(LN(2)/2)*V64*Y64*VLOOKUP('Données projet'!$B$9,Paramètres!$A$1:$I$89,3,0)*0.475*44/12</f>
        <v>3.2942620826521151E-4</v>
      </c>
      <c r="AC64" s="24">
        <f t="shared" si="3"/>
        <v>6.8358548457031114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-1.0197709343628959E-13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147.86588596077661</v>
      </c>
      <c r="T65" s="62">
        <f t="shared" si="34"/>
        <v>228.19398518024298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4.8392755646973562</v>
      </c>
      <c r="AA65" s="23">
        <f>EXP(-LN(2)/25)*AA64+(1-EXP(-LN(2)/25))/(LN(2)/25)*Calculateur!V65*Calculateur!X65*VLOOKUP('Données projet'!$B$9,Paramètres!$A$1:$I$89,3,0)*0.475*44/12</f>
        <v>1.8475158156843698</v>
      </c>
      <c r="AB65" s="23">
        <f>EXP(-LN(2)/2)*AB64+(1-EXP(-LN(2)/2))/(LN(2)/2)*V65*Y65*VLOOKUP('Données projet'!$B$9,Paramètres!$A$1:$I$89,3,0)*0.475*44/12</f>
        <v>2.3293950576490295E-4</v>
      </c>
      <c r="AC65" s="24">
        <f t="shared" si="3"/>
        <v>6.6870243198874908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-1.0197709343628959E-13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147.86588596077661</v>
      </c>
      <c r="T66" s="62">
        <f t="shared" si="34"/>
        <v>228.19398518024298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4.744380322540283</v>
      </c>
      <c r="AA66" s="23">
        <f>EXP(-LN(2)/25)*AA65+(1-EXP(-LN(2)/25))/(LN(2)/25)*Calculateur!V66*Calculateur!X66*VLOOKUP('Données projet'!$B$9,Paramètres!$A$1:$I$89,3,0)*0.475*44/12</f>
        <v>1.7969953985478466</v>
      </c>
      <c r="AB66" s="23">
        <f>EXP(-LN(2)/2)*AB65+(1-EXP(-LN(2)/2))/(LN(2)/2)*V66*Y66*VLOOKUP('Données projet'!$B$9,Paramètres!$A$1:$I$89,3,0)*0.475*44/12</f>
        <v>1.6471310413260576E-4</v>
      </c>
      <c r="AC66" s="24">
        <f t="shared" si="3"/>
        <v>6.5415404341922629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-1.0197709343628959E-13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147.86588596077661</v>
      </c>
      <c r="T67" s="62">
        <f t="shared" si="34"/>
        <v>228.19398518024298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4.6513459182015273</v>
      </c>
      <c r="AA67" s="23">
        <f>EXP(-LN(2)/25)*AA66+(1-EXP(-LN(2)/25))/(LN(2)/25)*Calculateur!V67*Calculateur!X67*VLOOKUP('Données projet'!$B$9,Paramètres!$A$1:$I$89,3,0)*0.475*44/12</f>
        <v>1.7478564648746748</v>
      </c>
      <c r="AB67" s="23">
        <f>EXP(-LN(2)/2)*AB66+(1-EXP(-LN(2)/2))/(LN(2)/2)*V67*Y67*VLOOKUP('Données projet'!$B$9,Paramètres!$A$1:$I$89,3,0)*0.475*44/12</f>
        <v>1.1646975288245148E-4</v>
      </c>
      <c r="AC67" s="24">
        <f t="shared" si="3"/>
        <v>6.3993188528290847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-1.0197709343628959E-13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147.86588596077661</v>
      </c>
      <c r="T68" s="62">
        <f t="shared" si="34"/>
        <v>228.19398518024298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4.5601358617864713</v>
      </c>
      <c r="AA68" s="23">
        <f>EXP(-LN(2)/25)*AA67+(1-EXP(-LN(2)/25))/(LN(2)/25)*Calculateur!V68*Calculateur!X68*VLOOKUP('Données projet'!$B$9,Paramètres!$A$1:$I$89,3,0)*0.475*44/12</f>
        <v>1.7000612379269002</v>
      </c>
      <c r="AB68" s="23">
        <f>EXP(-LN(2)/2)*AB67+(1-EXP(-LN(2)/2))/(LN(2)/2)*V68*Y68*VLOOKUP('Données projet'!$B$9,Paramètres!$A$1:$I$89,3,0)*0.475*44/12</f>
        <v>8.2356552066302878E-5</v>
      </c>
      <c r="AC68" s="24">
        <f t="shared" ref="AC68:AC131" si="57">SUM(Z68:AB68)</f>
        <v>6.2602794562654376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-1.0197709343628959E-13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147.86588596077661</v>
      </c>
      <c r="T69" s="62">
        <f t="shared" ref="T69:T132" si="88">$T$3</f>
        <v>228.19398518024298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4.4707143789450727</v>
      </c>
      <c r="AA69" s="23">
        <f>EXP(-LN(2)/25)*AA68+(1-EXP(-LN(2)/25))/(LN(2)/25)*Calculateur!V69*Calculateur!X69*VLOOKUP('Données projet'!$B$9,Paramètres!$A$1:$I$89,3,0)*0.475*44/12</f>
        <v>1.6535729739734542</v>
      </c>
      <c r="AB69" s="23">
        <f>EXP(-LN(2)/2)*AB68+(1-EXP(-LN(2)/2))/(LN(2)/2)*V69*Y69*VLOOKUP('Données projet'!$B$9,Paramètres!$A$1:$I$89,3,0)*0.475*44/12</f>
        <v>5.8234876441225738E-5</v>
      </c>
      <c r="AC69" s="24">
        <f t="shared" si="57"/>
        <v>6.1243455877949682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-1.0197709343628959E-13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147.86588596077661</v>
      </c>
      <c r="T70" s="62">
        <f t="shared" si="88"/>
        <v>228.19398518024298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4.3830463968404754</v>
      </c>
      <c r="AA70" s="23">
        <f>EXP(-LN(2)/25)*AA69+(1-EXP(-LN(2)/25))/(LN(2)/25)*Calculateur!V70*Calculateur!X70*VLOOKUP('Données projet'!$B$9,Paramètres!$A$1:$I$89,3,0)*0.475*44/12</f>
        <v>1.6083559340425266</v>
      </c>
      <c r="AB70" s="23">
        <f>EXP(-LN(2)/2)*AB69+(1-EXP(-LN(2)/2))/(LN(2)/2)*V70*Y70*VLOOKUP('Données projet'!$B$9,Paramètres!$A$1:$I$89,3,0)*0.475*44/12</f>
        <v>4.1178276033151439E-5</v>
      </c>
      <c r="AC70" s="24">
        <f t="shared" si="57"/>
        <v>5.9914435091590352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-1.0197709343628959E-13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147.86588596077661</v>
      </c>
      <c r="T71" s="62">
        <f t="shared" si="88"/>
        <v>228.19398518024298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4.2970975303927599</v>
      </c>
      <c r="AA71" s="23">
        <f>EXP(-LN(2)/25)*AA70+(1-EXP(-LN(2)/25))/(LN(2)/25)*Calculateur!V71*Calculateur!X71*VLOOKUP('Données projet'!$B$9,Paramètres!$A$1:$I$89,3,0)*0.475*44/12</f>
        <v>1.5643753564463712</v>
      </c>
      <c r="AB71" s="23">
        <f>EXP(-LN(2)/2)*AB70+(1-EXP(-LN(2)/2))/(LN(2)/2)*V71*Y71*VLOOKUP('Données projet'!$B$9,Paramètres!$A$1:$I$89,3,0)*0.475*44/12</f>
        <v>2.9117438220612869E-5</v>
      </c>
      <c r="AC71" s="24">
        <f t="shared" si="57"/>
        <v>5.8615020042773516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-1.0197709343628959E-13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147.86588596077661</v>
      </c>
      <c r="T72" s="62">
        <f t="shared" si="88"/>
        <v>228.19398518024298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4.2128340687924517</v>
      </c>
      <c r="AA72" s="23">
        <f>EXP(-LN(2)/25)*AA71+(1-EXP(-LN(2)/25))/(LN(2)/25)*Calculateur!V72*Calculateur!X72*VLOOKUP('Données projet'!$B$9,Paramètres!$A$1:$I$89,3,0)*0.475*44/12</f>
        <v>1.5215974300574207</v>
      </c>
      <c r="AB72" s="23">
        <f>EXP(-LN(2)/2)*AB71+(1-EXP(-LN(2)/2))/(LN(2)/2)*V72*Y72*VLOOKUP('Données projet'!$B$9,Paramètres!$A$1:$I$89,3,0)*0.475*44/12</f>
        <v>2.058913801657572E-5</v>
      </c>
      <c r="AC72" s="24">
        <f t="shared" si="57"/>
        <v>5.7344520879878891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-1.0197709343628959E-13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147.86588596077661</v>
      </c>
      <c r="T73" s="62">
        <f t="shared" si="88"/>
        <v>228.19398518024298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4.1302229622784896</v>
      </c>
      <c r="AA73" s="23">
        <f>EXP(-LN(2)/25)*AA72+(1-EXP(-LN(2)/25))/(LN(2)/25)*Calculateur!V73*Calculateur!X73*VLOOKUP('Données projet'!$B$9,Paramètres!$A$1:$I$89,3,0)*0.475*44/12</f>
        <v>1.4799892683151692</v>
      </c>
      <c r="AB73" s="23">
        <f>EXP(-LN(2)/2)*AB72+(1-EXP(-LN(2)/2))/(LN(2)/2)*V73*Y73*VLOOKUP('Données projet'!$B$9,Paramètres!$A$1:$I$89,3,0)*0.475*44/12</f>
        <v>1.4558719110306435E-5</v>
      </c>
      <c r="AC73" s="24">
        <f t="shared" si="57"/>
        <v>5.6102267893127689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-1.0197709343628959E-13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147.86588596077661</v>
      </c>
      <c r="T74" s="62">
        <f t="shared" si="88"/>
        <v>228.19398518024298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4.049231809175466</v>
      </c>
      <c r="AA74" s="23">
        <f>EXP(-LN(2)/25)*AA73+(1-EXP(-LN(2)/25))/(LN(2)/25)*Calculateur!V74*Calculateur!X74*VLOOKUP('Données projet'!$B$9,Paramètres!$A$1:$I$89,3,0)*0.475*44/12</f>
        <v>1.4395188839438378</v>
      </c>
      <c r="AB74" s="23">
        <f>EXP(-LN(2)/2)*AB73+(1-EXP(-LN(2)/2))/(LN(2)/2)*V74*Y74*VLOOKUP('Données projet'!$B$9,Paramètres!$A$1:$I$89,3,0)*0.475*44/12</f>
        <v>1.029456900828786E-5</v>
      </c>
      <c r="AC74" s="24">
        <f t="shared" si="57"/>
        <v>5.4887609876883117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-1.0197709343628959E-13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147.86588596077661</v>
      </c>
      <c r="T75" s="62">
        <f t="shared" si="88"/>
        <v>228.19398518024298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3.9698288431850672</v>
      </c>
      <c r="AA75" s="23">
        <f>EXP(-LN(2)/25)*AA74+(1-EXP(-LN(2)/25))/(LN(2)/25)*Calculateur!V75*Calculateur!X75*VLOOKUP('Données projet'!$B$9,Paramètres!$A$1:$I$89,3,0)*0.475*44/12</f>
        <v>1.4001551643613854</v>
      </c>
      <c r="AB75" s="23">
        <f>EXP(-LN(2)/2)*AB74+(1-EXP(-LN(2)/2))/(LN(2)/2)*V75*Y75*VLOOKUP('Données projet'!$B$9,Paramètres!$A$1:$I$89,3,0)*0.475*44/12</f>
        <v>7.2793595551532173E-6</v>
      </c>
      <c r="AC75" s="24">
        <f t="shared" si="57"/>
        <v>5.369991286906008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-1.0197709343628959E-13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147.86588596077661</v>
      </c>
      <c r="T76" s="62">
        <f t="shared" si="88"/>
        <v>228.19398518024298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3.8919829209267132</v>
      </c>
      <c r="AA76" s="23">
        <f>EXP(-LN(2)/25)*AA75+(1-EXP(-LN(2)/25))/(LN(2)/25)*Calculateur!V76*Calculateur!X76*VLOOKUP('Données projet'!$B$9,Paramètres!$A$1:$I$89,3,0)*0.475*44/12</f>
        <v>1.3618678477609634</v>
      </c>
      <c r="AB76" s="23">
        <f>EXP(-LN(2)/2)*AB75+(1-EXP(-LN(2)/2))/(LN(2)/2)*V76*Y76*VLOOKUP('Données projet'!$B$9,Paramètres!$A$1:$I$89,3,0)*0.475*44/12</f>
        <v>5.1472845041439299E-6</v>
      </c>
      <c r="AC76" s="24">
        <f t="shared" si="57"/>
        <v>5.2538559159721814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-1.0197709343628959E-13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147.86588596077661</v>
      </c>
      <c r="T77" s="62">
        <f t="shared" si="88"/>
        <v>228.19398518024298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3.8156635097225213</v>
      </c>
      <c r="AA77" s="23">
        <f>EXP(-LN(2)/25)*AA76+(1-EXP(-LN(2)/25))/(LN(2)/25)*Calculateur!V77*Calculateur!X77*VLOOKUP('Données projet'!$B$9,Paramètres!$A$1:$I$89,3,0)*0.475*44/12</f>
        <v>1.3246274998464223</v>
      </c>
      <c r="AB77" s="23">
        <f>EXP(-LN(2)/2)*AB76+(1-EXP(-LN(2)/2))/(LN(2)/2)*V77*Y77*VLOOKUP('Données projet'!$B$9,Paramètres!$A$1:$I$89,3,0)*0.475*44/12</f>
        <v>3.6396797775766087E-6</v>
      </c>
      <c r="AC77" s="24">
        <f t="shared" si="57"/>
        <v>5.1402946492487214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-1.0197709343628959E-13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147.86588596077661</v>
      </c>
      <c r="T78" s="62">
        <f t="shared" si="88"/>
        <v>228.19398518024298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3.7408406756217993</v>
      </c>
      <c r="AA78" s="23">
        <f>EXP(-LN(2)/25)*AA77+(1-EXP(-LN(2)/25))/(LN(2)/25)*Calculateur!V78*Calculateur!X78*VLOOKUP('Données projet'!$B$9,Paramètres!$A$1:$I$89,3,0)*0.475*44/12</f>
        <v>1.2884054912039891</v>
      </c>
      <c r="AB78" s="23">
        <f>EXP(-LN(2)/2)*AB77+(1-EXP(-LN(2)/2))/(LN(2)/2)*V78*Y78*VLOOKUP('Données projet'!$B$9,Paramètres!$A$1:$I$89,3,0)*0.475*44/12</f>
        <v>2.573642252071965E-6</v>
      </c>
      <c r="AC78" s="24">
        <f t="shared" si="57"/>
        <v>5.0292487404680406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-1.0197709343628959E-13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147.86588596077661</v>
      </c>
      <c r="T79" s="62">
        <f t="shared" si="88"/>
        <v>228.19398518024298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3.6674850716603702</v>
      </c>
      <c r="AA79" s="23">
        <f>EXP(-LN(2)/25)*AA78+(1-EXP(-LN(2)/25))/(LN(2)/25)*Calculateur!V79*Calculateur!X79*VLOOKUP('Données projet'!$B$9,Paramètres!$A$1:$I$89,3,0)*0.475*44/12</f>
        <v>1.2531739752927158</v>
      </c>
      <c r="AB79" s="23">
        <f>EXP(-LN(2)/2)*AB78+(1-EXP(-LN(2)/2))/(LN(2)/2)*V79*Y79*VLOOKUP('Données projet'!$B$9,Paramètres!$A$1:$I$89,3,0)*0.475*44/12</f>
        <v>1.8198398887883043E-6</v>
      </c>
      <c r="AC79" s="24">
        <f t="shared" si="57"/>
        <v>4.9206608667929741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-1.0197709343628959E-13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147.86588596077661</v>
      </c>
      <c r="T80" s="62">
        <f t="shared" si="88"/>
        <v>228.19398518024298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3.5955679263501241</v>
      </c>
      <c r="AA80" s="23">
        <f>EXP(-LN(2)/25)*AA79+(1-EXP(-LN(2)/25))/(LN(2)/25)*Calculateur!V80*Calculateur!X80*VLOOKUP('Données projet'!$B$9,Paramètres!$A$1:$I$89,3,0)*0.475*44/12</f>
        <v>1.2189058670367814</v>
      </c>
      <c r="AB80" s="23">
        <f>EXP(-LN(2)/2)*AB79+(1-EXP(-LN(2)/2))/(LN(2)/2)*V80*Y80*VLOOKUP('Données projet'!$B$9,Paramètres!$A$1:$I$89,3,0)*0.475*44/12</f>
        <v>1.2868211260359825E-6</v>
      </c>
      <c r="AC80" s="24">
        <f t="shared" si="57"/>
        <v>4.8144750802080321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-1.0197709343628959E-13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147.86588596077661</v>
      </c>
      <c r="T81" s="62">
        <f t="shared" si="88"/>
        <v>228.19398518024298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3.5250610323942846</v>
      </c>
      <c r="AA81" s="23">
        <f>EXP(-LN(2)/25)*AA80+(1-EXP(-LN(2)/25))/(LN(2)/25)*Calculateur!V81*Calculateur!X81*VLOOKUP('Données projet'!$B$9,Paramètres!$A$1:$I$89,3,0)*0.475*44/12</f>
        <v>1.185574822003187</v>
      </c>
      <c r="AB81" s="23">
        <f>EXP(-LN(2)/2)*AB80+(1-EXP(-LN(2)/2))/(LN(2)/2)*V81*Y81*VLOOKUP('Données projet'!$B$9,Paramètres!$A$1:$I$89,3,0)*0.475*44/12</f>
        <v>9.0991994439415216E-7</v>
      </c>
      <c r="AC81" s="24">
        <f t="shared" si="57"/>
        <v>4.7106367643174165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-1.0197709343628959E-13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147.86588596077661</v>
      </c>
      <c r="T82" s="62">
        <f t="shared" si="88"/>
        <v>228.19398518024298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3.4559367356239603</v>
      </c>
      <c r="AA82" s="23">
        <f>EXP(-LN(2)/25)*AA81+(1-EXP(-LN(2)/25))/(LN(2)/25)*Calculateur!V82*Calculateur!X82*VLOOKUP('Données projet'!$B$9,Paramètres!$A$1:$I$89,3,0)*0.475*44/12</f>
        <v>1.1531552161488396</v>
      </c>
      <c r="AB82" s="23">
        <f>EXP(-LN(2)/2)*AB81+(1-EXP(-LN(2)/2))/(LN(2)/2)*V82*Y82*VLOOKUP('Données projet'!$B$9,Paramètres!$A$1:$I$89,3,0)*0.475*44/12</f>
        <v>6.4341056301799124E-7</v>
      </c>
      <c r="AC82" s="24">
        <f t="shared" si="57"/>
        <v>4.6090925951833634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-1.0197709343628959E-13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147.86588596077661</v>
      </c>
      <c r="T83" s="62">
        <f t="shared" si="88"/>
        <v>228.19398518024298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3.3881679241516443</v>
      </c>
      <c r="AA83" s="23">
        <f>EXP(-LN(2)/25)*AA82+(1-EXP(-LN(2)/25))/(LN(2)/25)*Calculateur!V83*Calculateur!X83*VLOOKUP('Données projet'!$B$9,Paramètres!$A$1:$I$89,3,0)*0.475*44/12</f>
        <v>1.1216221261214523</v>
      </c>
      <c r="AB83" s="23">
        <f>EXP(-LN(2)/2)*AB82+(1-EXP(-LN(2)/2))/(LN(2)/2)*V83*Y83*VLOOKUP('Données projet'!$B$9,Paramètres!$A$1:$I$89,3,0)*0.475*44/12</f>
        <v>4.5495997219707608E-7</v>
      </c>
      <c r="AC83" s="24">
        <f t="shared" si="57"/>
        <v>4.5097905052330685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-1.0197709343628959E-13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147.86588596077661</v>
      </c>
      <c r="T84" s="62">
        <f t="shared" si="88"/>
        <v>228.19398518024298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3.3217280177374064</v>
      </c>
      <c r="AA84" s="23">
        <f>EXP(-LN(2)/25)*AA83+(1-EXP(-LN(2)/25))/(LN(2)/25)*Calculateur!V84*Calculateur!X84*VLOOKUP('Données projet'!$B$9,Paramètres!$A$1:$I$89,3,0)*0.475*44/12</f>
        <v>1.0909513100991171</v>
      </c>
      <c r="AB84" s="23">
        <f>EXP(-LN(2)/2)*AB83+(1-EXP(-LN(2)/2))/(LN(2)/2)*V84*Y84*VLOOKUP('Données projet'!$B$9,Paramètres!$A$1:$I$89,3,0)*0.475*44/12</f>
        <v>3.2170528150899562E-7</v>
      </c>
      <c r="AC84" s="24">
        <f t="shared" si="57"/>
        <v>4.4126796495418041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-1.0197709343628959E-13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147.86588596077661</v>
      </c>
      <c r="T85" s="62">
        <f t="shared" si="88"/>
        <v>228.19398518024298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3.2565909573636107</v>
      </c>
      <c r="AA85" s="23">
        <f>EXP(-LN(2)/25)*AA84+(1-EXP(-LN(2)/25))/(LN(2)/25)*Calculateur!V85*Calculateur!X85*VLOOKUP('Données projet'!$B$9,Paramètres!$A$1:$I$89,3,0)*0.475*44/12</f>
        <v>1.0611191891538208</v>
      </c>
      <c r="AB85" s="23">
        <f>EXP(-LN(2)/2)*AB84+(1-EXP(-LN(2)/2))/(LN(2)/2)*V85*Y85*VLOOKUP('Données projet'!$B$9,Paramètres!$A$1:$I$89,3,0)*0.475*44/12</f>
        <v>2.2747998609853804E-7</v>
      </c>
      <c r="AC85" s="24">
        <f t="shared" si="57"/>
        <v>4.317710373997417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-1.0197709343628959E-13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147.86588596077661</v>
      </c>
      <c r="T86" s="62">
        <f t="shared" si="88"/>
        <v>228.19398518024298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3.1927311950140611</v>
      </c>
      <c r="AA86" s="23">
        <f>EXP(-LN(2)/25)*AA85+(1-EXP(-LN(2)/25))/(LN(2)/25)*Calculateur!V86*Calculateur!X86*VLOOKUP('Données projet'!$B$9,Paramètres!$A$1:$I$89,3,0)*0.475*44/12</f>
        <v>1.0321028291245766</v>
      </c>
      <c r="AB86" s="23">
        <f>EXP(-LN(2)/2)*AB85+(1-EXP(-LN(2)/2))/(LN(2)/2)*V86*Y86*VLOOKUP('Données projet'!$B$9,Paramètres!$A$1:$I$89,3,0)*0.475*44/12</f>
        <v>1.6085264075449781E-7</v>
      </c>
      <c r="AC86" s="24">
        <f t="shared" si="57"/>
        <v>4.2248341849912778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-1.0197709343628959E-13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147.86588596077661</v>
      </c>
      <c r="T87" s="62">
        <f t="shared" si="88"/>
        <v>228.19398518024298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3.1301236836535771</v>
      </c>
      <c r="AA87" s="23">
        <f>EXP(-LN(2)/25)*AA86+(1-EXP(-LN(2)/25))/(LN(2)/25)*Calculateur!V87*Calculateur!X87*VLOOKUP('Données projet'!$B$9,Paramètres!$A$1:$I$89,3,0)*0.475*44/12</f>
        <v>1.0038799229862363</v>
      </c>
      <c r="AB87" s="23">
        <f>EXP(-LN(2)/2)*AB86+(1-EXP(-LN(2)/2))/(LN(2)/2)*V87*Y87*VLOOKUP('Données projet'!$B$9,Paramètres!$A$1:$I$89,3,0)*0.475*44/12</f>
        <v>1.1373999304926902E-7</v>
      </c>
      <c r="AC87" s="24">
        <f t="shared" si="57"/>
        <v>4.1340037203798072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-1.0197709343628959E-13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147.86588596077661</v>
      </c>
      <c r="T88" s="62">
        <f t="shared" si="88"/>
        <v>228.19398518024298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3.068743867404061</v>
      </c>
      <c r="AA88" s="23">
        <f>EXP(-LN(2)/25)*AA87+(1-EXP(-LN(2)/25))/(LN(2)/25)*Calculateur!V88*Calculateur!X88*VLOOKUP('Données projet'!$B$9,Paramètres!$A$1:$I$89,3,0)*0.475*44/12</f>
        <v>0.97642877370042691</v>
      </c>
      <c r="AB88" s="23">
        <f>EXP(-LN(2)/2)*AB87+(1-EXP(-LN(2)/2))/(LN(2)/2)*V88*Y88*VLOOKUP('Données projet'!$B$9,Paramètres!$A$1:$I$89,3,0)*0.475*44/12</f>
        <v>8.0426320377248905E-8</v>
      </c>
      <c r="AC88" s="24">
        <f t="shared" si="57"/>
        <v>4.0451727215308084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-1.0197709343628959E-13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147.86588596077661</v>
      </c>
      <c r="T89" s="62">
        <f t="shared" si="88"/>
        <v>228.19398518024298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3.0085676719132066</v>
      </c>
      <c r="AA89" s="23">
        <f>EXP(-LN(2)/25)*AA88+(1-EXP(-LN(2)/25))/(LN(2)/25)*Calculateur!V89*Calculateur!X89*VLOOKUP('Données projet'!$B$9,Paramètres!$A$1:$I$89,3,0)*0.475*44/12</f>
        <v>0.94972827753543121</v>
      </c>
      <c r="AB89" s="23">
        <f>EXP(-LN(2)/2)*AB88+(1-EXP(-LN(2)/2))/(LN(2)/2)*V89*Y89*VLOOKUP('Données projet'!$B$9,Paramètres!$A$1:$I$89,3,0)*0.475*44/12</f>
        <v>5.686999652463451E-8</v>
      </c>
      <c r="AC89" s="24">
        <f t="shared" si="57"/>
        <v>3.9582960063186343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-1.0197709343628959E-13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147.86588596077661</v>
      </c>
      <c r="T90" s="62">
        <f t="shared" si="88"/>
        <v>228.19398518024298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2.9495714949120728</v>
      </c>
      <c r="AA90" s="23">
        <f>EXP(-LN(2)/25)*AA89+(1-EXP(-LN(2)/25))/(LN(2)/25)*Calculateur!V90*Calculateur!X90*VLOOKUP('Données projet'!$B$9,Paramètres!$A$1:$I$89,3,0)*0.475*44/12</f>
        <v>0.92375790784218537</v>
      </c>
      <c r="AB90" s="23">
        <f>EXP(-LN(2)/2)*AB89+(1-EXP(-LN(2)/2))/(LN(2)/2)*V90*Y90*VLOOKUP('Données projet'!$B$9,Paramètres!$A$1:$I$89,3,0)*0.475*44/12</f>
        <v>4.0213160188624452E-8</v>
      </c>
      <c r="AC90" s="24">
        <f t="shared" si="57"/>
        <v>3.8733294429674188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-1.0197709343628959E-13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147.86588596077661</v>
      </c>
      <c r="T91" s="62">
        <f t="shared" si="88"/>
        <v>228.19398518024298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2.8917321969578165</v>
      </c>
      <c r="AA91" s="23">
        <f>EXP(-LN(2)/25)*AA90+(1-EXP(-LN(2)/25))/(LN(2)/25)*Calculateur!V91*Calculateur!X91*VLOOKUP('Données projet'!$B$9,Paramètres!$A$1:$I$89,3,0)*0.475*44/12</f>
        <v>0.89849769927392376</v>
      </c>
      <c r="AB91" s="23">
        <f>EXP(-LN(2)/2)*AB90+(1-EXP(-LN(2)/2))/(LN(2)/2)*V91*Y91*VLOOKUP('Données projet'!$B$9,Paramètres!$A$1:$I$89,3,0)*0.475*44/12</f>
        <v>2.8434998262317255E-8</v>
      </c>
      <c r="AC91" s="24">
        <f t="shared" si="57"/>
        <v>3.7902299246667388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-1.0197709343628959E-13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147.86588596077661</v>
      </c>
      <c r="T92" s="62">
        <f t="shared" si="88"/>
        <v>228.19398518024298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2.8350270923579548</v>
      </c>
      <c r="AA92" s="23">
        <f>EXP(-LN(2)/25)*AA91+(1-EXP(-LN(2)/25))/(LN(2)/25)*Calculateur!V92*Calculateur!X92*VLOOKUP('Données projet'!$B$9,Paramètres!$A$1:$I$89,3,0)*0.475*44/12</f>
        <v>0.87392823243733786</v>
      </c>
      <c r="AB92" s="23">
        <f>EXP(-LN(2)/2)*AB91+(1-EXP(-LN(2)/2))/(LN(2)/2)*V92*Y92*VLOOKUP('Données projet'!$B$9,Paramètres!$A$1:$I$89,3,0)*0.475*44/12</f>
        <v>2.0106580094312226E-8</v>
      </c>
      <c r="AC92" s="24">
        <f t="shared" si="57"/>
        <v>3.7089553449018724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-1.0197709343628959E-13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147.86588596077661</v>
      </c>
      <c r="T93" s="62">
        <f t="shared" si="88"/>
        <v>228.19398518024298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2.7794339402725976</v>
      </c>
      <c r="AA93" s="23">
        <f>EXP(-LN(2)/25)*AA92+(1-EXP(-LN(2)/25))/(LN(2)/25)*Calculateur!V93*Calculateur!X93*VLOOKUP('Données projet'!$B$9,Paramètres!$A$1:$I$89,3,0)*0.475*44/12</f>
        <v>0.85003061896345056</v>
      </c>
      <c r="AB93" s="23">
        <f>EXP(-LN(2)/2)*AB92+(1-EXP(-LN(2)/2))/(LN(2)/2)*V93*Y93*VLOOKUP('Données projet'!$B$9,Paramètres!$A$1:$I$89,3,0)*0.475*44/12</f>
        <v>1.4217499131158628E-8</v>
      </c>
      <c r="AC93" s="24">
        <f t="shared" si="57"/>
        <v>3.6294645734535473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-1.0197709343628959E-13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147.86588596077661</v>
      </c>
      <c r="T94" s="62">
        <f t="shared" si="88"/>
        <v>228.19398518024298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2.7249309359911598</v>
      </c>
      <c r="AA94" s="23">
        <f>EXP(-LN(2)/25)*AA93+(1-EXP(-LN(2)/25))/(LN(2)/25)*Calculateur!V94*Calculateur!X94*VLOOKUP('Données projet'!$B$9,Paramètres!$A$1:$I$89,3,0)*0.475*44/12</f>
        <v>0.82678648698672752</v>
      </c>
      <c r="AB94" s="23">
        <f>EXP(-LN(2)/2)*AB93+(1-EXP(-LN(2)/2))/(LN(2)/2)*V94*Y94*VLOOKUP('Données projet'!$B$9,Paramètres!$A$1:$I$89,3,0)*0.475*44/12</f>
        <v>1.0053290047156113E-8</v>
      </c>
      <c r="AC94" s="24">
        <f t="shared" si="57"/>
        <v>3.5517174330311776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-1.0197709343628959E-13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147.86588596077661</v>
      </c>
      <c r="T95" s="62">
        <f t="shared" si="88"/>
        <v>228.19398518024298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2.6714967023801308</v>
      </c>
      <c r="AA95" s="23">
        <f>EXP(-LN(2)/25)*AA94+(1-EXP(-LN(2)/25))/(LN(2)/25)*Calculateur!V95*Calculateur!X95*VLOOKUP('Données projet'!$B$9,Paramètres!$A$1:$I$89,3,0)*0.475*44/12</f>
        <v>0.80417796702126376</v>
      </c>
      <c r="AB95" s="23">
        <f>EXP(-LN(2)/2)*AB94+(1-EXP(-LN(2)/2))/(LN(2)/2)*V95*Y95*VLOOKUP('Données projet'!$B$9,Paramètres!$A$1:$I$89,3,0)*0.475*44/12</f>
        <v>7.1087495655793138E-9</v>
      </c>
      <c r="AC95" s="24">
        <f t="shared" si="57"/>
        <v>3.4756746765101441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-1.0197709343628959E-13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147.86588596077661</v>
      </c>
      <c r="T96" s="62">
        <f t="shared" si="88"/>
        <v>228.19398518024298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2.6191102814985499</v>
      </c>
      <c r="AA96" s="23">
        <f>EXP(-LN(2)/25)*AA95+(1-EXP(-LN(2)/25))/(LN(2)/25)*Calculateur!V96*Calculateur!X96*VLOOKUP('Données projet'!$B$9,Paramètres!$A$1:$I$89,3,0)*0.475*44/12</f>
        <v>0.78218767822318602</v>
      </c>
      <c r="AB96" s="23">
        <f>EXP(-LN(2)/2)*AB95+(1-EXP(-LN(2)/2))/(LN(2)/2)*V96*Y96*VLOOKUP('Données projet'!$B$9,Paramètres!$A$1:$I$89,3,0)*0.475*44/12</f>
        <v>5.0266450235780565E-9</v>
      </c>
      <c r="AC96" s="24">
        <f t="shared" si="57"/>
        <v>3.4012979647483808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-1.0197709343628959E-13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147.86588596077661</v>
      </c>
      <c r="T97" s="62">
        <f t="shared" si="88"/>
        <v>228.19398518024298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2.5677511263778952</v>
      </c>
      <c r="AA97" s="23">
        <f>EXP(-LN(2)/25)*AA96+(1-EXP(-LN(2)/25))/(LN(2)/25)*Calculateur!V97*Calculateur!X97*VLOOKUP('Données projet'!$B$9,Paramètres!$A$1:$I$89,3,0)*0.475*44/12</f>
        <v>0.76079871502871077</v>
      </c>
      <c r="AB97" s="23">
        <f>EXP(-LN(2)/2)*AB96+(1-EXP(-LN(2)/2))/(LN(2)/2)*V97*Y97*VLOOKUP('Données projet'!$B$9,Paramètres!$A$1:$I$89,3,0)*0.475*44/12</f>
        <v>3.5543747827896569E-9</v>
      </c>
      <c r="AC97" s="24">
        <f t="shared" si="57"/>
        <v>3.3285498449609805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-1.0197709343628959E-13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147.86588596077661</v>
      </c>
      <c r="T98" s="62">
        <f t="shared" si="88"/>
        <v>228.19398518024298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2.5173990929631649</v>
      </c>
      <c r="AA98" s="23">
        <f>EXP(-LN(2)/25)*AA97+(1-EXP(-LN(2)/25))/(LN(2)/25)*Calculateur!V98*Calculateur!X98*VLOOKUP('Données projet'!$B$9,Paramètres!$A$1:$I$89,3,0)*0.475*44/12</f>
        <v>0.73999463415758504</v>
      </c>
      <c r="AB98" s="23">
        <f>EXP(-LN(2)/2)*AB97+(1-EXP(-LN(2)/2))/(LN(2)/2)*V98*Y98*VLOOKUP('Données projet'!$B$9,Paramètres!$A$1:$I$89,3,0)*0.475*44/12</f>
        <v>2.5133225117890283E-9</v>
      </c>
      <c r="AC98" s="24">
        <f t="shared" si="57"/>
        <v>3.2573937296340723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-1.0197709343628959E-13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147.86588596077661</v>
      </c>
      <c r="T99" s="62">
        <f t="shared" si="88"/>
        <v>228.19398518024298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2.4680344322119896</v>
      </c>
      <c r="AA99" s="23">
        <f>EXP(-LN(2)/25)*AA98+(1-EXP(-LN(2)/25))/(LN(2)/25)*Calculateur!V99*Calculateur!X99*VLOOKUP('Données projet'!$B$9,Paramètres!$A$1:$I$89,3,0)*0.475*44/12</f>
        <v>0.71975944197191932</v>
      </c>
      <c r="AB99" s="23">
        <f>EXP(-LN(2)/2)*AB98+(1-EXP(-LN(2)/2))/(LN(2)/2)*V99*Y99*VLOOKUP('Données projet'!$B$9,Paramètres!$A$1:$I$89,3,0)*0.475*44/12</f>
        <v>1.7771873913948284E-9</v>
      </c>
      <c r="AC99" s="24">
        <f t="shared" si="57"/>
        <v>3.1877938759610962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-1.0197709343628959E-13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147.86588596077661</v>
      </c>
      <c r="T100" s="62">
        <f t="shared" si="88"/>
        <v>228.19398518024298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2.419637782348675</v>
      </c>
      <c r="AA100" s="23">
        <f>EXP(-LN(2)/25)*AA99+(1-EXP(-LN(2)/25))/(LN(2)/25)*Calculateur!V100*Calculateur!X100*VLOOKUP('Données projet'!$B$9,Paramètres!$A$1:$I$89,3,0)*0.475*44/12</f>
        <v>0.70007758218069316</v>
      </c>
      <c r="AB100" s="23">
        <f>EXP(-LN(2)/2)*AB99+(1-EXP(-LN(2)/2))/(LN(2)/2)*V100*Y100*VLOOKUP('Données projet'!$B$9,Paramètres!$A$1:$I$89,3,0)*0.475*44/12</f>
        <v>1.2566612558945141E-9</v>
      </c>
      <c r="AC100" s="24">
        <f t="shared" si="57"/>
        <v>3.1197153657860297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-1.0197709343628959E-13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147.86588596077661</v>
      </c>
      <c r="T101" s="62">
        <f t="shared" si="88"/>
        <v>228.19398518024298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2.3721901612701384</v>
      </c>
      <c r="AA101" s="23">
        <f>EXP(-LN(2)/25)*AA100+(1-EXP(-LN(2)/25))/(LN(2)/25)*Calculateur!V101*Calculateur!X101*VLOOKUP('Données projet'!$B$9,Paramètres!$A$1:$I$89,3,0)*0.475*44/12</f>
        <v>0.68093392388048213</v>
      </c>
      <c r="AB101" s="23">
        <f>EXP(-LN(2)/2)*AB100+(1-EXP(-LN(2)/2))/(LN(2)/2)*V101*Y101*VLOOKUP('Données projet'!$B$9,Paramètres!$A$1:$I$89,3,0)*0.475*44/12</f>
        <v>8.8859369569741422E-10</v>
      </c>
      <c r="AC101" s="24">
        <f t="shared" si="57"/>
        <v>3.0531240860392139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-1.0197709343628959E-13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147.86588596077661</v>
      </c>
      <c r="T102" s="62">
        <f t="shared" si="88"/>
        <v>228.19398518024298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2.3256729591007606</v>
      </c>
      <c r="AA102" s="23">
        <f>EXP(-LN(2)/25)*AA101+(1-EXP(-LN(2)/25))/(LN(2)/25)*Calculateur!V102*Calculateur!X102*VLOOKUP('Données projet'!$B$9,Paramètres!$A$1:$I$89,3,0)*0.475*44/12</f>
        <v>0.66231374992321157</v>
      </c>
      <c r="AB102" s="23">
        <f>EXP(-LN(2)/2)*AB101+(1-EXP(-LN(2)/2))/(LN(2)/2)*V102*Y102*VLOOKUP('Données projet'!$B$9,Paramètres!$A$1:$I$89,3,0)*0.475*44/12</f>
        <v>6.2833062794725707E-10</v>
      </c>
      <c r="AC102" s="24">
        <f t="shared" si="57"/>
        <v>2.987986709652303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-1.0197709343628959E-13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147.86588596077661</v>
      </c>
      <c r="T103" s="62">
        <f t="shared" si="88"/>
        <v>228.19398518024298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2.2800679308932326</v>
      </c>
      <c r="AA103" s="23">
        <f>EXP(-LN(2)/25)*AA102+(1-EXP(-LN(2)/25))/(LN(2)/25)*Calculateur!V103*Calculateur!X103*VLOOKUP('Données projet'!$B$9,Paramètres!$A$1:$I$89,3,0)*0.475*44/12</f>
        <v>0.64420274560199497</v>
      </c>
      <c r="AB103" s="23">
        <f>EXP(-LN(2)/2)*AB102+(1-EXP(-LN(2)/2))/(LN(2)/2)*V103*Y103*VLOOKUP('Données projet'!$B$9,Paramètres!$A$1:$I$89,3,0)*0.475*44/12</f>
        <v>4.4429684784870711E-10</v>
      </c>
      <c r="AC103" s="24">
        <f t="shared" si="57"/>
        <v>2.9242706769395248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-1.0197709343628959E-13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147.86588596077661</v>
      </c>
      <c r="T104" s="62">
        <f t="shared" si="88"/>
        <v>228.19398518024298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2.2353571894725337</v>
      </c>
      <c r="AA104" s="23">
        <f>EXP(-LN(2)/25)*AA103+(1-EXP(-LN(2)/25))/(LN(2)/25)*Calculateur!V104*Calculateur!X104*VLOOKUP('Données projet'!$B$9,Paramètres!$A$1:$I$89,3,0)*0.475*44/12</f>
        <v>0.62658698764635834</v>
      </c>
      <c r="AB104" s="23">
        <f>EXP(-LN(2)/2)*AB103+(1-EXP(-LN(2)/2))/(LN(2)/2)*V104*Y104*VLOOKUP('Données projet'!$B$9,Paramètres!$A$1:$I$89,3,0)*0.475*44/12</f>
        <v>3.1416531397362853E-10</v>
      </c>
      <c r="AC104" s="24">
        <f t="shared" si="57"/>
        <v>2.8619441774330574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-1.0197709343628959E-13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147.86588596077661</v>
      </c>
      <c r="T105" s="62">
        <f t="shared" si="88"/>
        <v>228.19398518024298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2.191523198420235</v>
      </c>
      <c r="AA105" s="23">
        <f>EXP(-LN(2)/25)*AA104+(1-EXP(-LN(2)/25))/(LN(2)/25)*Calculateur!V105*Calculateur!X105*VLOOKUP('Données projet'!$B$9,Paramètres!$A$1:$I$89,3,0)*0.475*44/12</f>
        <v>0.60945293351839103</v>
      </c>
      <c r="AB105" s="23">
        <f>EXP(-LN(2)/2)*AB104+(1-EXP(-LN(2)/2))/(LN(2)/2)*V105*Y105*VLOOKUP('Données projet'!$B$9,Paramètres!$A$1:$I$89,3,0)*0.475*44/12</f>
        <v>2.2214842392435356E-10</v>
      </c>
      <c r="AC105" s="24">
        <f t="shared" si="57"/>
        <v>2.8009761321607747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-1.0197709343628959E-13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147.86588596077661</v>
      </c>
      <c r="T106" s="62">
        <f t="shared" si="88"/>
        <v>228.19398518024298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2.1485487651963773</v>
      </c>
      <c r="AA106" s="23">
        <f>EXP(-LN(2)/25)*AA105+(1-EXP(-LN(2)/25))/(LN(2)/25)*Calculateur!V106*Calculateur!X106*VLOOKUP('Données projet'!$B$9,Paramètres!$A$1:$I$89,3,0)*0.475*44/12</f>
        <v>0.59278741100159382</v>
      </c>
      <c r="AB106" s="23">
        <f>EXP(-LN(2)/2)*AB105+(1-EXP(-LN(2)/2))/(LN(2)/2)*V106*Y106*VLOOKUP('Données projet'!$B$9,Paramètres!$A$1:$I$89,3,0)*0.475*44/12</f>
        <v>1.5708265698681427E-10</v>
      </c>
      <c r="AC106" s="24">
        <f t="shared" si="57"/>
        <v>2.7413361763550541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-1.0197709343628959E-13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147.86588596077661</v>
      </c>
      <c r="T107" s="62">
        <f t="shared" si="88"/>
        <v>228.19398518024298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2.1064170343962232</v>
      </c>
      <c r="AA107" s="23">
        <f>EXP(-LN(2)/25)*AA106+(1-EXP(-LN(2)/25))/(LN(2)/25)*Calculateur!V107*Calculateur!X107*VLOOKUP('Données projet'!$B$9,Paramètres!$A$1:$I$89,3,0)*0.475*44/12</f>
        <v>0.57657760807442016</v>
      </c>
      <c r="AB107" s="23">
        <f>EXP(-LN(2)/2)*AB106+(1-EXP(-LN(2)/2))/(LN(2)/2)*V107*Y107*VLOOKUP('Données projet'!$B$9,Paramètres!$A$1:$I$89,3,0)*0.475*44/12</f>
        <v>1.1107421196217678E-10</v>
      </c>
      <c r="AC107" s="24">
        <f t="shared" si="57"/>
        <v>2.6829946425817175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-1.0197709343628959E-13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147.86588596077661</v>
      </c>
      <c r="T108" s="62">
        <f t="shared" si="88"/>
        <v>228.19398518024298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2.0651114811392421</v>
      </c>
      <c r="AA108" s="23">
        <f>EXP(-LN(2)/25)*AA107+(1-EXP(-LN(2)/25))/(LN(2)/25)*Calculateur!V108*Calculateur!X108*VLOOKUP('Données projet'!$B$9,Paramètres!$A$1:$I$89,3,0)*0.475*44/12</f>
        <v>0.56081106306072648</v>
      </c>
      <c r="AB108" s="23">
        <f>EXP(-LN(2)/2)*AB107+(1-EXP(-LN(2)/2))/(LN(2)/2)*V108*Y108*VLOOKUP('Données projet'!$B$9,Paramètres!$A$1:$I$89,3,0)*0.475*44/12</f>
        <v>7.8541328493407133E-11</v>
      </c>
      <c r="AC108" s="24">
        <f t="shared" si="57"/>
        <v>2.6259225442785099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-1.0197709343628959E-13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147.86588596077661</v>
      </c>
      <c r="T109" s="62">
        <f t="shared" si="88"/>
        <v>228.19398518024298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2.0246159045877308</v>
      </c>
      <c r="AA109" s="23">
        <f>EXP(-LN(2)/25)*AA108+(1-EXP(-LN(2)/25))/(LN(2)/25)*Calculateur!V109*Calculateur!X109*VLOOKUP('Données projet'!$B$9,Paramètres!$A$1:$I$89,3,0)*0.475*44/12</f>
        <v>0.54547565504955886</v>
      </c>
      <c r="AB109" s="23">
        <f>EXP(-LN(2)/2)*AB108+(1-EXP(-LN(2)/2))/(LN(2)/2)*V109*Y109*VLOOKUP('Données projet'!$B$9,Paramètres!$A$1:$I$89,3,0)*0.475*44/12</f>
        <v>5.5537105981088389E-11</v>
      </c>
      <c r="AC109" s="24">
        <f t="shared" si="57"/>
        <v>2.5700915596928264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-1.0197709343628959E-13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147.86588596077661</v>
      </c>
      <c r="T110" s="62">
        <f t="shared" si="88"/>
        <v>228.19398518024298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1.9849144215925316</v>
      </c>
      <c r="AA110" s="23">
        <f>EXP(-LN(2)/25)*AA109+(1-EXP(-LN(2)/25))/(LN(2)/25)*Calculateur!V110*Calculateur!X110*VLOOKUP('Données projet'!$B$9,Paramètres!$A$1:$I$89,3,0)*0.475*44/12</f>
        <v>0.53055959457691071</v>
      </c>
      <c r="AB110" s="23">
        <f>EXP(-LN(2)/2)*AB109+(1-EXP(-LN(2)/2))/(LN(2)/2)*V110*Y110*VLOOKUP('Données projet'!$B$9,Paramètres!$A$1:$I$89,3,0)*0.475*44/12</f>
        <v>3.9270664246703567E-11</v>
      </c>
      <c r="AC110" s="24">
        <f t="shared" si="57"/>
        <v>2.5154740162087132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-1.0197709343628959E-13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147.86588596077661</v>
      </c>
      <c r="T111" s="62">
        <f t="shared" si="88"/>
        <v>228.19398518024298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1.9459914604633548</v>
      </c>
      <c r="AA111" s="23">
        <f>EXP(-LN(2)/25)*AA110+(1-EXP(-LN(2)/25))/(LN(2)/25)*Calculateur!V111*Calculateur!X111*VLOOKUP('Données projet'!$B$9,Paramètres!$A$1:$I$89,3,0)*0.475*44/12</f>
        <v>0.51605141456228865</v>
      </c>
      <c r="AB111" s="23">
        <f>EXP(-LN(2)/2)*AB110+(1-EXP(-LN(2)/2))/(LN(2)/2)*V111*Y111*VLOOKUP('Données projet'!$B$9,Paramètres!$A$1:$I$89,3,0)*0.475*44/12</f>
        <v>2.7768552990544194E-11</v>
      </c>
      <c r="AC111" s="24">
        <f t="shared" si="57"/>
        <v>2.4620428750534118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-1.0197709343628959E-13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147.86588596077661</v>
      </c>
      <c r="T112" s="62">
        <f t="shared" si="88"/>
        <v>228.19398518024298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1.9078317548612589</v>
      </c>
      <c r="AA112" s="23">
        <f>EXP(-LN(2)/25)*AA111+(1-EXP(-LN(2)/25))/(LN(2)/25)*Calculateur!V112*Calculateur!X112*VLOOKUP('Données projet'!$B$9,Paramètres!$A$1:$I$89,3,0)*0.475*44/12</f>
        <v>0.50193996149311837</v>
      </c>
      <c r="AB112" s="23">
        <f>EXP(-LN(2)/2)*AB111+(1-EXP(-LN(2)/2))/(LN(2)/2)*V112*Y112*VLOOKUP('Données projet'!$B$9,Paramètres!$A$1:$I$89,3,0)*0.475*44/12</f>
        <v>1.9635332123351783E-11</v>
      </c>
      <c r="AC112" s="24">
        <f t="shared" si="57"/>
        <v>2.4097717163740127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-1.0197709343628959E-13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147.86588596077661</v>
      </c>
      <c r="T113" s="62">
        <f t="shared" si="88"/>
        <v>228.19398518024298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1.8704203378108979</v>
      </c>
      <c r="AA113" s="23">
        <f>EXP(-LN(2)/25)*AA112+(1-EXP(-LN(2)/25))/(LN(2)/25)*Calculateur!V113*Calculateur!X113*VLOOKUP('Données projet'!$B$9,Paramètres!$A$1:$I$89,3,0)*0.475*44/12</f>
        <v>0.48821438685021368</v>
      </c>
      <c r="AB113" s="23">
        <f>EXP(-LN(2)/2)*AB112+(1-EXP(-LN(2)/2))/(LN(2)/2)*V113*Y113*VLOOKUP('Données projet'!$B$9,Paramètres!$A$1:$I$89,3,0)*0.475*44/12</f>
        <v>1.3884276495272097E-11</v>
      </c>
      <c r="AC113" s="24">
        <f t="shared" si="57"/>
        <v>2.3586347246749959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-1.0197709343628959E-13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147.86588596077661</v>
      </c>
      <c r="T114" s="62">
        <f t="shared" si="88"/>
        <v>228.19398518024298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1.8337425358301833</v>
      </c>
      <c r="AA114" s="23">
        <f>EXP(-LN(2)/25)*AA113+(1-EXP(-LN(2)/25))/(LN(2)/25)*Calculateur!V114*Calculateur!X114*VLOOKUP('Données projet'!$B$9,Paramètres!$A$1:$I$89,3,0)*0.475*44/12</f>
        <v>0.47486413876771583</v>
      </c>
      <c r="AB114" s="23">
        <f>EXP(-LN(2)/2)*AB113+(1-EXP(-LN(2)/2))/(LN(2)/2)*V114*Y114*VLOOKUP('Données projet'!$B$9,Paramètres!$A$1:$I$89,3,0)*0.475*44/12</f>
        <v>9.8176660616758917E-12</v>
      </c>
      <c r="AC114" s="24">
        <f t="shared" si="57"/>
        <v>2.3086066746077165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-1.0197709343628959E-13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147.86588596077661</v>
      </c>
      <c r="T115" s="62">
        <f t="shared" si="88"/>
        <v>228.19398518024298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1.7977839631750603</v>
      </c>
      <c r="AA115" s="23">
        <f>EXP(-LN(2)/25)*AA114+(1-EXP(-LN(2)/25))/(LN(2)/25)*Calculateur!V115*Calculateur!X115*VLOOKUP('Données projet'!$B$9,Paramètres!$A$1:$I$89,3,0)*0.475*44/12</f>
        <v>0.46187895392109291</v>
      </c>
      <c r="AB115" s="23">
        <f>EXP(-LN(2)/2)*AB114+(1-EXP(-LN(2)/2))/(LN(2)/2)*V115*Y115*VLOOKUP('Données projet'!$B$9,Paramètres!$A$1:$I$89,3,0)*0.475*44/12</f>
        <v>6.9421382476360486E-12</v>
      </c>
      <c r="AC115" s="24">
        <f t="shared" si="57"/>
        <v>2.2596629171030953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-1.0197709343628959E-13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147.86588596077661</v>
      </c>
      <c r="T116" s="62">
        <f t="shared" si="88"/>
        <v>228.19398518024298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1.7625305161971405</v>
      </c>
      <c r="AA116" s="23">
        <f>EXP(-LN(2)/25)*AA115+(1-EXP(-LN(2)/25))/(LN(2)/25)*Calculateur!V116*Calculateur!X116*VLOOKUP('Données projet'!$B$9,Paramètres!$A$1:$I$89,3,0)*0.475*44/12</f>
        <v>0.44924884963696204</v>
      </c>
      <c r="AB116" s="23">
        <f>EXP(-LN(2)/2)*AB115+(1-EXP(-LN(2)/2))/(LN(2)/2)*V116*Y116*VLOOKUP('Données projet'!$B$9,Paramètres!$A$1:$I$89,3,0)*0.475*44/12</f>
        <v>4.9088330308379458E-12</v>
      </c>
      <c r="AC116" s="24">
        <f t="shared" si="57"/>
        <v>2.2117793658390115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-1.0197709343628959E-13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147.86588596077661</v>
      </c>
      <c r="T117" s="62">
        <f t="shared" si="88"/>
        <v>228.19398518024298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1.7279683678119784</v>
      </c>
      <c r="AA117" s="23">
        <f>EXP(-LN(2)/25)*AA116+(1-EXP(-LN(2)/25))/(LN(2)/25)*Calculateur!V117*Calculateur!X117*VLOOKUP('Données projet'!$B$9,Paramètres!$A$1:$I$89,3,0)*0.475*44/12</f>
        <v>0.4369641162186691</v>
      </c>
      <c r="AB117" s="23">
        <f>EXP(-LN(2)/2)*AB116+(1-EXP(-LN(2)/2))/(LN(2)/2)*V117*Y117*VLOOKUP('Données projet'!$B$9,Paramètres!$A$1:$I$89,3,0)*0.475*44/12</f>
        <v>3.4710691238180243E-12</v>
      </c>
      <c r="AC117" s="24">
        <f t="shared" si="57"/>
        <v>2.1649324840341184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-1.0197709343628959E-13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147.86588596077661</v>
      </c>
      <c r="T118" s="62">
        <f t="shared" si="88"/>
        <v>228.19398518024298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1.6940839620758203</v>
      </c>
      <c r="AA118" s="23">
        <f>EXP(-LN(2)/25)*AA117+(1-EXP(-LN(2)/25))/(LN(2)/25)*Calculateur!V118*Calculateur!X118*VLOOKUP('Données projet'!$B$9,Paramètres!$A$1:$I$89,3,0)*0.475*44/12</f>
        <v>0.42501530948172539</v>
      </c>
      <c r="AB118" s="23">
        <f>EXP(-LN(2)/2)*AB117+(1-EXP(-LN(2)/2))/(LN(2)/2)*V118*Y118*VLOOKUP('Données projet'!$B$9,Paramètres!$A$1:$I$89,3,0)*0.475*44/12</f>
        <v>2.4544165154189729E-12</v>
      </c>
      <c r="AC118" s="24">
        <f t="shared" si="57"/>
        <v>2.1190992715600001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-1.0197709343628959E-13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147.86588596077661</v>
      </c>
      <c r="T119" s="62">
        <f t="shared" si="88"/>
        <v>228.19398518024298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1.6608640088687014</v>
      </c>
      <c r="AA119" s="23">
        <f>EXP(-LN(2)/25)*AA118+(1-EXP(-LN(2)/25))/(LN(2)/25)*Calculateur!V119*Calculateur!X119*VLOOKUP('Données projet'!$B$9,Paramètres!$A$1:$I$89,3,0)*0.475*44/12</f>
        <v>0.41339324349336387</v>
      </c>
      <c r="AB119" s="23">
        <f>EXP(-LN(2)/2)*AB118+(1-EXP(-LN(2)/2))/(LN(2)/2)*V119*Y119*VLOOKUP('Données projet'!$B$9,Paramètres!$A$1:$I$89,3,0)*0.475*44/12</f>
        <v>1.7355345619090122E-12</v>
      </c>
      <c r="AC119" s="24">
        <f t="shared" si="57"/>
        <v>2.0742572523638008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-1.0197709343628959E-13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147.86588596077661</v>
      </c>
      <c r="T120" s="62">
        <f t="shared" si="88"/>
        <v>228.19398518024298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1.6282954786818036</v>
      </c>
      <c r="AA120" s="23">
        <f>EXP(-LN(2)/25)*AA119+(1-EXP(-LN(2)/25))/(LN(2)/25)*Calculateur!V120*Calculateur!X120*VLOOKUP('Données projet'!$B$9,Paramètres!$A$1:$I$89,3,0)*0.475*44/12</f>
        <v>0.40208898351063199</v>
      </c>
      <c r="AB120" s="23">
        <f>EXP(-LN(2)/2)*AB119+(1-EXP(-LN(2)/2))/(LN(2)/2)*V120*Y120*VLOOKUP('Données projet'!$B$9,Paramètres!$A$1:$I$89,3,0)*0.475*44/12</f>
        <v>1.2272082577094865E-12</v>
      </c>
      <c r="AC120" s="24">
        <f t="shared" si="57"/>
        <v>2.0303844621936626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-1.0197709343628959E-13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147.86588596077661</v>
      </c>
      <c r="T121" s="62">
        <f t="shared" si="88"/>
        <v>228.19398518024298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1.5963655975070288</v>
      </c>
      <c r="AA121" s="23">
        <f>EXP(-LN(2)/25)*AA120+(1-EXP(-LN(2)/25))/(LN(2)/25)*Calculateur!V121*Calculateur!X121*VLOOKUP('Données projet'!$B$9,Paramètres!$A$1:$I$89,3,0)*0.475*44/12</f>
        <v>0.39109383911159312</v>
      </c>
      <c r="AB121" s="23">
        <f>EXP(-LN(2)/2)*AB120+(1-EXP(-LN(2)/2))/(LN(2)/2)*V121*Y121*VLOOKUP('Données projet'!$B$9,Paramètres!$A$1:$I$89,3,0)*0.475*44/12</f>
        <v>8.6776728095450608E-13</v>
      </c>
      <c r="AC121" s="24">
        <f t="shared" si="57"/>
        <v>1.9874594366194898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-1.0197709343628959E-13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147.86588596077661</v>
      </c>
      <c r="T122" s="62">
        <f t="shared" si="88"/>
        <v>228.19398518024298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1.5650618418267868</v>
      </c>
      <c r="AA122" s="23">
        <f>EXP(-LN(2)/25)*AA121+(1-EXP(-LN(2)/25))/(LN(2)/25)*Calculateur!V122*Calculateur!X122*VLOOKUP('Données projet'!$B$9,Paramètres!$A$1:$I$89,3,0)*0.475*44/12</f>
        <v>0.38039935751435544</v>
      </c>
      <c r="AB122" s="23">
        <f>EXP(-LN(2)/2)*AB121+(1-EXP(-LN(2)/2))/(LN(2)/2)*V122*Y122*VLOOKUP('Données projet'!$B$9,Paramètres!$A$1:$I$89,3,0)*0.475*44/12</f>
        <v>6.1360412885474323E-13</v>
      </c>
      <c r="AC122" s="24">
        <f t="shared" si="57"/>
        <v>1.9454611993417557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-1.0197709343628959E-13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147.86588596077661</v>
      </c>
      <c r="T123" s="62">
        <f t="shared" si="88"/>
        <v>228.19398518024298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1.5343719337020287</v>
      </c>
      <c r="AA123" s="23">
        <f>EXP(-LN(2)/25)*AA122+(1-EXP(-LN(2)/25))/(LN(2)/25)*Calculateur!V123*Calculateur!X123*VLOOKUP('Données projet'!$B$9,Paramètres!$A$1:$I$89,3,0)*0.475*44/12</f>
        <v>0.36999731707879258</v>
      </c>
      <c r="AB123" s="23">
        <f>EXP(-LN(2)/2)*AB122+(1-EXP(-LN(2)/2))/(LN(2)/2)*V123*Y123*VLOOKUP('Données projet'!$B$9,Paramètres!$A$1:$I$89,3,0)*0.475*44/12</f>
        <v>4.3388364047725304E-13</v>
      </c>
      <c r="AC123" s="24">
        <f t="shared" si="57"/>
        <v>1.9043692507812553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-1.0197709343628959E-13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147.86588596077661</v>
      </c>
      <c r="T124" s="62">
        <f t="shared" si="88"/>
        <v>228.19398518024298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1.5042838359566015</v>
      </c>
      <c r="AA124" s="23">
        <f>EXP(-LN(2)/25)*AA123+(1-EXP(-LN(2)/25))/(LN(2)/25)*Calculateur!V124*Calculateur!X124*VLOOKUP('Données projet'!$B$9,Paramètres!$A$1:$I$89,3,0)*0.475*44/12</f>
        <v>0.35987972098595972</v>
      </c>
      <c r="AB124" s="23">
        <f>EXP(-LN(2)/2)*AB123+(1-EXP(-LN(2)/2))/(LN(2)/2)*V124*Y124*VLOOKUP('Données projet'!$B$9,Paramètres!$A$1:$I$89,3,0)*0.475*44/12</f>
        <v>3.0680206442737162E-13</v>
      </c>
      <c r="AC124" s="24">
        <f t="shared" si="57"/>
        <v>1.8641635569428681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-1.0197709343628959E-13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147.86588596077661</v>
      </c>
      <c r="T125" s="62">
        <f t="shared" si="88"/>
        <v>228.19398518024298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1.4747857474560346</v>
      </c>
      <c r="AA125" s="23">
        <f>EXP(-LN(2)/25)*AA124+(1-EXP(-LN(2)/25))/(LN(2)/25)*Calculateur!V125*Calculateur!X125*VLOOKUP('Données projet'!$B$9,Paramètres!$A$1:$I$89,3,0)*0.475*44/12</f>
        <v>0.35003879109034663</v>
      </c>
      <c r="AB125" s="23">
        <f>EXP(-LN(2)/2)*AB124+(1-EXP(-LN(2)/2))/(LN(2)/2)*V125*Y125*VLOOKUP('Données projet'!$B$9,Paramètres!$A$1:$I$89,3,0)*0.475*44/12</f>
        <v>2.1694182023862652E-13</v>
      </c>
      <c r="AC125" s="24">
        <f t="shared" si="57"/>
        <v>1.8248245385465982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-1.0197709343628959E-13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147.86588596077661</v>
      </c>
      <c r="T126" s="62">
        <f t="shared" si="88"/>
        <v>228.19398518024298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1.4458660984789065</v>
      </c>
      <c r="AA126" s="23">
        <f>EXP(-LN(2)/25)*AA125+(1-EXP(-LN(2)/25))/(LN(2)/25)*Calculateur!V126*Calculateur!X126*VLOOKUP('Données projet'!$B$9,Paramètres!$A$1:$I$89,3,0)*0.475*44/12</f>
        <v>0.34046696194024112</v>
      </c>
      <c r="AB126" s="23">
        <f>EXP(-LN(2)/2)*AB125+(1-EXP(-LN(2)/2))/(LN(2)/2)*V126*Y126*VLOOKUP('Données projet'!$B$9,Paramètres!$A$1:$I$89,3,0)*0.475*44/12</f>
        <v>1.5340103221368581E-13</v>
      </c>
      <c r="AC126" s="24">
        <f t="shared" si="57"/>
        <v>1.7863330604193011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-1.0197709343628959E-13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147.86588596077661</v>
      </c>
      <c r="T127" s="62">
        <f t="shared" si="88"/>
        <v>228.19398518024298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1.4175135461789756</v>
      </c>
      <c r="AA127" s="23">
        <f>EXP(-LN(2)/25)*AA126+(1-EXP(-LN(2)/25))/(LN(2)/25)*Calculateur!V127*Calculateur!X127*VLOOKUP('Données projet'!$B$9,Paramètres!$A$1:$I$89,3,0)*0.475*44/12</f>
        <v>0.33115687496160584</v>
      </c>
      <c r="AB127" s="23">
        <f>EXP(-LN(2)/2)*AB126+(1-EXP(-LN(2)/2))/(LN(2)/2)*V127*Y127*VLOOKUP('Données projet'!$B$9,Paramètres!$A$1:$I$89,3,0)*0.475*44/12</f>
        <v>1.0847091011931326E-13</v>
      </c>
      <c r="AC127" s="24">
        <f t="shared" si="57"/>
        <v>1.74867042114069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-1.0197709343628959E-13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147.86588596077661</v>
      </c>
      <c r="T128" s="62">
        <f t="shared" si="88"/>
        <v>228.19398518024298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1.389716970136297</v>
      </c>
      <c r="AA128" s="23">
        <f>EXP(-LN(2)/25)*AA127+(1-EXP(-LN(2)/25))/(LN(2)/25)*Calculateur!V128*Calculateur!X128*VLOOKUP('Données projet'!$B$9,Paramètres!$A$1:$I$89,3,0)*0.475*44/12</f>
        <v>0.32210137280099754</v>
      </c>
      <c r="AB128" s="23">
        <f>EXP(-LN(2)/2)*AB127+(1-EXP(-LN(2)/2))/(LN(2)/2)*V128*Y128*VLOOKUP('Données projet'!$B$9,Paramètres!$A$1:$I$89,3,0)*0.475*44/12</f>
        <v>7.6700516106842904E-14</v>
      </c>
      <c r="AC128" s="24">
        <f t="shared" si="57"/>
        <v>1.7118183429373712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-1.0197709343628959E-13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147.86588596077661</v>
      </c>
      <c r="T129" s="62">
        <f t="shared" si="88"/>
        <v>228.19398518024298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1.3624654679955781</v>
      </c>
      <c r="AA129" s="23">
        <f>EXP(-LN(2)/25)*AA128+(1-EXP(-LN(2)/25))/(LN(2)/25)*Calculateur!V129*Calculateur!X129*VLOOKUP('Données projet'!$B$9,Paramètres!$A$1:$I$89,3,0)*0.475*44/12</f>
        <v>0.31329349382317923</v>
      </c>
      <c r="AB129" s="23">
        <f>EXP(-LN(2)/2)*AB128+(1-EXP(-LN(2)/2))/(LN(2)/2)*V129*Y129*VLOOKUP('Données projet'!$B$9,Paramètres!$A$1:$I$89,3,0)*0.475*44/12</f>
        <v>5.423545505965663E-14</v>
      </c>
      <c r="AC129" s="24">
        <f t="shared" si="57"/>
        <v>1.6757589618188116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-1.0197709343628959E-13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147.86588596077661</v>
      </c>
      <c r="T130" s="62">
        <f t="shared" si="88"/>
        <v>228.19398518024298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1.3357483511900636</v>
      </c>
      <c r="AA130" s="23">
        <f>EXP(-LN(2)/25)*AA129+(1-EXP(-LN(2)/25))/(LN(2)/25)*Calculateur!V130*Calculateur!X130*VLOOKUP('Données projet'!$B$9,Paramètres!$A$1:$I$89,3,0)*0.475*44/12</f>
        <v>0.30472646675919557</v>
      </c>
      <c r="AB130" s="23">
        <f>EXP(-LN(2)/2)*AB129+(1-EXP(-LN(2)/2))/(LN(2)/2)*V130*Y130*VLOOKUP('Données projet'!$B$9,Paramètres!$A$1:$I$89,3,0)*0.475*44/12</f>
        <v>3.8350258053421452E-14</v>
      </c>
      <c r="AC130" s="24">
        <f t="shared" si="57"/>
        <v>1.6404748179492976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-1.0197709343628959E-13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147.86588596077661</v>
      </c>
      <c r="T131" s="62">
        <f t="shared" si="88"/>
        <v>228.19398518024298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1.3095551407492731</v>
      </c>
      <c r="AA131" s="23">
        <f>EXP(-LN(2)/25)*AA130+(1-EXP(-LN(2)/25))/(LN(2)/25)*Calculateur!V131*Calculateur!X131*VLOOKUP('Données projet'!$B$9,Paramètres!$A$1:$I$89,3,0)*0.475*44/12</f>
        <v>0.29639370550079697</v>
      </c>
      <c r="AB131" s="23">
        <f>EXP(-LN(2)/2)*AB130+(1-EXP(-LN(2)/2))/(LN(2)/2)*V131*Y131*VLOOKUP('Données projet'!$B$9,Paramètres!$A$1:$I$89,3,0)*0.475*44/12</f>
        <v>2.7117727529828315E-14</v>
      </c>
      <c r="AC131" s="24">
        <f t="shared" si="57"/>
        <v>1.6059488462500973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-1.0197709343628959E-13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147.86588596077661</v>
      </c>
      <c r="T132" s="62">
        <f t="shared" si="88"/>
        <v>228.19398518024298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1.2838755631889458</v>
      </c>
      <c r="AA132" s="23">
        <f>EXP(-LN(2)/25)*AA131+(1-EXP(-LN(2)/25))/(LN(2)/25)*Calculateur!V132*Calculateur!X132*VLOOKUP('Données projet'!$B$9,Paramètres!$A$1:$I$89,3,0)*0.475*44/12</f>
        <v>0.28828880403721013</v>
      </c>
      <c r="AB132" s="23">
        <f>EXP(-LN(2)/2)*AB131+(1-EXP(-LN(2)/2))/(LN(2)/2)*V132*Y132*VLOOKUP('Données projet'!$B$9,Paramètres!$A$1:$I$89,3,0)*0.475*44/12</f>
        <v>1.9175129026710726E-14</v>
      </c>
      <c r="AC132" s="24">
        <f t="shared" ref="AC132:AC153" si="111">SUM(Z132:AB132)</f>
        <v>1.5721643672261751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-1.0197709343628959E-13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147.86588596077661</v>
      </c>
      <c r="T133" s="62">
        <f t="shared" ref="T133:T196" si="142">$T$3</f>
        <v>228.19398518024298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1.2586995464815807</v>
      </c>
      <c r="AA133" s="23">
        <f>EXP(-LN(2)/25)*AA132+(1-EXP(-LN(2)/25))/(LN(2)/25)*Calculateur!V133*Calculateur!X133*VLOOKUP('Données projet'!$B$9,Paramètres!$A$1:$I$89,3,0)*0.475*44/12</f>
        <v>0.28040553153036329</v>
      </c>
      <c r="AB133" s="23">
        <f>EXP(-LN(2)/2)*AB132+(1-EXP(-LN(2)/2))/(LN(2)/2)*V133*Y133*VLOOKUP('Données projet'!$B$9,Paramètres!$A$1:$I$89,3,0)*0.475*44/12</f>
        <v>1.3558863764914157E-14</v>
      </c>
      <c r="AC133" s="24">
        <f t="shared" si="111"/>
        <v>1.5391050780119575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-1.0197709343628959E-13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147.86588596077661</v>
      </c>
      <c r="T134" s="62">
        <f t="shared" si="142"/>
        <v>228.19398518024298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1.234017216105993</v>
      </c>
      <c r="AA134" s="23">
        <f>EXP(-LN(2)/25)*AA133+(1-EXP(-LN(2)/25))/(LN(2)/25)*Calculateur!V134*Calculateur!X134*VLOOKUP('Données projet'!$B$9,Paramètres!$A$1:$I$89,3,0)*0.475*44/12</f>
        <v>0.27273782752477949</v>
      </c>
      <c r="AB134" s="23">
        <f>EXP(-LN(2)/2)*AB133+(1-EXP(-LN(2)/2))/(LN(2)/2)*V134*Y134*VLOOKUP('Données projet'!$B$9,Paramètres!$A$1:$I$89,3,0)*0.475*44/12</f>
        <v>9.587564513355363E-15</v>
      </c>
      <c r="AC134" s="24">
        <f t="shared" si="111"/>
        <v>1.5067550436307819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-1.0197709343628959E-13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147.86588596077661</v>
      </c>
      <c r="T135" s="62">
        <f t="shared" si="142"/>
        <v>228.19398518024298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1.2098188911743357</v>
      </c>
      <c r="AA135" s="23">
        <f>EXP(-LN(2)/25)*AA134+(1-EXP(-LN(2)/25))/(LN(2)/25)*Calculateur!V135*Calculateur!X135*VLOOKUP('Données projet'!$B$9,Paramètres!$A$1:$I$89,3,0)*0.475*44/12</f>
        <v>0.26527979728845541</v>
      </c>
      <c r="AB135" s="23">
        <f>EXP(-LN(2)/2)*AB134+(1-EXP(-LN(2)/2))/(LN(2)/2)*V135*Y135*VLOOKUP('Données projet'!$B$9,Paramètres!$A$1:$I$89,3,0)*0.475*44/12</f>
        <v>6.7794318824570787E-15</v>
      </c>
      <c r="AC135" s="24">
        <f t="shared" si="111"/>
        <v>1.4750986884627981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-1.0197709343628959E-13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147.86588596077661</v>
      </c>
      <c r="T136" s="62">
        <f t="shared" si="142"/>
        <v>228.19398518024298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1.1860950806350674</v>
      </c>
      <c r="AA136" s="23">
        <f>EXP(-LN(2)/25)*AA135+(1-EXP(-LN(2)/25))/(LN(2)/25)*Calculateur!V136*Calculateur!X136*VLOOKUP('Données projet'!$B$9,Paramètres!$A$1:$I$89,3,0)*0.475*44/12</f>
        <v>0.25802570728114438</v>
      </c>
      <c r="AB136" s="23">
        <f>EXP(-LN(2)/2)*AB135+(1-EXP(-LN(2)/2))/(LN(2)/2)*V136*Y136*VLOOKUP('Données projet'!$B$9,Paramètres!$A$1:$I$89,3,0)*0.475*44/12</f>
        <v>4.7937822566776815E-15</v>
      </c>
      <c r="AC136" s="24">
        <f t="shared" si="111"/>
        <v>1.4441207879162166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-1.0197709343628959E-13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147.86588596077661</v>
      </c>
      <c r="T137" s="62">
        <f t="shared" si="142"/>
        <v>228.19398518024298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1.1628364795503785</v>
      </c>
      <c r="AA137" s="23">
        <f>EXP(-LN(2)/25)*AA136+(1-EXP(-LN(2)/25))/(LN(2)/25)*Calculateur!V137*Calculateur!X137*VLOOKUP('Données projet'!$B$9,Paramètres!$A$1:$I$89,3,0)*0.475*44/12</f>
        <v>0.25096998074655924</v>
      </c>
      <c r="AB137" s="23">
        <f>EXP(-LN(2)/2)*AB136+(1-EXP(-LN(2)/2))/(LN(2)/2)*V137*Y137*VLOOKUP('Données projet'!$B$9,Paramètres!$A$1:$I$89,3,0)*0.475*44/12</f>
        <v>3.3897159412285394E-15</v>
      </c>
      <c r="AC137" s="24">
        <f t="shared" si="111"/>
        <v>1.4138064602969411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-1.0197709343628959E-13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147.86588596077661</v>
      </c>
      <c r="T138" s="62">
        <f t="shared" si="142"/>
        <v>228.19398518024298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1.1400339654466145</v>
      </c>
      <c r="AA138" s="23">
        <f>EXP(-LN(2)/25)*AA137+(1-EXP(-LN(2)/25))/(LN(2)/25)*Calculateur!V138*Calculateur!X138*VLOOKUP('Données projet'!$B$9,Paramètres!$A$1:$I$89,3,0)*0.475*44/12</f>
        <v>0.24410719342510689</v>
      </c>
      <c r="AB138" s="23">
        <f>EXP(-LN(2)/2)*AB137+(1-EXP(-LN(2)/2))/(LN(2)/2)*V138*Y138*VLOOKUP('Données projet'!$B$9,Paramètres!$A$1:$I$89,3,0)*0.475*44/12</f>
        <v>2.3968911283388407E-15</v>
      </c>
      <c r="AC138" s="24">
        <f t="shared" si="111"/>
        <v>1.3841411588717238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-1.0197709343628959E-13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147.86588596077661</v>
      </c>
      <c r="T139" s="62">
        <f t="shared" si="142"/>
        <v>228.19398518024298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1.1176785947362651</v>
      </c>
      <c r="AA139" s="23">
        <f>EXP(-LN(2)/25)*AA138+(1-EXP(-LN(2)/25))/(LN(2)/25)*Calculateur!V139*Calculateur!X139*VLOOKUP('Données projet'!$B$9,Paramètres!$A$1:$I$89,3,0)*0.475*44/12</f>
        <v>0.23743206938385797</v>
      </c>
      <c r="AB139" s="23">
        <f>EXP(-LN(2)/2)*AB138+(1-EXP(-LN(2)/2))/(LN(2)/2)*V139*Y139*VLOOKUP('Données projet'!$B$9,Paramètres!$A$1:$I$89,3,0)*0.475*44/12</f>
        <v>1.6948579706142697E-15</v>
      </c>
      <c r="AC139" s="24">
        <f t="shared" si="111"/>
        <v>1.3551106641201249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-1.0197709343628959E-13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147.86588596077661</v>
      </c>
      <c r="T140" s="62">
        <f t="shared" si="142"/>
        <v>228.19398518024298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1.0957615992101157</v>
      </c>
      <c r="AA140" s="23">
        <f>EXP(-LN(2)/25)*AA139+(1-EXP(-LN(2)/25))/(LN(2)/25)*Calculateur!V140*Calculateur!X140*VLOOKUP('Données projet'!$B$9,Paramètres!$A$1:$I$89,3,0)*0.475*44/12</f>
        <v>0.23093947696054651</v>
      </c>
      <c r="AB140" s="23">
        <f>EXP(-LN(2)/2)*AB139+(1-EXP(-LN(2)/2))/(LN(2)/2)*V140*Y140*VLOOKUP('Données projet'!$B$9,Paramètres!$A$1:$I$89,3,0)*0.475*44/12</f>
        <v>1.1984455641694204E-15</v>
      </c>
      <c r="AC140" s="24">
        <f t="shared" si="111"/>
        <v>1.3267010761706632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-1.0197709343628959E-13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147.86588596077661</v>
      </c>
      <c r="T141" s="62">
        <f t="shared" si="142"/>
        <v>228.19398518024298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1.0742743825981869</v>
      </c>
      <c r="AA141" s="23">
        <f>EXP(-LN(2)/25)*AA140+(1-EXP(-LN(2)/25))/(LN(2)/25)*Calculateur!V141*Calculateur!X141*VLOOKUP('Données projet'!$B$9,Paramètres!$A$1:$I$89,3,0)*0.475*44/12</f>
        <v>0.22462442481848108</v>
      </c>
      <c r="AB141" s="23">
        <f>EXP(-LN(2)/2)*AB140+(1-EXP(-LN(2)/2))/(LN(2)/2)*V141*Y141*VLOOKUP('Données projet'!$B$9,Paramètres!$A$1:$I$89,3,0)*0.475*44/12</f>
        <v>8.4742898530713484E-16</v>
      </c>
      <c r="AC141" s="24">
        <f t="shared" si="111"/>
        <v>1.2988988074166687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-1.0197709343628959E-13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147.86588596077661</v>
      </c>
      <c r="T142" s="62">
        <f t="shared" si="142"/>
        <v>228.19398518024298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1.05320851719811</v>
      </c>
      <c r="AA142" s="23">
        <f>EXP(-LN(2)/25)*AA141+(1-EXP(-LN(2)/25))/(LN(2)/25)*Calculateur!V142*Calculateur!X142*VLOOKUP('Données projet'!$B$9,Paramètres!$A$1:$I$89,3,0)*0.475*44/12</f>
        <v>0.2184820581093346</v>
      </c>
      <c r="AB142" s="23">
        <f>EXP(-LN(2)/2)*AB141+(1-EXP(-LN(2)/2))/(LN(2)/2)*V142*Y142*VLOOKUP('Données projet'!$B$9,Paramètres!$A$1:$I$89,3,0)*0.475*44/12</f>
        <v>5.9922278208471019E-16</v>
      </c>
      <c r="AC142" s="24">
        <f t="shared" si="111"/>
        <v>1.2716905753074452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-1.0197709343628959E-13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147.86588596077661</v>
      </c>
      <c r="T143" s="62">
        <f t="shared" si="142"/>
        <v>228.19398518024298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1.0325557405696195</v>
      </c>
      <c r="AA143" s="23">
        <f>EXP(-LN(2)/25)*AA142+(1-EXP(-LN(2)/25))/(LN(2)/25)*Calculateur!V143*Calculateur!X143*VLOOKUP('Données projet'!$B$9,Paramètres!$A$1:$I$89,3,0)*0.475*44/12</f>
        <v>0.21250765474086275</v>
      </c>
      <c r="AB143" s="23">
        <f>EXP(-LN(2)/2)*AB142+(1-EXP(-LN(2)/2))/(LN(2)/2)*V143*Y143*VLOOKUP('Données projet'!$B$9,Paramètres!$A$1:$I$89,3,0)*0.475*44/12</f>
        <v>4.2371449265356742E-16</v>
      </c>
      <c r="AC143" s="24">
        <f t="shared" si="111"/>
        <v>1.2450633953104826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-1.0197709343628959E-13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147.86588596077661</v>
      </c>
      <c r="T144" s="62">
        <f t="shared" si="142"/>
        <v>228.19398518024298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1.0123079522938638</v>
      </c>
      <c r="AA144" s="23">
        <f>EXP(-LN(2)/25)*AA143+(1-EXP(-LN(2)/25))/(LN(2)/25)*Calculateur!V144*Calculateur!X144*VLOOKUP('Données projet'!$B$9,Paramètres!$A$1:$I$89,3,0)*0.475*44/12</f>
        <v>0.20669662174668199</v>
      </c>
      <c r="AB144" s="23">
        <f>EXP(-LN(2)/2)*AB143+(1-EXP(-LN(2)/2))/(LN(2)/2)*V144*Y144*VLOOKUP('Données projet'!$B$9,Paramètres!$A$1:$I$89,3,0)*0.475*44/12</f>
        <v>2.9961139104235509E-16</v>
      </c>
      <c r="AC144" s="24">
        <f t="shared" si="111"/>
        <v>1.219004574040546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-1.0197709343628959E-13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147.86588596077661</v>
      </c>
      <c r="T145" s="62">
        <f t="shared" si="142"/>
        <v>228.19398518024298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0.99245721079626426</v>
      </c>
      <c r="AA145" s="23">
        <f>EXP(-LN(2)/25)*AA144+(1-EXP(-LN(2)/25))/(LN(2)/25)*Calculateur!V145*Calculateur!X145*VLOOKUP('Données projet'!$B$9,Paramètres!$A$1:$I$89,3,0)*0.475*44/12</f>
        <v>0.20104449175531605</v>
      </c>
      <c r="AB145" s="23">
        <f>EXP(-LN(2)/2)*AB144+(1-EXP(-LN(2)/2))/(LN(2)/2)*V145*Y145*VLOOKUP('Données projet'!$B$9,Paramètres!$A$1:$I$89,3,0)*0.475*44/12</f>
        <v>2.1185724632678371E-16</v>
      </c>
      <c r="AC145" s="24">
        <f t="shared" si="111"/>
        <v>1.1935017025515806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-1.0197709343628959E-13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147.86588596077661</v>
      </c>
      <c r="T146" s="62">
        <f t="shared" si="142"/>
        <v>228.19398518024298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0.97299573023167585</v>
      </c>
      <c r="AA146" s="23">
        <f>EXP(-LN(2)/25)*AA145+(1-EXP(-LN(2)/25))/(LN(2)/25)*Calculateur!V146*Calculateur!X146*VLOOKUP('Données projet'!$B$9,Paramètres!$A$1:$I$89,3,0)*0.475*44/12</f>
        <v>0.19554691955579662</v>
      </c>
      <c r="AB146" s="23">
        <f>EXP(-LN(2)/2)*AB145+(1-EXP(-LN(2)/2))/(LN(2)/2)*V146*Y146*VLOOKUP('Données projet'!$B$9,Paramètres!$A$1:$I$89,3,0)*0.475*44/12</f>
        <v>1.4980569552117755E-16</v>
      </c>
      <c r="AC146" s="24">
        <f t="shared" si="111"/>
        <v>1.1685426497874727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-1.0197709343628959E-13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147.86588596077661</v>
      </c>
      <c r="T147" s="62">
        <f t="shared" si="142"/>
        <v>228.19398518024298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0.953915877430628</v>
      </c>
      <c r="AA147" s="23">
        <f>EXP(-LN(2)/25)*AA146+(1-EXP(-LN(2)/25))/(LN(2)/25)*Calculateur!V147*Calculateur!X147*VLOOKUP('Données projet'!$B$9,Paramètres!$A$1:$I$89,3,0)*0.475*44/12</f>
        <v>0.19019967875717778</v>
      </c>
      <c r="AB147" s="23">
        <f>EXP(-LN(2)/2)*AB146+(1-EXP(-LN(2)/2))/(LN(2)/2)*V147*Y147*VLOOKUP('Données projet'!$B$9,Paramètres!$A$1:$I$89,3,0)*0.475*44/12</f>
        <v>1.0592862316339186E-16</v>
      </c>
      <c r="AC147" s="24">
        <f t="shared" si="111"/>
        <v>1.1441155561878058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-1.0197709343628959E-13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147.86588596077661</v>
      </c>
      <c r="T148" s="62">
        <f t="shared" si="142"/>
        <v>228.19398518024298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0.9352101689054475</v>
      </c>
      <c r="AA148" s="23">
        <f>EXP(-LN(2)/25)*AA147+(1-EXP(-LN(2)/25))/(LN(2)/25)*Calculateur!V148*Calculateur!X148*VLOOKUP('Données projet'!$B$9,Paramètres!$A$1:$I$89,3,0)*0.475*44/12</f>
        <v>0.18499865853939634</v>
      </c>
      <c r="AB148" s="23">
        <f>EXP(-LN(2)/2)*AB147+(1-EXP(-LN(2)/2))/(LN(2)/2)*V148*Y148*VLOOKUP('Données projet'!$B$9,Paramètres!$A$1:$I$89,3,0)*0.475*44/12</f>
        <v>7.4902847760588773E-17</v>
      </c>
      <c r="AC148" s="24">
        <f t="shared" si="111"/>
        <v>1.1202088274448438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-1.0197709343628959E-13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147.86588596077661</v>
      </c>
      <c r="T149" s="62">
        <f t="shared" si="142"/>
        <v>228.19398518024298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0.91687126791509022</v>
      </c>
      <c r="AA149" s="23">
        <f>EXP(-LN(2)/25)*AA148+(1-EXP(-LN(2)/25))/(LN(2)/25)*Calculateur!V149*Calculateur!X149*VLOOKUP('Données projet'!$B$9,Paramètres!$A$1:$I$89,3,0)*0.475*44/12</f>
        <v>0.17993986049297991</v>
      </c>
      <c r="AB149" s="23">
        <f>EXP(-LN(2)/2)*AB148+(1-EXP(-LN(2)/2))/(LN(2)/2)*V149*Y149*VLOOKUP('Données projet'!$B$9,Paramètres!$A$1:$I$89,3,0)*0.475*44/12</f>
        <v>5.2964311581695928E-17</v>
      </c>
      <c r="AC149" s="24">
        <f t="shared" si="111"/>
        <v>1.0968111284080702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-1.0197709343628959E-13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147.86588596077661</v>
      </c>
      <c r="T150" s="62">
        <f t="shared" si="142"/>
        <v>228.19398518024298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0.8988919815875287</v>
      </c>
      <c r="AA150" s="23">
        <f>EXP(-LN(2)/25)*AA149+(1-EXP(-LN(2)/25))/(LN(2)/25)*Calculateur!V150*Calculateur!X150*VLOOKUP('Données projet'!$B$9,Paramètres!$A$1:$I$89,3,0)*0.475*44/12</f>
        <v>0.17501939554517337</v>
      </c>
      <c r="AB150" s="23">
        <f>EXP(-LN(2)/2)*AB149+(1-EXP(-LN(2)/2))/(LN(2)/2)*V150*Y150*VLOOKUP('Données projet'!$B$9,Paramètres!$A$1:$I$89,3,0)*0.475*44/12</f>
        <v>3.7451423880294387E-17</v>
      </c>
      <c r="AC150" s="24">
        <f t="shared" si="111"/>
        <v>1.073911377132702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-1.0197709343628959E-13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147.86588596077661</v>
      </c>
      <c r="T151" s="62">
        <f t="shared" si="142"/>
        <v>228.19398518024298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0.88126525809856882</v>
      </c>
      <c r="AA151" s="23">
        <f>EXP(-LN(2)/25)*AA150+(1-EXP(-LN(2)/25))/(LN(2)/25)*Calculateur!V151*Calculateur!X151*VLOOKUP('Données projet'!$B$9,Paramètres!$A$1:$I$89,3,0)*0.475*44/12</f>
        <v>0.17023348097012062</v>
      </c>
      <c r="AB151" s="23">
        <f>EXP(-LN(2)/2)*AB150+(1-EXP(-LN(2)/2))/(LN(2)/2)*V151*Y151*VLOOKUP('Données projet'!$B$9,Paramètres!$A$1:$I$89,3,0)*0.475*44/12</f>
        <v>2.6482155790847964E-17</v>
      </c>
      <c r="AC151" s="24">
        <f t="shared" si="111"/>
        <v>1.0514987390686894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-1.0197709343628959E-13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147.86588596077661</v>
      </c>
      <c r="T152" s="62">
        <f t="shared" si="142"/>
        <v>228.19398518024298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0.86398418390598775</v>
      </c>
      <c r="AA152" s="23">
        <f>EXP(-LN(2)/25)*AA151+(1-EXP(-LN(2)/25))/(LN(2)/25)*Calculateur!V152*Calculateur!X152*VLOOKUP('Données projet'!$B$9,Paramètres!$A$1:$I$89,3,0)*0.475*44/12</f>
        <v>0.16557843748080298</v>
      </c>
      <c r="AB152" s="23">
        <f>EXP(-LN(2)/2)*AB151+(1-EXP(-LN(2)/2))/(LN(2)/2)*V152*Y152*VLOOKUP('Données projet'!$B$9,Paramètres!$A$1:$I$89,3,0)*0.475*44/12</f>
        <v>1.8725711940147193E-17</v>
      </c>
      <c r="AC152" s="24">
        <f t="shared" si="111"/>
        <v>1.0295626213867908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-1.0197709343628959E-13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147.86588596077661</v>
      </c>
      <c r="T153" s="62">
        <f t="shared" si="142"/>
        <v>228.19398518024298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0.84704198103790873</v>
      </c>
      <c r="AA153" s="23">
        <f>EXP(-LN(2)/25)*AA152+(1-EXP(-LN(2)/25))/(LN(2)/25)*Calculateur!V153*Calculateur!X153*VLOOKUP('Données projet'!$B$9,Paramètres!$A$1:$I$89,3,0)*0.475*44/12</f>
        <v>0.16105068640049883</v>
      </c>
      <c r="AB153" s="23">
        <f>EXP(-LN(2)/2)*AB152+(1-EXP(-LN(2)/2))/(LN(2)/2)*V153*Y153*VLOOKUP('Données projet'!$B$9,Paramètres!$A$1:$I$89,3,0)*0.475*44/12</f>
        <v>1.3241077895423982E-17</v>
      </c>
      <c r="AC153" s="24">
        <f t="shared" si="111"/>
        <v>1.0080926674384076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-1.0197709343628959E-13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147.86588596077661</v>
      </c>
      <c r="T154" s="62">
        <f t="shared" si="142"/>
        <v>228.19398518024298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0.83043200443434939</v>
      </c>
      <c r="AA154" s="23">
        <f>EXP(-LN(2)/25)*AA153+(1-EXP(-LN(2)/25))/(LN(2)/25)*Calculateur!V154*Calculateur!X154*VLOOKUP('Données projet'!$B$9,Paramètres!$A$1:$I$89,3,0)*0.475*44/12</f>
        <v>0.15664674691158967</v>
      </c>
      <c r="AB154" s="23">
        <f>EXP(-LN(2)/2)*AB153+(1-EXP(-LN(2)/2))/(LN(2)/2)*V154*Y154*VLOOKUP('Données projet'!$B$9,Paramètres!$A$1:$I$89,3,0)*0.475*44/12</f>
        <v>9.3628559700735967E-18</v>
      </c>
      <c r="AC154" s="24">
        <f t="shared" ref="AC154:AC203" si="163">SUM(Z154:AB154)</f>
        <v>0.98707875134593903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-1.0197709343628959E-13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147.86588596077661</v>
      </c>
      <c r="T155" s="62">
        <f t="shared" si="142"/>
        <v>228.19398518024298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0.81414773934090046</v>
      </c>
      <c r="AA155" s="23">
        <f>EXP(-LN(2)/25)*AA154+(1-EXP(-LN(2)/25))/(LN(2)/25)*Calculateur!V155*Calculateur!X155*VLOOKUP('Données projet'!$B$9,Paramètres!$A$1:$I$89,3,0)*0.475*44/12</f>
        <v>0.15236323337959784</v>
      </c>
      <c r="AB155" s="23">
        <f>EXP(-LN(2)/2)*AB154+(1-EXP(-LN(2)/2))/(LN(2)/2)*V155*Y155*VLOOKUP('Données projet'!$B$9,Paramètres!$A$1:$I$89,3,0)*0.475*44/12</f>
        <v>6.6205389477119909E-18</v>
      </c>
      <c r="AC155" s="24">
        <f t="shared" si="163"/>
        <v>0.96651097272049835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-1.0197709343628959E-13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147.86588596077661</v>
      </c>
      <c r="T156" s="62">
        <f t="shared" si="142"/>
        <v>228.19398518024298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0.79818279875351306</v>
      </c>
      <c r="AA156" s="23">
        <f>EXP(-LN(2)/25)*AA155+(1-EXP(-LN(2)/25))/(LN(2)/25)*Calculateur!V156*Calculateur!X156*VLOOKUP('Données projet'!$B$9,Paramètres!$A$1:$I$89,3,0)*0.475*44/12</f>
        <v>0.14819685275039851</v>
      </c>
      <c r="AB156" s="23">
        <f>EXP(-LN(2)/2)*AB155+(1-EXP(-LN(2)/2))/(LN(2)/2)*V156*Y156*VLOOKUP('Données projet'!$B$9,Paramètres!$A$1:$I$89,3,0)*0.475*44/12</f>
        <v>4.6814279850367983E-18</v>
      </c>
      <c r="AC156" s="24">
        <f t="shared" si="163"/>
        <v>0.94637965150391157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-1.0197709343628959E-13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147.86588596077661</v>
      </c>
      <c r="T157" s="62">
        <f t="shared" si="142"/>
        <v>228.19398518024298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0.78253092091339216</v>
      </c>
      <c r="AA157" s="23">
        <f>EXP(-LN(2)/25)*AA156+(1-EXP(-LN(2)/25))/(LN(2)/25)*Calculateur!V157*Calculateur!X157*VLOOKUP('Données projet'!$B$9,Paramètres!$A$1:$I$89,3,0)*0.475*44/12</f>
        <v>0.14414440201860509</v>
      </c>
      <c r="AB157" s="23">
        <f>EXP(-LN(2)/2)*AB156+(1-EXP(-LN(2)/2))/(LN(2)/2)*V157*Y157*VLOOKUP('Données projet'!$B$9,Paramètres!$A$1:$I$89,3,0)*0.475*44/12</f>
        <v>3.3102694738559955E-18</v>
      </c>
      <c r="AC157" s="24">
        <f t="shared" si="163"/>
        <v>0.92667532293199728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-1.0197709343628959E-13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147.86588596077661</v>
      </c>
      <c r="T158" s="62">
        <f t="shared" si="142"/>
        <v>228.19398518024298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0.76718596685101315</v>
      </c>
      <c r="AA158" s="23">
        <f>EXP(-LN(2)/25)*AA157+(1-EXP(-LN(2)/25))/(LN(2)/25)*Calculateur!V158*Calculateur!X158*VLOOKUP('Données projet'!$B$9,Paramètres!$A$1:$I$89,3,0)*0.475*44/12</f>
        <v>0.14020276576518167</v>
      </c>
      <c r="AB158" s="23">
        <f>EXP(-LN(2)/2)*AB157+(1-EXP(-LN(2)/2))/(LN(2)/2)*V158*Y158*VLOOKUP('Données projet'!$B$9,Paramètres!$A$1:$I$89,3,0)*0.475*44/12</f>
        <v>2.3407139925183992E-18</v>
      </c>
      <c r="AC158" s="24">
        <f t="shared" si="163"/>
        <v>0.90738873261619479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-1.0197709343628959E-13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147.86588596077661</v>
      </c>
      <c r="T159" s="62">
        <f t="shared" si="142"/>
        <v>228.19398518024298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0.75214191797829955</v>
      </c>
      <c r="AA159" s="23">
        <f>EXP(-LN(2)/25)*AA158+(1-EXP(-LN(2)/25))/(LN(2)/25)*Calculateur!V159*Calculateur!X159*VLOOKUP('Données projet'!$B$9,Paramètres!$A$1:$I$89,3,0)*0.475*44/12</f>
        <v>0.13636891376238977</v>
      </c>
      <c r="AB159" s="23">
        <f>EXP(-LN(2)/2)*AB158+(1-EXP(-LN(2)/2))/(LN(2)/2)*V159*Y159*VLOOKUP('Données projet'!$B$9,Paramètres!$A$1:$I$89,3,0)*0.475*44/12</f>
        <v>1.6551347369279977E-18</v>
      </c>
      <c r="AC159" s="24">
        <f t="shared" si="163"/>
        <v>0.88851083174068934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-1.0197709343628959E-13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147.86588596077661</v>
      </c>
      <c r="T160" s="62">
        <f t="shared" si="142"/>
        <v>228.19398518024298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0.7373928737280161</v>
      </c>
      <c r="AA160" s="23">
        <f>EXP(-LN(2)/25)*AA159+(1-EXP(-LN(2)/25))/(LN(2)/25)*Calculateur!V160*Calculateur!X160*VLOOKUP('Données projet'!$B$9,Paramètres!$A$1:$I$89,3,0)*0.475*44/12</f>
        <v>0.13263989864422773</v>
      </c>
      <c r="AB160" s="23">
        <f>EXP(-LN(2)/2)*AB159+(1-EXP(-LN(2)/2))/(LN(2)/2)*V160*Y160*VLOOKUP('Données projet'!$B$9,Paramètres!$A$1:$I$89,3,0)*0.475*44/12</f>
        <v>1.1703569962591996E-18</v>
      </c>
      <c r="AC160" s="24">
        <f t="shared" si="163"/>
        <v>0.87003277237224386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-1.0197709343628959E-13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147.86588596077661</v>
      </c>
      <c r="T161" s="62">
        <f t="shared" si="142"/>
        <v>228.19398518024298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0.72293304923945201</v>
      </c>
      <c r="AA161" s="23">
        <f>EXP(-LN(2)/25)*AA160+(1-EXP(-LN(2)/25))/(LN(2)/25)*Calculateur!V161*Calculateur!X161*VLOOKUP('Données projet'!$B$9,Paramètres!$A$1:$I$89,3,0)*0.475*44/12</f>
        <v>0.12901285364057222</v>
      </c>
      <c r="AB161" s="23">
        <f>EXP(-LN(2)/2)*AB160+(1-EXP(-LN(2)/2))/(LN(2)/2)*V161*Y161*VLOOKUP('Données projet'!$B$9,Paramètres!$A$1:$I$89,3,0)*0.475*44/12</f>
        <v>8.2756736846399887E-19</v>
      </c>
      <c r="AC161" s="24">
        <f t="shared" si="163"/>
        <v>0.85194590288002425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-1.0197709343628959E-13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147.86588596077661</v>
      </c>
      <c r="T162" s="62">
        <f t="shared" si="142"/>
        <v>228.19398518024298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0.70875677308948659</v>
      </c>
      <c r="AA162" s="23">
        <f>EXP(-LN(2)/25)*AA161+(1-EXP(-LN(2)/25))/(LN(2)/25)*Calculateur!V162*Calculateur!X162*VLOOKUP('Données projet'!$B$9,Paramètres!$A$1:$I$89,3,0)*0.475*44/12</f>
        <v>0.12548499037327965</v>
      </c>
      <c r="AB162" s="23">
        <f>EXP(-LN(2)/2)*AB161+(1-EXP(-LN(2)/2))/(LN(2)/2)*V162*Y162*VLOOKUP('Données projet'!$B$9,Paramètres!$A$1:$I$89,3,0)*0.475*44/12</f>
        <v>5.8517849812959979E-19</v>
      </c>
      <c r="AC162" s="24">
        <f t="shared" si="163"/>
        <v>0.83424176346276624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-1.0197709343628959E-13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147.86588596077661</v>
      </c>
      <c r="T163" s="62">
        <f t="shared" si="142"/>
        <v>228.19398518024298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0.6948584850681474</v>
      </c>
      <c r="AA163" s="23">
        <f>EXP(-LN(2)/25)*AA162+(1-EXP(-LN(2)/25))/(LN(2)/25)*Calculateur!V163*Calculateur!X163*VLOOKUP('Données projet'!$B$9,Paramètres!$A$1:$I$89,3,0)*0.475*44/12</f>
        <v>0.12205359671255347</v>
      </c>
      <c r="AB163" s="23">
        <f>EXP(-LN(2)/2)*AB162+(1-EXP(-LN(2)/2))/(LN(2)/2)*V163*Y163*VLOOKUP('Données projet'!$B$9,Paramètres!$A$1:$I$89,3,0)*0.475*44/12</f>
        <v>4.1378368423199943E-19</v>
      </c>
      <c r="AC163" s="24">
        <f t="shared" si="163"/>
        <v>0.81691208178070085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-1.0197709343628959E-13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147.86588596077661</v>
      </c>
      <c r="T164" s="62">
        <f t="shared" si="142"/>
        <v>228.19398518024298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0.68123273399778794</v>
      </c>
      <c r="AA164" s="23">
        <f>EXP(-LN(2)/25)*AA163+(1-EXP(-LN(2)/25))/(LN(2)/25)*Calculateur!V164*Calculateur!X164*VLOOKUP('Données projet'!$B$9,Paramètres!$A$1:$I$89,3,0)*0.475*44/12</f>
        <v>0.11871603469192901</v>
      </c>
      <c r="AB164" s="23">
        <f>EXP(-LN(2)/2)*AB163+(1-EXP(-LN(2)/2))/(LN(2)/2)*V164*Y164*VLOOKUP('Données projet'!$B$9,Paramètres!$A$1:$I$89,3,0)*0.475*44/12</f>
        <v>2.925892490647999E-19</v>
      </c>
      <c r="AC164" s="24">
        <f t="shared" si="163"/>
        <v>0.79994876868971698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-1.0197709343628959E-13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147.86588596077661</v>
      </c>
      <c r="T165" s="62">
        <f t="shared" si="142"/>
        <v>228.19398518024298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0.66787417559503082</v>
      </c>
      <c r="AA165" s="23">
        <f>EXP(-LN(2)/25)*AA164+(1-EXP(-LN(2)/25))/(LN(2)/25)*Calculateur!V165*Calculateur!X165*VLOOKUP('Données projet'!$B$9,Paramètres!$A$1:$I$89,3,0)*0.475*44/12</f>
        <v>0.11546973848027328</v>
      </c>
      <c r="AB165" s="23">
        <f>EXP(-LN(2)/2)*AB164+(1-EXP(-LN(2)/2))/(LN(2)/2)*V165*Y165*VLOOKUP('Données projet'!$B$9,Paramètres!$A$1:$I$89,3,0)*0.475*44/12</f>
        <v>2.0689184211599972E-19</v>
      </c>
      <c r="AC165" s="24">
        <f t="shared" si="163"/>
        <v>0.78334391407530413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-1.0197709343628959E-13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147.86588596077661</v>
      </c>
      <c r="T166" s="62">
        <f t="shared" si="142"/>
        <v>228.19398518024298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0.65477757037463558</v>
      </c>
      <c r="AA166" s="23">
        <f>EXP(-LN(2)/25)*AA165+(1-EXP(-LN(2)/25))/(LN(2)/25)*Calculateur!V166*Calculateur!X166*VLOOKUP('Données projet'!$B$9,Paramètres!$A$1:$I$89,3,0)*0.475*44/12</f>
        <v>0.11231221240924057</v>
      </c>
      <c r="AB166" s="23">
        <f>EXP(-LN(2)/2)*AB165+(1-EXP(-LN(2)/2))/(LN(2)/2)*V166*Y166*VLOOKUP('Données projet'!$B$9,Paramètres!$A$1:$I$89,3,0)*0.475*44/12</f>
        <v>1.4629462453239995E-19</v>
      </c>
      <c r="AC166" s="24">
        <f t="shared" si="163"/>
        <v>0.76708978278387618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-1.0197709343628959E-13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147.86588596077661</v>
      </c>
      <c r="T167" s="62">
        <f t="shared" si="142"/>
        <v>228.19398518024298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0.6419377815944719</v>
      </c>
      <c r="AA167" s="23">
        <f>EXP(-LN(2)/25)*AA166+(1-EXP(-LN(2)/25))/(LN(2)/25)*Calculateur!V167*Calculateur!X167*VLOOKUP('Données projet'!$B$9,Paramètres!$A$1:$I$89,3,0)*0.475*44/12</f>
        <v>0.10924102905466733</v>
      </c>
      <c r="AB167" s="23">
        <f>EXP(-LN(2)/2)*AB166+(1-EXP(-LN(2)/2))/(LN(2)/2)*V167*Y167*VLOOKUP('Données projet'!$B$9,Paramètres!$A$1:$I$89,3,0)*0.475*44/12</f>
        <v>1.0344592105799986E-19</v>
      </c>
      <c r="AC167" s="24">
        <f t="shared" si="163"/>
        <v>0.75117881064913927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-1.0197709343628959E-13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147.86588596077661</v>
      </c>
      <c r="T168" s="62">
        <f t="shared" si="142"/>
        <v>228.19398518024298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0.62934977324078933</v>
      </c>
      <c r="AA168" s="23">
        <f>EXP(-LN(2)/25)*AA167+(1-EXP(-LN(2)/25))/(LN(2)/25)*Calculateur!V168*Calculateur!X168*VLOOKUP('Données projet'!$B$9,Paramètres!$A$1:$I$89,3,0)*0.475*44/12</f>
        <v>0.1062538273704314</v>
      </c>
      <c r="AB168" s="23">
        <f>EXP(-LN(2)/2)*AB167+(1-EXP(-LN(2)/2))/(LN(2)/2)*V168*Y168*VLOOKUP('Données projet'!$B$9,Paramètres!$A$1:$I$89,3,0)*0.475*44/12</f>
        <v>7.3147312266199974E-20</v>
      </c>
      <c r="AC168" s="24">
        <f t="shared" si="163"/>
        <v>0.73560360061122076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-1.0197709343628959E-13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147.86588596077661</v>
      </c>
      <c r="T169" s="62">
        <f t="shared" si="142"/>
        <v>228.19398518024298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0.61700860805299562</v>
      </c>
      <c r="AA169" s="23">
        <f>EXP(-LN(2)/25)*AA168+(1-EXP(-LN(2)/25))/(LN(2)/25)*Calculateur!V169*Calculateur!X169*VLOOKUP('Données projet'!$B$9,Paramètres!$A$1:$I$89,3,0)*0.475*44/12</f>
        <v>0.10334831087334102</v>
      </c>
      <c r="AB169" s="23">
        <f>EXP(-LN(2)/2)*AB168+(1-EXP(-LN(2)/2))/(LN(2)/2)*V169*Y169*VLOOKUP('Données projet'!$B$9,Paramètres!$A$1:$I$89,3,0)*0.475*44/12</f>
        <v>5.1722960528999929E-20</v>
      </c>
      <c r="AC169" s="24">
        <f t="shared" si="163"/>
        <v>0.72035691892633669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-1.0197709343628959E-13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147.86588596077661</v>
      </c>
      <c r="T170" s="62">
        <f t="shared" si="142"/>
        <v>228.19398518024298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0.60490944558716697</v>
      </c>
      <c r="AA170" s="23">
        <f>EXP(-LN(2)/25)*AA169+(1-EXP(-LN(2)/25))/(LN(2)/25)*Calculateur!V170*Calculateur!X170*VLOOKUP('Données projet'!$B$9,Paramètres!$A$1:$I$89,3,0)*0.475*44/12</f>
        <v>0.10052224587765805</v>
      </c>
      <c r="AB170" s="23">
        <f>EXP(-LN(2)/2)*AB169+(1-EXP(-LN(2)/2))/(LN(2)/2)*V170*Y170*VLOOKUP('Données projet'!$B$9,Paramètres!$A$1:$I$89,3,0)*0.475*44/12</f>
        <v>3.6573656133099987E-20</v>
      </c>
      <c r="AC170" s="24">
        <f t="shared" si="163"/>
        <v>0.70543169146482498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-1.0197709343628959E-13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147.86588596077661</v>
      </c>
      <c r="T171" s="62">
        <f t="shared" si="142"/>
        <v>228.19398518024298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0.59304754031753282</v>
      </c>
      <c r="AA171" s="23">
        <f>EXP(-LN(2)/25)*AA170+(1-EXP(-LN(2)/25))/(LN(2)/25)*Calculateur!V171*Calculateur!X171*VLOOKUP('Données projet'!$B$9,Paramètres!$A$1:$I$89,3,0)*0.475*44/12</f>
        <v>9.7773459777898336E-2</v>
      </c>
      <c r="AB171" s="23">
        <f>EXP(-LN(2)/2)*AB170+(1-EXP(-LN(2)/2))/(LN(2)/2)*V171*Y171*VLOOKUP('Données projet'!$B$9,Paramètres!$A$1:$I$89,3,0)*0.475*44/12</f>
        <v>2.5861480264499965E-20</v>
      </c>
      <c r="AC171" s="24">
        <f t="shared" si="163"/>
        <v>0.69082100009543113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-1.0197709343628959E-13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147.86588596077661</v>
      </c>
      <c r="T172" s="62">
        <f t="shared" si="142"/>
        <v>228.19398518024298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0.58141823977518836</v>
      </c>
      <c r="AA172" s="23">
        <f>EXP(-LN(2)/25)*AA171+(1-EXP(-LN(2)/25))/(LN(2)/25)*Calculateur!V172*Calculateur!X172*VLOOKUP('Données projet'!$B$9,Paramètres!$A$1:$I$89,3,0)*0.475*44/12</f>
        <v>9.5099839378588916E-2</v>
      </c>
      <c r="AB172" s="23">
        <f>EXP(-LN(2)/2)*AB171+(1-EXP(-LN(2)/2))/(LN(2)/2)*V172*Y172*VLOOKUP('Données projet'!$B$9,Paramètres!$A$1:$I$89,3,0)*0.475*44/12</f>
        <v>1.8286828066549993E-20</v>
      </c>
      <c r="AC172" s="24">
        <f t="shared" si="163"/>
        <v>0.67651807915377726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-1.0197709343628959E-13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147.86588596077661</v>
      </c>
      <c r="T173" s="62">
        <f t="shared" si="142"/>
        <v>228.19398518024298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0.57001698272330636</v>
      </c>
      <c r="AA173" s="23">
        <f>EXP(-LN(2)/25)*AA172+(1-EXP(-LN(2)/25))/(LN(2)/25)*Calculateur!V173*Calculateur!X173*VLOOKUP('Données projet'!$B$9,Paramètres!$A$1:$I$89,3,0)*0.475*44/12</f>
        <v>9.2499329269698199E-2</v>
      </c>
      <c r="AB173" s="23">
        <f>EXP(-LN(2)/2)*AB172+(1-EXP(-LN(2)/2))/(LN(2)/2)*V173*Y173*VLOOKUP('Données projet'!$B$9,Paramètres!$A$1:$I$89,3,0)*0.475*44/12</f>
        <v>1.2930740132249982E-20</v>
      </c>
      <c r="AC173" s="24">
        <f t="shared" si="163"/>
        <v>0.66251631199300454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-1.0197709343628959E-13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147.86588596077661</v>
      </c>
      <c r="T174" s="62">
        <f t="shared" si="142"/>
        <v>228.19398518024298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0.55883929736813165</v>
      </c>
      <c r="AA174" s="23">
        <f>EXP(-LN(2)/25)*AA173+(1-EXP(-LN(2)/25))/(LN(2)/25)*Calculateur!V174*Calculateur!X174*VLOOKUP('Données projet'!$B$9,Paramètres!$A$1:$I$89,3,0)*0.475*44/12</f>
        <v>8.9969930246489985E-2</v>
      </c>
      <c r="AB174" s="23">
        <f>EXP(-LN(2)/2)*AB173+(1-EXP(-LN(2)/2))/(LN(2)/2)*V174*Y174*VLOOKUP('Données projet'!$B$9,Paramètres!$A$1:$I$89,3,0)*0.475*44/12</f>
        <v>9.1434140332749967E-21</v>
      </c>
      <c r="AC174" s="24">
        <f t="shared" si="163"/>
        <v>0.64880922761462168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-1.0197709343628959E-13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147.86588596077661</v>
      </c>
      <c r="T175" s="62">
        <f t="shared" si="142"/>
        <v>228.19398518024298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0.54788079960505698</v>
      </c>
      <c r="AA175" s="23">
        <f>EXP(-LN(2)/25)*AA174+(1-EXP(-LN(2)/25))/(LN(2)/25)*Calculateur!V175*Calculateur!X175*VLOOKUP('Données projet'!$B$9,Paramètres!$A$1:$I$89,3,0)*0.475*44/12</f>
        <v>8.7509697772586714E-2</v>
      </c>
      <c r="AB175" s="23">
        <f>EXP(-LN(2)/2)*AB174+(1-EXP(-LN(2)/2))/(LN(2)/2)*V175*Y175*VLOOKUP('Données projet'!$B$9,Paramètres!$A$1:$I$89,3,0)*0.475*44/12</f>
        <v>6.4653700661249912E-21</v>
      </c>
      <c r="AC175" s="24">
        <f t="shared" si="163"/>
        <v>0.63539049737764364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-1.0197709343628959E-13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147.86588596077661</v>
      </c>
      <c r="T176" s="62">
        <f t="shared" si="142"/>
        <v>228.19398518024298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0.53713719129909265</v>
      </c>
      <c r="AA176" s="23">
        <f>EXP(-LN(2)/25)*AA175+(1-EXP(-LN(2)/25))/(LN(2)/25)*Calculateur!V176*Calculateur!X176*VLOOKUP('Données projet'!$B$9,Paramètres!$A$1:$I$89,3,0)*0.475*44/12</f>
        <v>8.5116740485060335E-2</v>
      </c>
      <c r="AB176" s="23">
        <f>EXP(-LN(2)/2)*AB175+(1-EXP(-LN(2)/2))/(LN(2)/2)*V176*Y176*VLOOKUP('Données projet'!$B$9,Paramètres!$A$1:$I$89,3,0)*0.475*44/12</f>
        <v>4.5717070166374984E-21</v>
      </c>
      <c r="AC176" s="24">
        <f t="shared" si="163"/>
        <v>0.622253931784153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-1.0197709343628959E-13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147.86588596077661</v>
      </c>
      <c r="T177" s="62">
        <f t="shared" si="142"/>
        <v>228.19398518024298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0.52660425859905424</v>
      </c>
      <c r="AA177" s="23">
        <f>EXP(-LN(2)/25)*AA176+(1-EXP(-LN(2)/25))/(LN(2)/25)*Calculateur!V177*Calculateur!X177*VLOOKUP('Données projet'!$B$9,Paramètres!$A$1:$I$89,3,0)*0.475*44/12</f>
        <v>8.2789218740401516E-2</v>
      </c>
      <c r="AB177" s="23">
        <f>EXP(-LN(2)/2)*AB176+(1-EXP(-LN(2)/2))/(LN(2)/2)*V177*Y177*VLOOKUP('Données projet'!$B$9,Paramètres!$A$1:$I$89,3,0)*0.475*44/12</f>
        <v>3.2326850330624956E-21</v>
      </c>
      <c r="AC177" s="24">
        <f t="shared" si="163"/>
        <v>0.60939347733945581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-1.0197709343628959E-13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147.86588596077661</v>
      </c>
      <c r="T178" s="62">
        <f t="shared" si="142"/>
        <v>228.19398518024298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0.51627787028480898</v>
      </c>
      <c r="AA178" s="23">
        <f>EXP(-LN(2)/25)*AA177+(1-EXP(-LN(2)/25))/(LN(2)/25)*Calculateur!V178*Calculateur!X178*VLOOKUP('Données projet'!$B$9,Paramètres!$A$1:$I$89,3,0)*0.475*44/12</f>
        <v>8.0525343200249441E-2</v>
      </c>
      <c r="AB178" s="23">
        <f>EXP(-LN(2)/2)*AB177+(1-EXP(-LN(2)/2))/(LN(2)/2)*V178*Y178*VLOOKUP('Données projet'!$B$9,Paramètres!$A$1:$I$89,3,0)*0.475*44/12</f>
        <v>2.2858535083187492E-21</v>
      </c>
      <c r="AC178" s="24">
        <f t="shared" si="163"/>
        <v>0.59680321348505838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-1.0197709343628959E-13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147.86588596077661</v>
      </c>
      <c r="T179" s="62">
        <f t="shared" si="142"/>
        <v>228.19398518024298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0.50615397614693114</v>
      </c>
      <c r="AA179" s="23">
        <f>EXP(-LN(2)/25)*AA178+(1-EXP(-LN(2)/25))/(LN(2)/25)*Calculateur!V179*Calculateur!X179*VLOOKUP('Données projet'!$B$9,Paramètres!$A$1:$I$89,3,0)*0.475*44/12</f>
        <v>7.8323373455794862E-2</v>
      </c>
      <c r="AB179" s="23">
        <f>EXP(-LN(2)/2)*AB178+(1-EXP(-LN(2)/2))/(LN(2)/2)*V179*Y179*VLOOKUP('Données projet'!$B$9,Paramètres!$A$1:$I$89,3,0)*0.475*44/12</f>
        <v>1.6163425165312478E-21</v>
      </c>
      <c r="AC179" s="24">
        <f t="shared" si="163"/>
        <v>0.58447734960272602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-1.0197709343628959E-13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147.86588596077661</v>
      </c>
      <c r="T180" s="62">
        <f t="shared" si="142"/>
        <v>228.19398518024298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0.49622860539813135</v>
      </c>
      <c r="AA180" s="23">
        <f>EXP(-LN(2)/25)*AA179+(1-EXP(-LN(2)/25))/(LN(2)/25)*Calculateur!V180*Calculateur!X180*VLOOKUP('Données projet'!$B$9,Paramètres!$A$1:$I$89,3,0)*0.475*44/12</f>
        <v>7.6181616689798948E-2</v>
      </c>
      <c r="AB180" s="23">
        <f>EXP(-LN(2)/2)*AB179+(1-EXP(-LN(2)/2))/(LN(2)/2)*V180*Y180*VLOOKUP('Données projet'!$B$9,Paramètres!$A$1:$I$89,3,0)*0.475*44/12</f>
        <v>1.1429267541593746E-21</v>
      </c>
      <c r="AC180" s="24">
        <f t="shared" si="163"/>
        <v>0.57241022208793035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-1.0197709343628959E-13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147.86588596077661</v>
      </c>
      <c r="T181" s="62">
        <f t="shared" si="142"/>
        <v>228.19398518024298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0.48649786511583715</v>
      </c>
      <c r="AA181" s="23">
        <f>EXP(-LN(2)/25)*AA180+(1-EXP(-LN(2)/25))/(LN(2)/25)*Calculateur!V181*Calculateur!X181*VLOOKUP('Données projet'!$B$9,Paramètres!$A$1:$I$89,3,0)*0.475*44/12</f>
        <v>7.4098426375199283E-2</v>
      </c>
      <c r="AB181" s="23">
        <f>EXP(-LN(2)/2)*AB180+(1-EXP(-LN(2)/2))/(LN(2)/2)*V181*Y181*VLOOKUP('Données projet'!$B$9,Paramètres!$A$1:$I$89,3,0)*0.475*44/12</f>
        <v>8.0817125826562389E-22</v>
      </c>
      <c r="AC181" s="24">
        <f t="shared" si="163"/>
        <v>0.5605962914910364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-1.0197709343628959E-13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147.86588596077661</v>
      </c>
      <c r="T182" s="62">
        <f t="shared" si="142"/>
        <v>228.19398518024298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0.47695793871531322</v>
      </c>
      <c r="AA182" s="23">
        <f>EXP(-LN(2)/25)*AA181+(1-EXP(-LN(2)/25))/(LN(2)/25)*Calculateur!V182*Calculateur!X182*VLOOKUP('Données projet'!$B$9,Paramètres!$A$1:$I$89,3,0)*0.475*44/12</f>
        <v>7.2072201009302575E-2</v>
      </c>
      <c r="AB182" s="23">
        <f>EXP(-LN(2)/2)*AB181+(1-EXP(-LN(2)/2))/(LN(2)/2)*V182*Y182*VLOOKUP('Données projet'!$B$9,Paramètres!$A$1:$I$89,3,0)*0.475*44/12</f>
        <v>5.714633770796873E-22</v>
      </c>
      <c r="AC182" s="24">
        <f t="shared" si="163"/>
        <v>0.54903013972461578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-1.0197709343628959E-13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147.86588596077661</v>
      </c>
      <c r="T183" s="62">
        <f t="shared" si="142"/>
        <v>228.19398518024298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0.46760508445272303</v>
      </c>
      <c r="AA183" s="23">
        <f>EXP(-LN(2)/25)*AA182+(1-EXP(-LN(2)/25))/(LN(2)/25)*Calculateur!V183*Calculateur!X183*VLOOKUP('Données projet'!$B$9,Paramètres!$A$1:$I$89,3,0)*0.475*44/12</f>
        <v>7.0101382882590865E-2</v>
      </c>
      <c r="AB183" s="23">
        <f>EXP(-LN(2)/2)*AB182+(1-EXP(-LN(2)/2))/(LN(2)/2)*V183*Y183*VLOOKUP('Données projet'!$B$9,Paramètres!$A$1:$I$89,3,0)*0.475*44/12</f>
        <v>4.0408562913281195E-22</v>
      </c>
      <c r="AC183" s="24">
        <f t="shared" si="163"/>
        <v>0.53770646733531391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-1.0197709343628959E-13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147.86588596077661</v>
      </c>
      <c r="T184" s="62">
        <f t="shared" si="142"/>
        <v>228.19398518024298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0.45843563395754439</v>
      </c>
      <c r="AA184" s="23">
        <f>EXP(-LN(2)/25)*AA183+(1-EXP(-LN(2)/25))/(LN(2)/25)*Calculateur!V184*Calculateur!X184*VLOOKUP('Données projet'!$B$9,Paramètres!$A$1:$I$89,3,0)*0.475*44/12</f>
        <v>6.8184456881194913E-2</v>
      </c>
      <c r="AB184" s="23">
        <f>EXP(-LN(2)/2)*AB183+(1-EXP(-LN(2)/2))/(LN(2)/2)*V184*Y184*VLOOKUP('Données projet'!$B$9,Paramètres!$A$1:$I$89,3,0)*0.475*44/12</f>
        <v>2.8573168853984365E-22</v>
      </c>
      <c r="AC184" s="24">
        <f t="shared" si="163"/>
        <v>0.52662009083873929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-1.0197709343628959E-13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147.86588596077661</v>
      </c>
      <c r="T185" s="62">
        <f t="shared" si="142"/>
        <v>228.19398518024298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0.44944599079376368</v>
      </c>
      <c r="AA185" s="23">
        <f>EXP(-LN(2)/25)*AA184+(1-EXP(-LN(2)/25))/(LN(2)/25)*Calculateur!V185*Calculateur!X185*VLOOKUP('Données projet'!$B$9,Paramètres!$A$1:$I$89,3,0)*0.475*44/12</f>
        <v>6.6319949322113894E-2</v>
      </c>
      <c r="AB185" s="23">
        <f>EXP(-LN(2)/2)*AB184+(1-EXP(-LN(2)/2))/(LN(2)/2)*V185*Y185*VLOOKUP('Données projet'!$B$9,Paramètres!$A$1:$I$89,3,0)*0.475*44/12</f>
        <v>2.0204281456640597E-22</v>
      </c>
      <c r="AC185" s="24">
        <f t="shared" si="163"/>
        <v>0.51576594011587762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-1.0197709343628959E-13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147.86588596077661</v>
      </c>
      <c r="T186" s="62">
        <f t="shared" si="142"/>
        <v>228.19398518024298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0.4406326290492838</v>
      </c>
      <c r="AA186" s="23">
        <f>EXP(-LN(2)/25)*AA185+(1-EXP(-LN(2)/25))/(LN(2)/25)*Calculateur!V186*Calculateur!X186*VLOOKUP('Données projet'!$B$9,Paramètres!$A$1:$I$89,3,0)*0.475*44/12</f>
        <v>6.4506426820286136E-2</v>
      </c>
      <c r="AB186" s="23">
        <f>EXP(-LN(2)/2)*AB185+(1-EXP(-LN(2)/2))/(LN(2)/2)*V186*Y186*VLOOKUP('Données projet'!$B$9,Paramètres!$A$1:$I$89,3,0)*0.475*44/12</f>
        <v>1.4286584426992182E-22</v>
      </c>
      <c r="AC186" s="24">
        <f t="shared" si="163"/>
        <v>0.50513905586956998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-1.0197709343628959E-13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147.86588596077661</v>
      </c>
      <c r="T187" s="62">
        <f t="shared" si="142"/>
        <v>228.19398518024298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0.43199209195299326</v>
      </c>
      <c r="AA187" s="23">
        <f>EXP(-LN(2)/25)*AA186+(1-EXP(-LN(2)/25))/(LN(2)/25)*Calculateur!V187*Calculateur!X187*VLOOKUP('Données projet'!$B$9,Paramètres!$A$1:$I$89,3,0)*0.475*44/12</f>
        <v>6.2742495186639852E-2</v>
      </c>
      <c r="AB187" s="23">
        <f>EXP(-LN(2)/2)*AB186+(1-EXP(-LN(2)/2))/(LN(2)/2)*V187*Y187*VLOOKUP('Données projet'!$B$9,Paramètres!$A$1:$I$89,3,0)*0.475*44/12</f>
        <v>1.0102140728320299E-22</v>
      </c>
      <c r="AC187" s="24">
        <f t="shared" si="163"/>
        <v>0.49473458713963314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-1.0197709343628959E-13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147.86588596077661</v>
      </c>
      <c r="T188" s="62">
        <f t="shared" si="142"/>
        <v>228.19398518024298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0.42352099051895375</v>
      </c>
      <c r="AA188" s="23">
        <f>EXP(-LN(2)/25)*AA187+(1-EXP(-LN(2)/25))/(LN(2)/25)*Calculateur!V188*Calculateur!X188*VLOOKUP('Données projet'!$B$9,Paramètres!$A$1:$I$89,3,0)*0.475*44/12</f>
        <v>6.1026798356276765E-2</v>
      </c>
      <c r="AB188" s="23">
        <f>EXP(-LN(2)/2)*AB187+(1-EXP(-LN(2)/2))/(LN(2)/2)*V188*Y188*VLOOKUP('Données projet'!$B$9,Paramètres!$A$1:$I$89,3,0)*0.475*44/12</f>
        <v>7.1432922134960912E-23</v>
      </c>
      <c r="AC188" s="24">
        <f t="shared" si="163"/>
        <v>0.48454778887523053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-1.0197709343628959E-13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147.86588596077661</v>
      </c>
      <c r="T189" s="62">
        <f t="shared" si="142"/>
        <v>228.19398518024298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0.41521600221717408</v>
      </c>
      <c r="AA189" s="23">
        <f>EXP(-LN(2)/25)*AA188+(1-EXP(-LN(2)/25))/(LN(2)/25)*Calculateur!V189*Calculateur!X189*VLOOKUP('Données projet'!$B$9,Paramètres!$A$1:$I$89,3,0)*0.475*44/12</f>
        <v>5.9358017345964527E-2</v>
      </c>
      <c r="AB189" s="23">
        <f>EXP(-LN(2)/2)*AB188+(1-EXP(-LN(2)/2))/(LN(2)/2)*V189*Y189*VLOOKUP('Données projet'!$B$9,Paramètres!$A$1:$I$89,3,0)*0.475*44/12</f>
        <v>5.0510703641601493E-23</v>
      </c>
      <c r="AC189" s="24">
        <f t="shared" si="163"/>
        <v>0.4745740195631386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-1.0197709343628959E-13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147.86588596077661</v>
      </c>
      <c r="T190" s="62">
        <f t="shared" si="142"/>
        <v>228.19398518024298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0.40707386967044962</v>
      </c>
      <c r="AA190" s="23">
        <f>EXP(-LN(2)/25)*AA189+(1-EXP(-LN(2)/25))/(LN(2)/25)*Calculateur!V190*Calculateur!X190*VLOOKUP('Données projet'!$B$9,Paramètres!$A$1:$I$89,3,0)*0.475*44/12</f>
        <v>5.7734869240136662E-2</v>
      </c>
      <c r="AB190" s="23">
        <f>EXP(-LN(2)/2)*AB189+(1-EXP(-LN(2)/2))/(LN(2)/2)*V190*Y190*VLOOKUP('Données projet'!$B$9,Paramètres!$A$1:$I$89,3,0)*0.475*44/12</f>
        <v>3.5716461067480456E-23</v>
      </c>
      <c r="AC190" s="24">
        <f t="shared" si="163"/>
        <v>0.46480873891058627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-1.0197709343628959E-13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147.86588596077661</v>
      </c>
      <c r="T191" s="62">
        <f t="shared" si="142"/>
        <v>228.19398518024298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0.39909139937675592</v>
      </c>
      <c r="AA191" s="23">
        <f>EXP(-LN(2)/25)*AA190+(1-EXP(-LN(2)/25))/(LN(2)/25)*Calculateur!V191*Calculateur!X191*VLOOKUP('Données projet'!$B$9,Paramètres!$A$1:$I$89,3,0)*0.475*44/12</f>
        <v>5.6156106204620304E-2</v>
      </c>
      <c r="AB191" s="23">
        <f>EXP(-LN(2)/2)*AB190+(1-EXP(-LN(2)/2))/(LN(2)/2)*V191*Y191*VLOOKUP('Données projet'!$B$9,Paramètres!$A$1:$I$89,3,0)*0.475*44/12</f>
        <v>2.5255351820800747E-23</v>
      </c>
      <c r="AC191" s="24">
        <f t="shared" si="163"/>
        <v>0.45524750558137622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-1.0197709343628959E-13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147.86588596077661</v>
      </c>
      <c r="T192" s="62">
        <f t="shared" si="142"/>
        <v>228.19398518024298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0.39126546045669547</v>
      </c>
      <c r="AA192" s="23">
        <f>EXP(-LN(2)/25)*AA191+(1-EXP(-LN(2)/25))/(LN(2)/25)*Calculateur!V192*Calculateur!X192*VLOOKUP('Données projet'!$B$9,Paramètres!$A$1:$I$89,3,0)*0.475*44/12</f>
        <v>5.4620514527333686E-2</v>
      </c>
      <c r="AB192" s="23">
        <f>EXP(-LN(2)/2)*AB191+(1-EXP(-LN(2)/2))/(LN(2)/2)*V192*Y192*VLOOKUP('Données projet'!$B$9,Paramètres!$A$1:$I$89,3,0)*0.475*44/12</f>
        <v>1.7858230533740228E-23</v>
      </c>
      <c r="AC192" s="24">
        <f t="shared" si="163"/>
        <v>0.44588597498402915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-1.0197709343628959E-13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147.86588596077661</v>
      </c>
      <c r="T193" s="62">
        <f t="shared" si="142"/>
        <v>228.19398518024298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0.38359298342550596</v>
      </c>
      <c r="AA193" s="23">
        <f>EXP(-LN(2)/25)*AA192+(1-EXP(-LN(2)/25))/(LN(2)/25)*Calculateur!V193*Calculateur!X193*VLOOKUP('Données projet'!$B$9,Paramètres!$A$1:$I$89,3,0)*0.475*44/12</f>
        <v>5.3126913685215722E-2</v>
      </c>
      <c r="AB193" s="23">
        <f>EXP(-LN(2)/2)*AB192+(1-EXP(-LN(2)/2))/(LN(2)/2)*V193*Y193*VLOOKUP('Données projet'!$B$9,Paramètres!$A$1:$I$89,3,0)*0.475*44/12</f>
        <v>1.2627675910400373E-23</v>
      </c>
      <c r="AC193" s="24">
        <f t="shared" si="163"/>
        <v>0.43671989711072168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-1.0197709343628959E-13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147.86588596077661</v>
      </c>
      <c r="T194" s="62">
        <f t="shared" si="142"/>
        <v>228.19398518024298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0.37607095898914922</v>
      </c>
      <c r="AA194" s="23">
        <f>EXP(-LN(2)/25)*AA193+(1-EXP(-LN(2)/25))/(LN(2)/25)*Calculateur!V194*Calculateur!X194*VLOOKUP('Données projet'!$B$9,Paramètres!$A$1:$I$89,3,0)*0.475*44/12</f>
        <v>5.1674155436670532E-2</v>
      </c>
      <c r="AB194" s="23">
        <f>EXP(-LN(2)/2)*AB193+(1-EXP(-LN(2)/2))/(LN(2)/2)*V194*Y194*VLOOKUP('Données projet'!$B$9,Paramètres!$A$1:$I$89,3,0)*0.475*44/12</f>
        <v>8.929115266870114E-24</v>
      </c>
      <c r="AC194" s="24">
        <f t="shared" si="163"/>
        <v>0.42774511442581975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-1.0197709343628959E-13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147.86588596077661</v>
      </c>
      <c r="T195" s="62">
        <f t="shared" si="142"/>
        <v>228.19398518024298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0.36869643686400755</v>
      </c>
      <c r="AA195" s="23">
        <f>EXP(-LN(2)/25)*AA194+(1-EXP(-LN(2)/25))/(LN(2)/25)*Calculateur!V195*Calculateur!X195*VLOOKUP('Données projet'!$B$9,Paramètres!$A$1:$I$89,3,0)*0.475*44/12</f>
        <v>5.0261122938829048E-2</v>
      </c>
      <c r="AB195" s="23">
        <f>EXP(-LN(2)/2)*AB194+(1-EXP(-LN(2)/2))/(LN(2)/2)*V195*Y195*VLOOKUP('Données projet'!$B$9,Paramètres!$A$1:$I$89,3,0)*0.475*44/12</f>
        <v>6.3138379552001867E-24</v>
      </c>
      <c r="AC195" s="24">
        <f t="shared" si="163"/>
        <v>0.41895755980283661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-1.0197709343628959E-13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147.86588596077661</v>
      </c>
      <c r="T196" s="62">
        <f t="shared" si="142"/>
        <v>228.19398518024298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0.36146652461972556</v>
      </c>
      <c r="AA196" s="23">
        <f>EXP(-LN(2)/25)*AA195+(1-EXP(-LN(2)/25))/(LN(2)/25)*Calculateur!V196*Calculateur!X196*VLOOKUP('Données projet'!$B$9,Paramètres!$A$1:$I$89,3,0)*0.475*44/12</f>
        <v>4.8886729888949182E-2</v>
      </c>
      <c r="AB196" s="23">
        <f>EXP(-LN(2)/2)*AB195+(1-EXP(-LN(2)/2))/(LN(2)/2)*V196*Y196*VLOOKUP('Données projet'!$B$9,Paramètres!$A$1:$I$89,3,0)*0.475*44/12</f>
        <v>4.464557633435057E-24</v>
      </c>
      <c r="AC196" s="24">
        <f t="shared" si="163"/>
        <v>0.41035325450867477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-1.0197709343628959E-13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147.86588596077661</v>
      </c>
      <c r="T197" s="62">
        <f t="shared" ref="T197:T203" si="204">$T$3</f>
        <v>228.19398518024298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0.35437838654474285</v>
      </c>
      <c r="AA197" s="23">
        <f>EXP(-LN(2)/25)*AA196+(1-EXP(-LN(2)/25))/(LN(2)/25)*Calculateur!V197*Calculateur!X197*VLOOKUP('Données projet'!$B$9,Paramètres!$A$1:$I$89,3,0)*0.475*44/12</f>
        <v>4.7549919689294472E-2</v>
      </c>
      <c r="AB197" s="23">
        <f>EXP(-LN(2)/2)*AB196+(1-EXP(-LN(2)/2))/(LN(2)/2)*V197*Y197*VLOOKUP('Données projet'!$B$9,Paramètres!$A$1:$I$89,3,0)*0.475*44/12</f>
        <v>3.1569189776000933E-24</v>
      </c>
      <c r="AC197" s="24">
        <f t="shared" si="163"/>
        <v>0.4019283062340373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-1.0197709343628959E-13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147.86588596077661</v>
      </c>
      <c r="T198" s="62">
        <f t="shared" si="204"/>
        <v>228.19398518024298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0.34742924253407326</v>
      </c>
      <c r="AA198" s="23">
        <f>EXP(-LN(2)/25)*AA197+(1-EXP(-LN(2)/25))/(LN(2)/25)*Calculateur!V198*Calculateur!X198*VLOOKUP('Données projet'!$B$9,Paramètres!$A$1:$I$89,3,0)*0.475*44/12</f>
        <v>4.6249664634849114E-2</v>
      </c>
      <c r="AB198" s="23">
        <f>EXP(-LN(2)/2)*AB197+(1-EXP(-LN(2)/2))/(LN(2)/2)*V198*Y198*VLOOKUP('Données projet'!$B$9,Paramètres!$A$1:$I$89,3,0)*0.475*44/12</f>
        <v>2.2322788167175285E-24</v>
      </c>
      <c r="AC198" s="24">
        <f t="shared" si="163"/>
        <v>0.3936789071689224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-1.0197709343628959E-13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147.86588596077661</v>
      </c>
      <c r="T199" s="62">
        <f t="shared" si="204"/>
        <v>228.19398518024298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0.34061636699889358</v>
      </c>
      <c r="AA199" s="23">
        <f>EXP(-LN(2)/25)*AA198+(1-EXP(-LN(2)/25))/(LN(2)/25)*Calculateur!V199*Calculateur!X199*VLOOKUP('Données projet'!$B$9,Paramètres!$A$1:$I$89,3,0)*0.475*44/12</f>
        <v>4.4984965123245006E-2</v>
      </c>
      <c r="AB199" s="23">
        <f>EXP(-LN(2)/2)*AB198+(1-EXP(-LN(2)/2))/(LN(2)/2)*V199*Y199*VLOOKUP('Données projet'!$B$9,Paramètres!$A$1:$I$89,3,0)*0.475*44/12</f>
        <v>1.5784594888000467E-24</v>
      </c>
      <c r="AC199" s="24">
        <f t="shared" si="163"/>
        <v>0.3856013321221386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-1.0197709343628959E-13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147.86588596077661</v>
      </c>
      <c r="T200" s="62">
        <f t="shared" si="204"/>
        <v>228.19398518024298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0.33393708779751502</v>
      </c>
      <c r="AA200" s="23">
        <f>EXP(-LN(2)/25)*AA199+(1-EXP(-LN(2)/25))/(LN(2)/25)*Calculateur!V200*Calculateur!X200*VLOOKUP('Données projet'!$B$9,Paramètres!$A$1:$I$89,3,0)*0.475*44/12</f>
        <v>4.3754848886293371E-2</v>
      </c>
      <c r="AB200" s="23">
        <f>EXP(-LN(2)/2)*AB199+(1-EXP(-LN(2)/2))/(LN(2)/2)*V200*Y200*VLOOKUP('Données projet'!$B$9,Paramètres!$A$1:$I$89,3,0)*0.475*44/12</f>
        <v>1.1161394083587642E-24</v>
      </c>
      <c r="AC200" s="24">
        <f t="shared" si="163"/>
        <v>0.3776919366838084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-1.0197709343628959E-13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147.86588596077661</v>
      </c>
      <c r="T201" s="62">
        <f t="shared" si="204"/>
        <v>228.19398518024298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0.32738878518731745</v>
      </c>
      <c r="AA201" s="23">
        <f>EXP(-LN(2)/25)*AA200+(1-EXP(-LN(2)/25))/(LN(2)/25)*Calculateur!V201*Calculateur!X201*VLOOKUP('Données projet'!$B$9,Paramètres!$A$1:$I$89,3,0)*0.475*44/12</f>
        <v>4.2558370242530182E-2</v>
      </c>
      <c r="AB201" s="23">
        <f>EXP(-LN(2)/2)*AB200+(1-EXP(-LN(2)/2))/(LN(2)/2)*V201*Y201*VLOOKUP('Données projet'!$B$9,Paramètres!$A$1:$I$89,3,0)*0.475*44/12</f>
        <v>7.8922974440002333E-25</v>
      </c>
      <c r="AC201" s="24">
        <f t="shared" si="163"/>
        <v>0.36994715542984763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-1.0197709343628959E-13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147.86588596077661</v>
      </c>
      <c r="T202" s="62">
        <f t="shared" si="204"/>
        <v>228.19398518024298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0.32096889079723562</v>
      </c>
      <c r="AA202" s="23">
        <f>EXP(-LN(2)/25)*AA201+(1-EXP(-LN(2)/25))/(LN(2)/25)*Calculateur!V202*Calculateur!X202*VLOOKUP('Données projet'!$B$9,Paramètres!$A$1:$I$89,3,0)*0.475*44/12</f>
        <v>4.1394609370200772E-2</v>
      </c>
      <c r="AB202" s="23">
        <f>EXP(-LN(2)/2)*AB201+(1-EXP(-LN(2)/2))/(LN(2)/2)*V202*Y202*VLOOKUP('Données projet'!$B$9,Paramètres!$A$1:$I$89,3,0)*0.475*44/12</f>
        <v>5.5806970417938212E-25</v>
      </c>
      <c r="AC202" s="24">
        <f t="shared" si="163"/>
        <v>0.3623635001674364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-1.0197709343628959E-13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147.86588596077661</v>
      </c>
      <c r="T203" s="62">
        <f t="shared" si="204"/>
        <v>228.19398518024298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0.31467488662039439</v>
      </c>
      <c r="AA203" s="23">
        <f>EXP(-LN(2)/25)*AA202+(1-EXP(-LN(2)/25))/(LN(2)/25)*Calculateur!V203*Calculateur!X203*VLOOKUP('Données projet'!$B$9,Paramètres!$A$1:$I$89,3,0)*0.475*44/12</f>
        <v>4.0262671600124735E-2</v>
      </c>
      <c r="AB203" s="23">
        <f>EXP(-LN(2)/2)*AB202+(1-EXP(-LN(2)/2))/(LN(2)/2)*V203*Y203*VLOOKUP('Données projet'!$B$9,Paramètres!$A$1:$I$89,3,0)*0.475*44/12</f>
        <v>3.9461487220001167E-25</v>
      </c>
      <c r="AC203" s="24">
        <f t="shared" si="163"/>
        <v>0.35493755822051914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1.2990595333015609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70" zoomScaleNormal="70" workbookViewId="0">
      <selection activeCell="F16" sqref="F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14.46</v>
      </c>
      <c r="C6" s="156">
        <f ca="1">IF(OR('Données projet'!B9="",'Données projet'!C9="",'Données projet'!C9=0%),0,Calculateur!S3)</f>
        <v>147.86588596077661</v>
      </c>
      <c r="D6" s="156">
        <f>IF(OR('Données projet'!B9="",'Données projet'!C9="",'Données projet'!C9=0%),0,Calculateur!T3)</f>
        <v>228.19398518024298</v>
      </c>
      <c r="E6" s="156">
        <f ca="1">MIN(C6,D6)</f>
        <v>147.86588596077661</v>
      </c>
      <c r="F6" s="156">
        <f ca="1">E6*B6</f>
        <v>2138.14071099283</v>
      </c>
      <c r="G6" s="156">
        <f ca="1">F6*(100%-'Données projet'!$C$24)*(100%-'Données projet'!$C$25)*(100%-'Données projet'!$C$26)*(100%-'Données projet'!$C$27)</f>
        <v>1635.6776439095149</v>
      </c>
      <c r="H6" s="157">
        <f>IF(OR('Données projet'!B9="",'Données projet'!C9="",'Données projet'!C9=0%),0,AVERAGE(Calculateur!$AC$3:$AC$33)*B6)</f>
        <v>77.986268206016376</v>
      </c>
      <c r="I6" s="158">
        <f>H6*(100%-'Données projet'!$C$24)*(100%-'Données projet'!$C$25)*(100%-'Données projet'!$C$26)*(100%-'Données projet'!$C$27)</f>
        <v>59.659495177602523</v>
      </c>
      <c r="J6" s="159">
        <f>IF(OR('Données projet'!B9="",'Données projet'!C9="",'Données projet'!C9=0%),0,SUM(Calculateur!$V$3:$V$33)*VLOOKUP('Données projet'!$B$9,Paramètres!$A$1:$I$89,9,0)*B6)</f>
        <v>955.51679999999999</v>
      </c>
      <c r="K6" s="160">
        <f>J6*(100%-'Données projet'!$C$24)*(100%-'Données projet'!$C$25)*(100%-'Données projet'!$C$26)*(100%-'Données projet'!$C$27)</f>
        <v>730.97035199999993</v>
      </c>
      <c r="L6" s="161">
        <f ca="1">G6+I6+K6</f>
        <v>2426.3074910871173</v>
      </c>
      <c r="M6" s="25">
        <f ca="1">L6/B6</f>
        <v>167.79443230201363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2138.14071099283</v>
      </c>
      <c r="G16" s="175">
        <f t="shared" ca="1" si="3"/>
        <v>1635.6776439095149</v>
      </c>
      <c r="H16" s="176">
        <f t="shared" si="3"/>
        <v>77.986268206016376</v>
      </c>
      <c r="I16" s="176">
        <f t="shared" si="3"/>
        <v>59.659495177602523</v>
      </c>
      <c r="J16" s="177">
        <f t="shared" si="3"/>
        <v>955.51679999999999</v>
      </c>
      <c r="K16" s="177">
        <f t="shared" si="3"/>
        <v>730.97035199999993</v>
      </c>
      <c r="L16" s="178">
        <f t="shared" ca="1" si="3"/>
        <v>2426.3074910871173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3" zoomScale="90" zoomScaleNormal="90" workbookViewId="0">
      <selection activeCell="S25" sqref="S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2213.2026852132171</v>
      </c>
      <c r="U10" s="190">
        <f>'Données projet'!D9</f>
        <v>14.46</v>
      </c>
      <c r="V10" s="189">
        <f>U10*T10</f>
        <v>32002.910828183121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2099.9999999999977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(13864+18747)/14.71</f>
        <v>2216.927260367097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(7695+1765)/14.71</f>
        <v>643.09993201903467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5</v>
      </c>
      <c r="I22" s="204">
        <f>1765/14.71</f>
        <v>119.98640380693405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27</v>
      </c>
      <c r="C23" s="206">
        <v>15</v>
      </c>
      <c r="D23" s="194">
        <f>B23*C23</f>
        <v>405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-9961.6915213321117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24</v>
      </c>
      <c r="B24" s="193">
        <f>'Données projet'!D37</f>
        <v>38</v>
      </c>
      <c r="C24" s="206">
        <v>20</v>
      </c>
      <c r="D24" s="194">
        <f t="shared" ref="D24:D42" si="2">B24*C24</f>
        <v>760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1393.950193196576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47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-11355.641714528687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50</v>
      </c>
      <c r="C26" s="206">
        <v>35</v>
      </c>
      <c r="D26" s="194">
        <f t="shared" si="2"/>
        <v>1750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294</v>
      </c>
      <c r="C27" s="206">
        <v>45</v>
      </c>
      <c r="D27" s="194">
        <f t="shared" si="2"/>
        <v>13230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>
        <v>50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2024-11-12T09:13:06Z</dcterms:modified>
</cp:coreProperties>
</file>