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6_Cie des Landes\2024 Le Barp (Saint Magne)18 337 703\"/>
    </mc:Choice>
  </mc:AlternateContent>
  <xr:revisionPtr revIDLastSave="0" documentId="13_ncr:1_{6D38E548-EAF4-4B0B-BBA7-7E6FEDC217C8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0" i="1" l="1"/>
  <c r="D89" i="1"/>
  <c r="D88" i="1"/>
  <c r="B121" i="1"/>
  <c r="B120" i="1"/>
  <c r="B119" i="1"/>
  <c r="B118" i="1"/>
  <c r="B117" i="1"/>
  <c r="B116" i="1"/>
  <c r="B115" i="1"/>
  <c r="B114" i="1"/>
  <c r="D201" i="1" l="1"/>
  <c r="D181" i="1"/>
  <c r="B181" i="1"/>
  <c r="D180" i="1"/>
  <c r="B180" i="1"/>
  <c r="D179" i="1"/>
  <c r="B179" i="1"/>
  <c r="D178" i="1"/>
  <c r="B178" i="1"/>
  <c r="D177" i="1"/>
  <c r="B177" i="1"/>
  <c r="D176" i="1"/>
  <c r="B176" i="1"/>
  <c r="D175" i="1"/>
  <c r="B175" i="1"/>
  <c r="D174" i="1"/>
  <c r="B174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B166" i="1"/>
  <c r="B150" i="1"/>
  <c r="B149" i="1"/>
  <c r="B148" i="1"/>
  <c r="B147" i="1"/>
  <c r="B146" i="1"/>
  <c r="B145" i="1"/>
  <c r="B144" i="1"/>
  <c r="B143" i="1"/>
  <c r="B142" i="1"/>
  <c r="B141" i="1"/>
  <c r="B140" i="1"/>
  <c r="D41" i="1"/>
  <c r="B41" i="1"/>
  <c r="D40" i="1"/>
  <c r="B40" i="1"/>
  <c r="D39" i="1"/>
  <c r="B39" i="1"/>
  <c r="D38" i="1"/>
  <c r="B38" i="1"/>
  <c r="D37" i="1"/>
  <c r="B37" i="1"/>
  <c r="B36" i="1"/>
  <c r="H21" i="6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B69" i="1" l="1"/>
  <c r="B68" i="1"/>
  <c r="B67" i="1"/>
  <c r="B66" i="1"/>
  <c r="B65" i="1"/>
  <c r="B64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DI154" i="2"/>
  <c r="EY154" i="2"/>
  <c r="HG155" i="2"/>
  <c r="EA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HH156" i="2"/>
  <c r="FS156" i="2"/>
  <c r="EX156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C160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Y163" i="2"/>
  <c r="ED163" i="2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H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FR167" i="2"/>
  <c r="EX167" i="2"/>
  <c r="EY166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EW168" i="2"/>
  <c r="EB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A172" i="2"/>
  <c r="HI172" i="2"/>
  <c r="EY171" i="2"/>
  <c r="EV172" i="2"/>
  <c r="EW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EW178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D178" i="2"/>
  <c r="DF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H186" i="2"/>
  <c r="FR186" i="2"/>
  <c r="EA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EY191" i="2"/>
  <c r="EW192" i="2"/>
  <c r="EV192" i="2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HG194" i="2"/>
  <c r="ED193" i="2"/>
  <c r="EA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B195" i="2"/>
  <c r="FQ195" i="2"/>
  <c r="EX195" i="2"/>
  <c r="EY194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Y196" i="2"/>
  <c r="FS197" i="2"/>
  <c r="HH197" i="2"/>
  <c r="HG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FS199" i="2"/>
  <c r="EA199" i="2"/>
  <c r="EB199" i="2"/>
  <c r="EY198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A201" i="2"/>
  <c r="DI200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FR202" i="2"/>
  <c r="EW202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DN137" i="2" a="1"/>
  <c r="DN137" i="2" s="1"/>
  <c r="DN153" i="2" a="1"/>
  <c r="DN153" i="2" s="1"/>
  <c r="DN115" i="2" a="1"/>
  <c r="DN115" i="2" s="1"/>
  <c r="DN150" i="2" a="1"/>
  <c r="DN150" i="2" s="1"/>
  <c r="DN123" i="2" a="1"/>
  <c r="DN123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DN168" i="2" a="1"/>
  <c r="DN168" i="2" s="1"/>
  <c r="CS185" i="2" a="1"/>
  <c r="CS185" i="2" s="1"/>
  <c r="CS56" i="2" a="1"/>
  <c r="CS56" i="2" s="1"/>
  <c r="DN164" i="2" a="1"/>
  <c r="DN164" i="2" s="1"/>
  <c r="DN49" i="2" a="1"/>
  <c r="DN49" i="2" s="1"/>
  <c r="DN162" i="2" a="1"/>
  <c r="DN162" i="2" s="1"/>
  <c r="DN70" i="2" a="1"/>
  <c r="DN70" i="2" s="1"/>
  <c r="DN65" i="2" a="1"/>
  <c r="DN65" i="2" s="1"/>
  <c r="DN133" i="2" a="1"/>
  <c r="DN133" i="2" s="1"/>
  <c r="DN6" i="2" a="1"/>
  <c r="DN6" i="2" s="1"/>
  <c r="DO6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AX200" i="2"/>
  <c r="EI139" i="2" l="1" a="1"/>
  <c r="EI139" i="2" s="1"/>
  <c r="EI67" i="2" a="1"/>
  <c r="EI67" i="2" s="1"/>
  <c r="EI166" i="2" a="1"/>
  <c r="EI166" i="2" s="1"/>
  <c r="EI57" i="2" a="1"/>
  <c r="EI57" i="2" s="1"/>
  <c r="EI178" i="2" a="1"/>
  <c r="EI178" i="2" s="1"/>
  <c r="EI198" i="2" a="1"/>
  <c r="EI198" i="2" s="1"/>
  <c r="EI170" i="2" a="1"/>
  <c r="EI170" i="2" s="1"/>
  <c r="EI16" i="2" a="1"/>
  <c r="EI16" i="2" s="1"/>
  <c r="EI36" i="2" a="1"/>
  <c r="EI36" i="2" s="1"/>
  <c r="EI145" i="2" a="1"/>
  <c r="EI145" i="2" s="1"/>
  <c r="EI113" i="2" a="1"/>
  <c r="EI113" i="2" s="1"/>
  <c r="EI87" i="2" a="1"/>
  <c r="EI87" i="2" s="1"/>
  <c r="EI195" i="2" a="1"/>
  <c r="EI195" i="2" s="1"/>
  <c r="EI162" i="2" a="1"/>
  <c r="EI162" i="2" s="1"/>
  <c r="EI142" i="2" a="1"/>
  <c r="EI142" i="2" s="1"/>
  <c r="EI128" i="2" a="1"/>
  <c r="EI128" i="2" s="1"/>
  <c r="EI109" i="2" a="1"/>
  <c r="EI109" i="2" s="1"/>
  <c r="EI150" i="2" a="1"/>
  <c r="EI150" i="2" s="1"/>
  <c r="EI37" i="2" a="1"/>
  <c r="EI37" i="2" s="1"/>
  <c r="EI20" i="2" a="1"/>
  <c r="EI20" i="2" s="1"/>
  <c r="EI38" i="2" a="1"/>
  <c r="EI38" i="2" s="1"/>
  <c r="EI29" i="2" a="1"/>
  <c r="EI29" i="2" s="1"/>
  <c r="EI71" i="2" a="1"/>
  <c r="EI71" i="2" s="1"/>
  <c r="EI35" i="2" a="1"/>
  <c r="EI35" i="2" s="1"/>
  <c r="EI34" i="2" a="1"/>
  <c r="EI34" i="2" s="1"/>
  <c r="EI106" i="2" a="1"/>
  <c r="EI106" i="2" s="1"/>
  <c r="DN170" i="2" a="1"/>
  <c r="DN170" i="2" s="1"/>
  <c r="DN30" i="2" a="1"/>
  <c r="DN30" i="2" s="1"/>
  <c r="DN55" i="2" a="1"/>
  <c r="DN55" i="2" s="1"/>
  <c r="DN135" i="2" a="1"/>
  <c r="DN135" i="2" s="1"/>
  <c r="DN192" i="2" a="1"/>
  <c r="DN192" i="2" s="1"/>
  <c r="DN129" i="2" a="1"/>
  <c r="DN129" i="2" s="1"/>
  <c r="DN187" i="2" a="1"/>
  <c r="DN187" i="2" s="1"/>
  <c r="DN46" i="2" a="1"/>
  <c r="DN46" i="2" s="1"/>
  <c r="DN110" i="2" a="1"/>
  <c r="DN110" i="2" s="1"/>
  <c r="DN38" i="2" a="1"/>
  <c r="DN38" i="2" s="1"/>
  <c r="DN66" i="2" a="1"/>
  <c r="DN66" i="2" s="1"/>
  <c r="DN113" i="2" a="1"/>
  <c r="DN113" i="2" s="1"/>
  <c r="DN31" i="2" a="1"/>
  <c r="DN31" i="2" s="1"/>
  <c r="DN114" i="2" a="1"/>
  <c r="DN114" i="2" s="1"/>
  <c r="DN188" i="2" a="1"/>
  <c r="DN188" i="2" s="1"/>
  <c r="DN184" i="2" a="1"/>
  <c r="DN184" i="2" s="1"/>
  <c r="DN167" i="2" a="1"/>
  <c r="DN167" i="2" s="1"/>
  <c r="DN80" i="2" a="1"/>
  <c r="DN80" i="2" s="1"/>
  <c r="DN103" i="2" a="1"/>
  <c r="DN103" i="2" s="1"/>
  <c r="DN86" i="2" a="1"/>
  <c r="DN86" i="2" s="1"/>
  <c r="DN152" i="2" a="1"/>
  <c r="DN152" i="2" s="1"/>
  <c r="DN176" i="2" a="1"/>
  <c r="DN176" i="2" s="1"/>
  <c r="DN45" i="2" a="1"/>
  <c r="DN45" i="2" s="1"/>
  <c r="DN190" i="2" a="1"/>
  <c r="DN190" i="2" s="1"/>
  <c r="DN16" i="2" a="1"/>
  <c r="DN16" i="2" s="1"/>
  <c r="DN177" i="2" a="1"/>
  <c r="DN177" i="2" s="1"/>
  <c r="DN29" i="2" a="1"/>
  <c r="DN29" i="2" s="1"/>
  <c r="DN41" i="2" a="1"/>
  <c r="DN41" i="2" s="1"/>
  <c r="EY202" i="2"/>
  <c r="DN43" i="2" a="1"/>
  <c r="DN43" i="2" s="1"/>
  <c r="DN50" i="2" a="1"/>
  <c r="DN50" i="2" s="1"/>
  <c r="DN186" i="2" a="1"/>
  <c r="DN186" i="2" s="1"/>
  <c r="DN25" i="2" a="1"/>
  <c r="DN25" i="2" s="1"/>
  <c r="DN124" i="2" a="1"/>
  <c r="DN124" i="2" s="1"/>
  <c r="DN155" i="2" a="1"/>
  <c r="DN155" i="2" s="1"/>
  <c r="DN56" i="2" a="1"/>
  <c r="DN56" i="2" s="1"/>
  <c r="CS137" i="2" a="1"/>
  <c r="CS137" i="2" s="1"/>
  <c r="CS129" i="2" a="1"/>
  <c r="CS129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HH203" i="2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DT186" i="2" l="1"/>
  <c r="DT131" i="2"/>
  <c r="DT27" i="2"/>
  <c r="DT158" i="2"/>
  <c r="DT105" i="2"/>
  <c r="DT178" i="2"/>
  <c r="DT87" i="2"/>
  <c r="DT13" i="2"/>
  <c r="DT116" i="2"/>
  <c r="DT132" i="2"/>
  <c r="DT42" i="2"/>
  <c r="DT195" i="2"/>
  <c r="DT167" i="2"/>
  <c r="DT90" i="2"/>
  <c r="DT168" i="2"/>
  <c r="DT35" i="2"/>
  <c r="DT43" i="2"/>
  <c r="DT100" i="2"/>
  <c r="DT177" i="2"/>
  <c r="DT5" i="2"/>
  <c r="DT108" i="2"/>
  <c r="DT85" i="2"/>
  <c r="DT4" i="2"/>
  <c r="DT55" i="2"/>
  <c r="DT135" i="2"/>
  <c r="DT96" i="2"/>
  <c r="DT33" i="2"/>
  <c r="DT83" i="2"/>
  <c r="DT140" i="2"/>
  <c r="DT162" i="2"/>
  <c r="DT154" i="2"/>
  <c r="DT138" i="2"/>
  <c r="DT20" i="2"/>
  <c r="DT189" i="2"/>
  <c r="DT30" i="2"/>
  <c r="DT176" i="2"/>
  <c r="DT120" i="2"/>
  <c r="DT175" i="2"/>
  <c r="DT61" i="2"/>
  <c r="DT99" i="2"/>
  <c r="DT155" i="2"/>
  <c r="DT3" i="2"/>
  <c r="C11" i="4" s="1"/>
  <c r="E11" i="4" s="1"/>
  <c r="F11" i="4" s="1"/>
  <c r="G11" i="4" s="1"/>
  <c r="L11" i="4" s="1"/>
  <c r="DT201" i="2"/>
  <c r="DT25" i="2"/>
  <c r="DT80" i="2"/>
  <c r="DT89" i="2"/>
  <c r="DT160" i="2"/>
  <c r="DT119" i="2"/>
  <c r="DT180" i="2"/>
  <c r="DT134" i="2"/>
  <c r="DT44" i="2"/>
  <c r="DT18" i="2"/>
  <c r="DT11" i="2"/>
  <c r="DT146" i="2"/>
  <c r="DT130" i="2"/>
  <c r="DT122" i="2"/>
  <c r="DT174" i="2"/>
  <c r="DT64" i="2"/>
  <c r="DT39" i="2"/>
  <c r="DT129" i="2"/>
  <c r="DT73" i="2"/>
  <c r="DT40" i="2"/>
  <c r="DT32" i="2"/>
  <c r="DT79" i="2"/>
  <c r="DT202" i="2"/>
  <c r="DT157" i="2"/>
  <c r="DT117" i="2"/>
  <c r="DT147" i="2"/>
  <c r="DT45" i="2"/>
  <c r="DT98" i="2"/>
  <c r="DT51" i="2"/>
  <c r="DT62" i="2"/>
  <c r="DT74" i="2"/>
  <c r="DT82" i="2"/>
  <c r="DT88" i="2"/>
  <c r="DT187" i="2"/>
  <c r="DT19" i="2"/>
  <c r="DT103" i="2"/>
  <c r="DT142" i="2"/>
  <c r="DT107" i="2"/>
  <c r="DT203" i="2"/>
  <c r="DT111" i="2"/>
  <c r="DT124" i="2"/>
  <c r="DT54" i="2"/>
  <c r="DT148" i="2"/>
  <c r="DT95" i="2"/>
  <c r="DT91" i="2"/>
  <c r="DT133" i="2"/>
  <c r="DT137" i="2"/>
  <c r="DT128" i="2"/>
  <c r="DT78" i="2"/>
  <c r="DT34" i="2"/>
  <c r="DT71" i="2"/>
  <c r="DT28" i="2"/>
  <c r="DT29" i="2"/>
  <c r="DT118" i="2"/>
  <c r="DT151" i="2"/>
  <c r="DT31" i="2"/>
  <c r="DT8" i="2"/>
  <c r="DT161" i="2"/>
  <c r="DT9" i="2"/>
  <c r="DT56" i="2"/>
  <c r="DT141" i="2"/>
  <c r="DT173" i="2"/>
  <c r="DT109" i="2"/>
  <c r="DT200" i="2"/>
  <c r="DT67" i="2"/>
  <c r="DT24" i="2"/>
  <c r="DT21" i="2"/>
  <c r="DT76" i="2"/>
  <c r="DT190" i="2"/>
  <c r="DT70" i="2"/>
  <c r="DT166" i="2"/>
  <c r="DT86" i="2"/>
  <c r="DT197" i="2"/>
  <c r="DT164" i="2"/>
  <c r="DT182" i="2"/>
  <c r="DT152" i="2"/>
  <c r="DT159" i="2"/>
  <c r="DT94" i="2"/>
  <c r="DT14" i="2"/>
  <c r="DT113" i="2"/>
  <c r="DT144" i="2"/>
  <c r="DT52" i="2"/>
  <c r="DT16" i="2"/>
  <c r="DT153" i="2"/>
  <c r="DT193" i="2"/>
  <c r="DT6" i="2"/>
  <c r="DT60" i="2"/>
  <c r="DT145" i="2"/>
  <c r="DT36" i="2"/>
  <c r="DT101" i="2"/>
  <c r="DT191" i="2"/>
  <c r="DT139" i="2"/>
  <c r="DT53" i="2"/>
  <c r="DT23" i="2"/>
  <c r="DT192" i="2"/>
  <c r="DT46" i="2"/>
  <c r="DT163" i="2"/>
  <c r="DT115" i="2"/>
  <c r="DT97" i="2"/>
  <c r="DT179" i="2"/>
  <c r="DT22" i="2"/>
  <c r="DT121" i="2"/>
  <c r="DT69" i="2"/>
  <c r="DT10" i="2"/>
  <c r="DT92" i="2"/>
  <c r="DT149" i="2"/>
  <c r="DT156" i="2"/>
  <c r="DT58" i="2"/>
  <c r="DT127" i="2"/>
  <c r="DT17" i="2"/>
  <c r="DT183" i="2"/>
  <c r="DT47" i="2"/>
  <c r="DT181" i="2"/>
  <c r="DT50" i="2"/>
  <c r="DT125" i="2"/>
  <c r="DT63" i="2"/>
  <c r="DT66" i="2"/>
  <c r="DT38" i="2"/>
  <c r="DT198" i="2"/>
  <c r="DT126" i="2"/>
  <c r="DT68" i="2"/>
  <c r="DT184" i="2"/>
  <c r="DT26" i="2"/>
  <c r="DT15" i="2"/>
  <c r="DT65" i="2"/>
  <c r="DT199" i="2"/>
  <c r="DT106" i="2"/>
  <c r="DT136" i="2"/>
  <c r="DT123" i="2"/>
  <c r="DT150" i="2"/>
  <c r="DT37" i="2"/>
  <c r="DT41" i="2"/>
  <c r="DT170" i="2"/>
  <c r="DT49" i="2"/>
  <c r="DT72" i="2"/>
  <c r="DT48" i="2"/>
  <c r="DT104" i="2"/>
  <c r="DT93" i="2"/>
  <c r="DT188" i="2"/>
  <c r="DT7" i="2"/>
  <c r="DT84" i="2"/>
  <c r="DT196" i="2"/>
  <c r="DT81" i="2"/>
  <c r="DT77" i="2"/>
  <c r="DT110" i="2"/>
  <c r="DT185" i="2"/>
  <c r="DT169" i="2"/>
  <c r="DT12" i="2"/>
  <c r="DT75" i="2"/>
  <c r="DT59" i="2"/>
  <c r="DT165" i="2"/>
  <c r="DT57" i="2"/>
  <c r="DT102" i="2"/>
  <c r="DT114" i="2"/>
  <c r="DT172" i="2"/>
  <c r="DT143" i="2"/>
  <c r="DT112" i="2"/>
  <c r="DT194" i="2"/>
  <c r="DT171" i="2"/>
  <c r="CY24" i="2"/>
  <c r="CY23" i="2"/>
  <c r="CY197" i="2"/>
  <c r="CY146" i="2"/>
  <c r="CY31" i="2"/>
  <c r="CY155" i="2"/>
  <c r="CY112" i="2"/>
  <c r="CY103" i="2"/>
  <c r="CY116" i="2"/>
  <c r="CY185" i="2"/>
  <c r="CY80" i="2"/>
  <c r="CY88" i="2"/>
  <c r="CY162" i="2"/>
  <c r="CY137" i="2"/>
  <c r="CY181" i="2"/>
  <c r="CY201" i="2"/>
  <c r="CY131" i="2"/>
  <c r="CY170" i="2"/>
  <c r="CY66" i="2"/>
  <c r="CY3" i="2"/>
  <c r="C10" i="4" s="1"/>
  <c r="E10" i="4" s="1"/>
  <c r="F10" i="4" s="1"/>
  <c r="G10" i="4" s="1"/>
  <c r="L10" i="4" s="1"/>
  <c r="CY6" i="2"/>
  <c r="CY120" i="2"/>
  <c r="CY77" i="2"/>
  <c r="CY105" i="2"/>
  <c r="CY71" i="2"/>
  <c r="CY171" i="2"/>
  <c r="CY101" i="2"/>
  <c r="CY163" i="2"/>
  <c r="CY44" i="2"/>
  <c r="CY65" i="2"/>
  <c r="CY173" i="2"/>
  <c r="CY90" i="2"/>
  <c r="CY122" i="2"/>
  <c r="CY72" i="2"/>
  <c r="CY195" i="2"/>
  <c r="CY107" i="2"/>
  <c r="CY160" i="2"/>
  <c r="CY200" i="2"/>
  <c r="CY186" i="2"/>
  <c r="CY198" i="2"/>
  <c r="CY84" i="2"/>
  <c r="CY152" i="2"/>
  <c r="CY169" i="2"/>
  <c r="CY46" i="2"/>
  <c r="CY33" i="2"/>
  <c r="CY54" i="2"/>
  <c r="CY47" i="2"/>
  <c r="CY74" i="2"/>
  <c r="CY172" i="2"/>
  <c r="CY123" i="2"/>
  <c r="CY12" i="2"/>
  <c r="CY48" i="2"/>
  <c r="CY79" i="2"/>
  <c r="CY70" i="2"/>
  <c r="CY83" i="2"/>
  <c r="CY91" i="2"/>
  <c r="CY32" i="2"/>
  <c r="CY188" i="2"/>
  <c r="CY168" i="2"/>
  <c r="CY165" i="2"/>
  <c r="CY94" i="2"/>
  <c r="CY128" i="2"/>
  <c r="CY154" i="2"/>
  <c r="CY136" i="2"/>
  <c r="CY142" i="2"/>
  <c r="CY192" i="2"/>
  <c r="CY75" i="2"/>
  <c r="CY127" i="2"/>
  <c r="CY68" i="2"/>
  <c r="CY194" i="2"/>
  <c r="CY167" i="2"/>
  <c r="CY174" i="2"/>
  <c r="CY42" i="2"/>
  <c r="CY141" i="2"/>
  <c r="CY175" i="2"/>
  <c r="CY50" i="2"/>
  <c r="CY117" i="2"/>
  <c r="CY143" i="2"/>
  <c r="CY58" i="2"/>
  <c r="CY57" i="2"/>
  <c r="CY196" i="2"/>
  <c r="CY99" i="2"/>
  <c r="CY121" i="2"/>
  <c r="CY182" i="2"/>
  <c r="CY86" i="2"/>
  <c r="CY27" i="2"/>
  <c r="CY56" i="2"/>
  <c r="CY161" i="2"/>
  <c r="CY60" i="2"/>
  <c r="CY104" i="2"/>
  <c r="CY157" i="2"/>
  <c r="CY36" i="2"/>
  <c r="CY89" i="2"/>
  <c r="CY193" i="2"/>
  <c r="CY22" i="2"/>
  <c r="CY82" i="2"/>
  <c r="CY52" i="2"/>
  <c r="CY11" i="2"/>
  <c r="CY113" i="2"/>
  <c r="CY19" i="2"/>
  <c r="CY147" i="2"/>
  <c r="CY202" i="2"/>
  <c r="CY97" i="2"/>
  <c r="CY124" i="2"/>
  <c r="CY37" i="2"/>
  <c r="CY178" i="2"/>
  <c r="CY10" i="2"/>
  <c r="CY76" i="2"/>
  <c r="CY108" i="2"/>
  <c r="CY55" i="2"/>
  <c r="CY73" i="2"/>
  <c r="CY134" i="2"/>
  <c r="CY145" i="2"/>
  <c r="CY20" i="2"/>
  <c r="CY150" i="2"/>
  <c r="CY98" i="2"/>
  <c r="CY64" i="2"/>
  <c r="CY183" i="2"/>
  <c r="CY180" i="2"/>
  <c r="CY138" i="2"/>
  <c r="CY35" i="2"/>
  <c r="CY203" i="2"/>
  <c r="CY159" i="2"/>
  <c r="CY81" i="2"/>
  <c r="CY13" i="2"/>
  <c r="CY85" i="2"/>
  <c r="CY190" i="2"/>
  <c r="CY129" i="2"/>
  <c r="CY53" i="2"/>
  <c r="CY132" i="2"/>
  <c r="CY156" i="2"/>
  <c r="CY59" i="2"/>
  <c r="CY199" i="2"/>
  <c r="CY9" i="2"/>
  <c r="CY111" i="2"/>
  <c r="CY130" i="2"/>
  <c r="CY191" i="2"/>
  <c r="CY15" i="2"/>
  <c r="CY176" i="2"/>
  <c r="CY14" i="2"/>
  <c r="CY149" i="2"/>
  <c r="CY139" i="2"/>
  <c r="CY38" i="2"/>
  <c r="CY92" i="2"/>
  <c r="CY25" i="2"/>
  <c r="CY41" i="2"/>
  <c r="CY49" i="2"/>
  <c r="CY118" i="2"/>
  <c r="CY45" i="2"/>
  <c r="CY151" i="2"/>
  <c r="CY63" i="2"/>
  <c r="CY125" i="2"/>
  <c r="CY126" i="2"/>
  <c r="CY135" i="2"/>
  <c r="CY140" i="2"/>
  <c r="CY39" i="2"/>
  <c r="CY51" i="2"/>
  <c r="CY61" i="2"/>
  <c r="CY40" i="2"/>
  <c r="CY67" i="2"/>
  <c r="CY184" i="2"/>
  <c r="CY177" i="2"/>
  <c r="CY30" i="2"/>
  <c r="CY4" i="2"/>
  <c r="CY5" i="2"/>
  <c r="CY34" i="2"/>
  <c r="CY133" i="2"/>
  <c r="CY28" i="2"/>
  <c r="CY7" i="2"/>
  <c r="CY95" i="2"/>
  <c r="CY78" i="2"/>
  <c r="CY144" i="2"/>
  <c r="CY158" i="2"/>
  <c r="CY62" i="2"/>
  <c r="CY114" i="2"/>
  <c r="CY17" i="2"/>
  <c r="CY119" i="2"/>
  <c r="CY29" i="2"/>
  <c r="CY8" i="2"/>
  <c r="CY102" i="2"/>
  <c r="CY18" i="2"/>
  <c r="CY93" i="2"/>
  <c r="CY110" i="2"/>
  <c r="CY153" i="2"/>
  <c r="CY26" i="2"/>
  <c r="CY148" i="2"/>
  <c r="CY109" i="2"/>
  <c r="CY166" i="2"/>
  <c r="CY106" i="2"/>
  <c r="CY96" i="2"/>
  <c r="CY16" i="2"/>
  <c r="CY179" i="2"/>
  <c r="CY87" i="2"/>
  <c r="CY115" i="2"/>
  <c r="CY21" i="2"/>
  <c r="CY69" i="2"/>
  <c r="CY164" i="2"/>
  <c r="CY189" i="2"/>
  <c r="CY43" i="2"/>
  <c r="CY187" i="2"/>
  <c r="CY100" i="2"/>
  <c r="EO4" i="2"/>
  <c r="EO132" i="2"/>
  <c r="EO29" i="2"/>
  <c r="EO154" i="2"/>
  <c r="EO107" i="2"/>
  <c r="EO30" i="2"/>
  <c r="EO185" i="2"/>
  <c r="EO62" i="2"/>
  <c r="EO166" i="2"/>
  <c r="EO159" i="2"/>
  <c r="EO143" i="2"/>
  <c r="EO146" i="2"/>
  <c r="EO46" i="2"/>
  <c r="EO56" i="2"/>
  <c r="EO35" i="2"/>
  <c r="EO74" i="2"/>
  <c r="EO104" i="2"/>
  <c r="EO65" i="2"/>
  <c r="EO55" i="2"/>
  <c r="EO19" i="2"/>
  <c r="EO182" i="2"/>
  <c r="EO60" i="2"/>
  <c r="EO184" i="2"/>
  <c r="EO165" i="2"/>
  <c r="EO145" i="2"/>
  <c r="EO131" i="2"/>
  <c r="EO129" i="2"/>
  <c r="EO113" i="2"/>
  <c r="EO63" i="2"/>
  <c r="EO48" i="2"/>
  <c r="EO144" i="2"/>
  <c r="EO181" i="2"/>
  <c r="EO172" i="2"/>
  <c r="EO170" i="2"/>
  <c r="EO121" i="2"/>
  <c r="EO188" i="2"/>
  <c r="EO100" i="2"/>
  <c r="EO168" i="2"/>
  <c r="EO122" i="2"/>
  <c r="EO110" i="2"/>
  <c r="EO80" i="2"/>
  <c r="EO66" i="2"/>
  <c r="EO191" i="2"/>
  <c r="EO117" i="2"/>
  <c r="EO202" i="2"/>
  <c r="EO75" i="2"/>
  <c r="EO37" i="2"/>
  <c r="EO193" i="2"/>
  <c r="EO97" i="2"/>
  <c r="EO92" i="2"/>
  <c r="EO61" i="2"/>
  <c r="EO57" i="2"/>
  <c r="EO12" i="2"/>
  <c r="EO200" i="2"/>
  <c r="EO42" i="2"/>
  <c r="EO105" i="2"/>
  <c r="EO59" i="2"/>
  <c r="EO190" i="2"/>
  <c r="EO197" i="2"/>
  <c r="EO13" i="2"/>
  <c r="EO88" i="2"/>
  <c r="EO16" i="2"/>
  <c r="EO81" i="2"/>
  <c r="EO192" i="2"/>
  <c r="EO137" i="2"/>
  <c r="EO32" i="2"/>
  <c r="EO82" i="2"/>
  <c r="EO161" i="2"/>
  <c r="EO133" i="2"/>
  <c r="EO99" i="2"/>
  <c r="EO163" i="2"/>
  <c r="EO94" i="2"/>
  <c r="EO43" i="2"/>
  <c r="EO135" i="2"/>
  <c r="EO194" i="2"/>
  <c r="EO15" i="2"/>
  <c r="EO115" i="2"/>
  <c r="EO174" i="2"/>
  <c r="EO128" i="2"/>
  <c r="EO187" i="2"/>
  <c r="EO120" i="2"/>
  <c r="EO26" i="2"/>
  <c r="EO51" i="2"/>
  <c r="EO90" i="2"/>
  <c r="EO114" i="2"/>
  <c r="EO14" i="2"/>
  <c r="EO45" i="2"/>
  <c r="EO64" i="2"/>
  <c r="EO10" i="2"/>
  <c r="EO41" i="2"/>
  <c r="EO140" i="2"/>
  <c r="EO50" i="2"/>
  <c r="EO116" i="2"/>
  <c r="EO201" i="2"/>
  <c r="EO148" i="2"/>
  <c r="EO33" i="2"/>
  <c r="EO5" i="2"/>
  <c r="EO69" i="2"/>
  <c r="EO180" i="2"/>
  <c r="EO147" i="2"/>
  <c r="EO38" i="2"/>
  <c r="EO11" i="2"/>
  <c r="EO189" i="2"/>
  <c r="EO78" i="2"/>
  <c r="EO177" i="2"/>
  <c r="EO203" i="2"/>
  <c r="EO22" i="2"/>
  <c r="EO79" i="2"/>
  <c r="EO138" i="2"/>
  <c r="EO21" i="2"/>
  <c r="EO151" i="2"/>
  <c r="EO111" i="2"/>
  <c r="EO162" i="2"/>
  <c r="EO164" i="2"/>
  <c r="EO47" i="2"/>
  <c r="EO179" i="2"/>
  <c r="EO49" i="2"/>
  <c r="EO34" i="2"/>
  <c r="EO134" i="2"/>
  <c r="EO36" i="2"/>
  <c r="EO155" i="2"/>
  <c r="EO139" i="2"/>
  <c r="EO68" i="2"/>
  <c r="EO95" i="2"/>
  <c r="EO7" i="2"/>
  <c r="EO196" i="2"/>
  <c r="EO149" i="2"/>
  <c r="EO73" i="2"/>
  <c r="EO89" i="2"/>
  <c r="EO156" i="2"/>
  <c r="EO142" i="2"/>
  <c r="EO44" i="2"/>
  <c r="EO3" i="2"/>
  <c r="C12" i="4" s="1"/>
  <c r="E12" i="4" s="1"/>
  <c r="F12" i="4" s="1"/>
  <c r="G12" i="4" s="1"/>
  <c r="L12" i="4" s="1"/>
  <c r="EO70" i="2"/>
  <c r="EO58" i="2"/>
  <c r="EO53" i="2"/>
  <c r="EO124" i="2"/>
  <c r="EO6" i="2"/>
  <c r="EO171" i="2"/>
  <c r="EO84" i="2"/>
  <c r="EO18" i="2"/>
  <c r="EO52" i="2"/>
  <c r="EO125" i="2"/>
  <c r="EO87" i="2"/>
  <c r="EO198" i="2"/>
  <c r="EO108" i="2"/>
  <c r="EO123" i="2"/>
  <c r="EO158" i="2"/>
  <c r="EO175" i="2"/>
  <c r="EO85" i="2"/>
  <c r="EO20" i="2"/>
  <c r="EO76" i="2"/>
  <c r="EO126" i="2"/>
  <c r="EO28" i="2"/>
  <c r="EO183" i="2"/>
  <c r="EO103" i="2"/>
  <c r="EO98" i="2"/>
  <c r="EO153" i="2"/>
  <c r="EO86" i="2"/>
  <c r="EO112" i="2"/>
  <c r="EO127" i="2"/>
  <c r="EO25" i="2"/>
  <c r="EO106" i="2"/>
  <c r="EO71" i="2"/>
  <c r="EO91" i="2"/>
  <c r="EO136" i="2"/>
  <c r="EO24" i="2"/>
  <c r="EO186" i="2"/>
  <c r="EO77" i="2"/>
  <c r="EO101" i="2"/>
  <c r="EO178" i="2"/>
  <c r="EO141" i="2"/>
  <c r="EO176" i="2"/>
  <c r="EO39" i="2"/>
  <c r="EO195" i="2"/>
  <c r="EO169" i="2"/>
  <c r="EO167" i="2"/>
  <c r="EO40" i="2"/>
  <c r="EO83" i="2"/>
  <c r="EO8" i="2"/>
  <c r="EO31" i="2"/>
  <c r="EO130" i="2"/>
  <c r="EO157" i="2"/>
  <c r="EO17" i="2"/>
  <c r="EO160" i="2"/>
  <c r="EO102" i="2"/>
  <c r="EO93" i="2"/>
  <c r="EO150" i="2"/>
  <c r="EO96" i="2"/>
  <c r="EO72" i="2"/>
  <c r="EO109" i="2"/>
  <c r="EO23" i="2"/>
  <c r="EO118" i="2"/>
  <c r="EO67" i="2"/>
  <c r="EO152" i="2"/>
  <c r="EO199" i="2"/>
  <c r="EO27" i="2"/>
  <c r="EO54" i="2"/>
  <c r="EO9" i="2"/>
  <c r="EO173" i="2"/>
  <c r="EO119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<sst xmlns="http://schemas.openxmlformats.org/spreadsheetml/2006/main" count="1176" uniqueCount="324">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</sst>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2.1940002830390566</c:v>
                </c:pt>
                <c:pt idx="2">
                  <c:v>3.1045686165948538</c:v>
                </c:pt>
                <c:pt idx="3">
                  <c:v>4.3947013277262581</c:v>
                </c:pt>
                <c:pt idx="4">
                  <c:v>6.2232657031808714</c:v>
                </c:pt>
                <c:pt idx="5">
                  <c:v>8.8158762058820344</c:v>
                </c:pt>
                <c:pt idx="6">
                  <c:v>12.493036245630696</c:v>
                </c:pt>
                <c:pt idx="7">
                  <c:v>17.710183078386564</c:v>
                </c:pt>
                <c:pt idx="8">
                  <c:v>25.114685188929467</c:v>
                </c:pt>
                <c:pt idx="9">
                  <c:v>35.626989116334002</c:v>
                </c:pt>
                <c:pt idx="10">
                  <c:v>50.556175876839468</c:v>
                </c:pt>
                <c:pt idx="11">
                  <c:v>71.76455709729801</c:v>
                </c:pt>
                <c:pt idx="12">
                  <c:v>101.90217630642276</c:v>
                </c:pt>
                <c:pt idx="13">
                  <c:v>126.6774958532839</c:v>
                </c:pt>
                <c:pt idx="14">
                  <c:v>151.33494848914387</c:v>
                </c:pt>
                <c:pt idx="15">
                  <c:v>128.49351401488124</c:v>
                </c:pt>
                <c:pt idx="16">
                  <c:v>152.53988816763055</c:v>
                </c:pt>
                <c:pt idx="17">
                  <c:v>176.49586999908544</c:v>
                </c:pt>
                <c:pt idx="18">
                  <c:v>200.37547244281248</c:v>
                </c:pt>
                <c:pt idx="19">
                  <c:v>224.18908393280142</c:v>
                </c:pt>
                <c:pt idx="20">
                  <c:v>175.85827410459771</c:v>
                </c:pt>
                <c:pt idx="21">
                  <c:v>198.54114021779469</c:v>
                </c:pt>
                <c:pt idx="22">
                  <c:v>221.16386637311743</c:v>
                </c:pt>
                <c:pt idx="23">
                  <c:v>243.73347018256243</c:v>
                </c:pt>
                <c:pt idx="24">
                  <c:v>266.25556181785299</c:v>
                </c:pt>
                <c:pt idx="25">
                  <c:v>288.73472412555719</c:v>
                </c:pt>
                <c:pt idx="26">
                  <c:v>241.99735741936033</c:v>
                </c:pt>
                <c:pt idx="27">
                  <c:v>263.22482328379914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306.26573154666147</c:v>
                </c:pt>
                <c:pt idx="34">
                  <c:v>325.34802988622567</c:v>
                </c:pt>
                <c:pt idx="35">
                  <c:v>344.40560805799942</c:v>
                </c:pt>
                <c:pt idx="36">
                  <c:v>363.44002584805622</c:v>
                </c:pt>
                <c:pt idx="37">
                  <c:v>382.45266636774107</c:v>
                </c:pt>
                <c:pt idx="38">
                  <c:v>401.44476403526892</c:v>
                </c:pt>
                <c:pt idx="39">
                  <c:v>420.41742698462764</c:v>
                </c:pt>
                <c:pt idx="40">
                  <c:v>439.37165521801188</c:v>
                </c:pt>
                <c:pt idx="41">
                  <c:v>458.3083554626607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515.02120023621649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1.9566449195507494</c:v>
                </c:pt>
                <c:pt idx="2">
                  <c:v>2.4686571439605767</c:v>
                </c:pt>
                <c:pt idx="3">
                  <c:v>3.1151839102606806</c:v>
                </c:pt>
                <c:pt idx="4">
                  <c:v>3.9316964950378392</c:v>
                </c:pt>
                <c:pt idx="5">
                  <c:v>4.9630525064427227</c:v>
                </c:pt>
                <c:pt idx="6">
                  <c:v>6.2659877036996905</c:v>
                </c:pt>
                <c:pt idx="7">
                  <c:v>7.9122712978494478</c:v>
                </c:pt>
                <c:pt idx="8">
                  <c:v>9.9927018764987761</c:v>
                </c:pt>
                <c:pt idx="9">
                  <c:v>12.622168508150866</c:v>
                </c:pt>
                <c:pt idx="10">
                  <c:v>15.946061713233554</c:v>
                </c:pt>
                <c:pt idx="11">
                  <c:v>20.148395258034103</c:v>
                </c:pt>
                <c:pt idx="12">
                  <c:v>25.462096473842326</c:v>
                </c:pt>
                <c:pt idx="13">
                  <c:v>32.182045535134357</c:v>
                </c:pt>
                <c:pt idx="14">
                  <c:v>40.681599840420013</c:v>
                </c:pt>
                <c:pt idx="15">
                  <c:v>51.433537205270682</c:v>
                </c:pt>
                <c:pt idx="16">
                  <c:v>65.03660227080978</c:v>
                </c:pt>
                <c:pt idx="17">
                  <c:v>82.249158664773347</c:v>
                </c:pt>
                <c:pt idx="18">
                  <c:v>104.03185320004359</c:v>
                </c:pt>
                <c:pt idx="19">
                  <c:v>131.60171083641561</c:v>
                </c:pt>
                <c:pt idx="20">
                  <c:v>166.50072957530207</c:v>
                </c:pt>
                <c:pt idx="21">
                  <c:v>138.66083059882178</c:v>
                </c:pt>
                <c:pt idx="22">
                  <c:v>161.56585102109304</c:v>
                </c:pt>
                <c:pt idx="23">
                  <c:v>184.39391627214411</c:v>
                </c:pt>
                <c:pt idx="24">
                  <c:v>207.15590260594385</c:v>
                </c:pt>
                <c:pt idx="25">
                  <c:v>229.86009453547467</c:v>
                </c:pt>
                <c:pt idx="26">
                  <c:v>252.51300352047531</c:v>
                </c:pt>
                <c:pt idx="27">
                  <c:v>275.11987609047725</c:v>
                </c:pt>
                <c:pt idx="28">
                  <c:v>297.6850256263923</c:v>
                </c:pt>
                <c:pt idx="29">
                  <c:v>320.21205801761664</c:v>
                </c:pt>
                <c:pt idx="30">
                  <c:v>342.70403037582872</c:v>
                </c:pt>
                <c:pt idx="31">
                  <c:v>261.63810027033645</c:v>
                </c:pt>
                <c:pt idx="32">
                  <c:v>288.2022439990115</c:v>
                </c:pt>
                <c:pt idx="33">
                  <c:v>314.71163994873319</c:v>
                </c:pt>
                <c:pt idx="34">
                  <c:v>341.17154481141012</c:v>
                </c:pt>
                <c:pt idx="35">
                  <c:v>367.58633335297969</c:v>
                </c:pt>
                <c:pt idx="36">
                  <c:v>393.95970045617923</c:v>
                </c:pt>
                <c:pt idx="37">
                  <c:v>420.29480616914628</c:v>
                </c:pt>
                <c:pt idx="38">
                  <c:v>446.59438247343945</c:v>
                </c:pt>
                <c:pt idx="39">
                  <c:v>472.86081357872575</c:v>
                </c:pt>
                <c:pt idx="40">
                  <c:v>499.09619744323089</c:v>
                </c:pt>
                <c:pt idx="41">
                  <c:v>385.3003503946465</c:v>
                </c:pt>
                <c:pt idx="42">
                  <c:v>412.53802704609831</c:v>
                </c:pt>
                <c:pt idx="43">
                  <c:v>439.73691004093916</c:v>
                </c:pt>
                <c:pt idx="44">
                  <c:v>466.89973351747727</c:v>
                </c:pt>
                <c:pt idx="45">
                  <c:v>494.02888780918562</c:v>
                </c:pt>
                <c:pt idx="46">
                  <c:v>521.12647956306955</c:v>
                </c:pt>
                <c:pt idx="47">
                  <c:v>548.19437870428453</c:v>
                </c:pt>
                <c:pt idx="48">
                  <c:v>575.23425564498564</c:v>
                </c:pt>
                <c:pt idx="49">
                  <c:v>602.247611136101</c:v>
                </c:pt>
                <c:pt idx="50">
                  <c:v>629.23580048778615</c:v>
                </c:pt>
                <c:pt idx="51">
                  <c:v>497.19608466057122</c:v>
                </c:pt>
                <c:pt idx="52">
                  <c:v>523.15125292943719</c:v>
                </c:pt>
                <c:pt idx="53">
                  <c:v>549.07929537769007</c:v>
                </c:pt>
                <c:pt idx="54">
                  <c:v>574.98167150635015</c:v>
                </c:pt>
                <c:pt idx="55">
                  <c:v>600.85969874528234</c:v>
                </c:pt>
                <c:pt idx="56">
                  <c:v>626.71457192765092</c:v>
                </c:pt>
                <c:pt idx="57">
                  <c:v>652.54737938593905</c:v>
                </c:pt>
                <c:pt idx="58">
                  <c:v>678.35911636872549</c:v>
                </c:pt>
                <c:pt idx="59">
                  <c:v>704.15069631110885</c:v>
                </c:pt>
                <c:pt idx="60">
                  <c:v>729.92296036968401</c:v>
                </c:pt>
                <c:pt idx="61">
                  <c:v>593.54050901259245</c:v>
                </c:pt>
                <c:pt idx="62">
                  <c:v>617.13198035940434</c:v>
                </c:pt>
                <c:pt idx="63">
                  <c:v>640.70476580589423</c:v>
                </c:pt>
                <c:pt idx="64">
                  <c:v>664.25964876321927</c:v>
                </c:pt>
                <c:pt idx="65">
                  <c:v>687.79735261893882</c:v>
                </c:pt>
                <c:pt idx="66">
                  <c:v>711.3185472735621</c:v>
                </c:pt>
                <c:pt idx="67">
                  <c:v>734.82385476844058</c:v>
                </c:pt>
                <c:pt idx="68">
                  <c:v>758.31385415689567</c:v>
                </c:pt>
                <c:pt idx="69">
                  <c:v>781.78908574108527</c:v>
                </c:pt>
                <c:pt idx="70">
                  <c:v>805.25005477412435</c:v>
                </c:pt>
                <c:pt idx="71">
                  <c:v>674.96069326353006</c:v>
                </c:pt>
                <c:pt idx="72">
                  <c:v>695.47182495759932</c:v>
                </c:pt>
                <c:pt idx="73">
                  <c:v>715.97057184823643</c:v>
                </c:pt>
                <c:pt idx="74">
                  <c:v>736.4573380508931</c:v>
                </c:pt>
                <c:pt idx="75">
                  <c:v>756.93250339014514</c:v>
                </c:pt>
                <c:pt idx="76">
                  <c:v>777.39642549055645</c:v>
                </c:pt>
                <c:pt idx="77">
                  <c:v>797.84944163617945</c:v>
                </c:pt>
                <c:pt idx="78">
                  <c:v>818.29187042969136</c:v>
                </c:pt>
                <c:pt idx="79">
                  <c:v>838.72401327730847</c:v>
                </c:pt>
                <c:pt idx="80">
                  <c:v>859.14615572166258</c:v>
                </c:pt>
                <c:pt idx="81">
                  <c:v>740.22663358369084</c:v>
                </c:pt>
                <c:pt idx="82">
                  <c:v>758.06270327519871</c:v>
                </c:pt>
                <c:pt idx="83">
                  <c:v>775.89025497253203</c:v>
                </c:pt>
                <c:pt idx="84">
                  <c:v>793.70951175771677</c:v>
                </c:pt>
                <c:pt idx="85">
                  <c:v>811.52068589009104</c:v>
                </c:pt>
                <c:pt idx="86">
                  <c:v>829.32397956218358</c:v>
                </c:pt>
                <c:pt idx="87">
                  <c:v>847.11958558738434</c:v>
                </c:pt>
                <c:pt idx="88">
                  <c:v>864.90768802689161</c:v>
                </c:pt>
                <c:pt idx="89">
                  <c:v>882.6884627624645</c:v>
                </c:pt>
                <c:pt idx="90">
                  <c:v>900.46207802067886</c:v>
                </c:pt>
                <c:pt idx="91">
                  <c:v>778.90253690832139</c:v>
                </c:pt>
                <c:pt idx="92">
                  <c:v>778.90253690832139</c:v>
                </c:pt>
                <c:pt idx="93">
                  <c:v>778.90253690832139</c:v>
                </c:pt>
                <c:pt idx="94">
                  <c:v>778.90253690832139</c:v>
                </c:pt>
                <c:pt idx="95">
                  <c:v>778.90253690832139</c:v>
                </c:pt>
                <c:pt idx="96">
                  <c:v>778.90253690832139</c:v>
                </c:pt>
                <c:pt idx="97">
                  <c:v>778.90253690832139</c:v>
                </c:pt>
                <c:pt idx="98">
                  <c:v>778.90253690832139</c:v>
                </c:pt>
                <c:pt idx="99">
                  <c:v>778.90253690832139</c:v>
                </c:pt>
                <c:pt idx="100">
                  <c:v>778.90253690832139</c:v>
                </c:pt>
                <c:pt idx="101">
                  <c:v>778.90253690832139</c:v>
                </c:pt>
                <c:pt idx="102">
                  <c:v>778.90253690832139</c:v>
                </c:pt>
                <c:pt idx="103">
                  <c:v>778.90253690832139</c:v>
                </c:pt>
                <c:pt idx="104">
                  <c:v>778.90253690832139</c:v>
                </c:pt>
                <c:pt idx="105">
                  <c:v>778.90253690832139</c:v>
                </c:pt>
                <c:pt idx="106">
                  <c:v>778.90253690832139</c:v>
                </c:pt>
                <c:pt idx="107">
                  <c:v>778.90253690832139</c:v>
                </c:pt>
                <c:pt idx="108">
                  <c:v>778.90253690832139</c:v>
                </c:pt>
                <c:pt idx="109">
                  <c:v>778.90253690832139</c:v>
                </c:pt>
                <c:pt idx="110">
                  <c:v>778.90253690832139</c:v>
                </c:pt>
                <c:pt idx="111">
                  <c:v>778.90253690832139</c:v>
                </c:pt>
                <c:pt idx="112">
                  <c:v>778.90253690832139</c:v>
                </c:pt>
                <c:pt idx="113">
                  <c:v>778.90253690832139</c:v>
                </c:pt>
                <c:pt idx="114">
                  <c:v>778.90253690832139</c:v>
                </c:pt>
                <c:pt idx="115">
                  <c:v>778.90253690832139</c:v>
                </c:pt>
                <c:pt idx="116">
                  <c:v>778.90253690832139</c:v>
                </c:pt>
                <c:pt idx="117">
                  <c:v>778.90253690832139</c:v>
                </c:pt>
                <c:pt idx="118">
                  <c:v>778.90253690832139</c:v>
                </c:pt>
                <c:pt idx="119">
                  <c:v>778.90253690832139</c:v>
                </c:pt>
                <c:pt idx="120">
                  <c:v>778.90253690832139</c:v>
                </c:pt>
                <c:pt idx="121">
                  <c:v>778.90253690832139</c:v>
                </c:pt>
                <c:pt idx="122">
                  <c:v>778.90253690832139</c:v>
                </c:pt>
                <c:pt idx="123">
                  <c:v>778.90253690832139</c:v>
                </c:pt>
                <c:pt idx="124">
                  <c:v>778.90253690832139</c:v>
                </c:pt>
                <c:pt idx="125">
                  <c:v>778.90253690832139</c:v>
                </c:pt>
                <c:pt idx="126">
                  <c:v>778.90253690832139</c:v>
                </c:pt>
                <c:pt idx="127">
                  <c:v>778.90253690832139</c:v>
                </c:pt>
                <c:pt idx="128">
                  <c:v>778.90253690832139</c:v>
                </c:pt>
                <c:pt idx="129">
                  <c:v>778.90253690832139</c:v>
                </c:pt>
                <c:pt idx="130">
                  <c:v>778.90253690832139</c:v>
                </c:pt>
                <c:pt idx="131">
                  <c:v>778.90253690832139</c:v>
                </c:pt>
                <c:pt idx="132">
                  <c:v>778.90253690832139</c:v>
                </c:pt>
                <c:pt idx="133">
                  <c:v>778.90253690832139</c:v>
                </c:pt>
                <c:pt idx="134">
                  <c:v>778.90253690832139</c:v>
                </c:pt>
                <c:pt idx="135">
                  <c:v>778.90253690832139</c:v>
                </c:pt>
                <c:pt idx="136">
                  <c:v>778.90253690832139</c:v>
                </c:pt>
                <c:pt idx="137">
                  <c:v>778.90253690832139</c:v>
                </c:pt>
                <c:pt idx="138">
                  <c:v>778.90253690832139</c:v>
                </c:pt>
                <c:pt idx="139">
                  <c:v>778.90253690832139</c:v>
                </c:pt>
                <c:pt idx="140">
                  <c:v>778.90253690832139</c:v>
                </c:pt>
                <c:pt idx="141">
                  <c:v>778.90253690832139</c:v>
                </c:pt>
                <c:pt idx="142">
                  <c:v>778.90253690832139</c:v>
                </c:pt>
                <c:pt idx="143">
                  <c:v>778.90253690832139</c:v>
                </c:pt>
                <c:pt idx="144">
                  <c:v>778.90253690832139</c:v>
                </c:pt>
                <c:pt idx="145">
                  <c:v>778.90253690832139</c:v>
                </c:pt>
                <c:pt idx="146">
                  <c:v>778.90253690832139</c:v>
                </c:pt>
                <c:pt idx="147">
                  <c:v>778.90253690832139</c:v>
                </c:pt>
                <c:pt idx="148">
                  <c:v>778.90253690832139</c:v>
                </c:pt>
                <c:pt idx="149">
                  <c:v>778.90253690832139</c:v>
                </c:pt>
                <c:pt idx="150">
                  <c:v>778.90253690832139</c:v>
                </c:pt>
                <c:pt idx="151">
                  <c:v>778.90253690832139</c:v>
                </c:pt>
                <c:pt idx="152">
                  <c:v>778.90253690832139</c:v>
                </c:pt>
                <c:pt idx="153">
                  <c:v>778.90253690832139</c:v>
                </c:pt>
                <c:pt idx="154">
                  <c:v>778.90253690832139</c:v>
                </c:pt>
                <c:pt idx="155">
                  <c:v>778.90253690832139</c:v>
                </c:pt>
                <c:pt idx="156">
                  <c:v>778.90253690832139</c:v>
                </c:pt>
                <c:pt idx="157">
                  <c:v>778.90253690832139</c:v>
                </c:pt>
                <c:pt idx="158">
                  <c:v>778.90253690832139</c:v>
                </c:pt>
                <c:pt idx="159">
                  <c:v>778.90253690832139</c:v>
                </c:pt>
                <c:pt idx="160">
                  <c:v>778.90253690832139</c:v>
                </c:pt>
                <c:pt idx="161">
                  <c:v>778.90253690832139</c:v>
                </c:pt>
                <c:pt idx="162">
                  <c:v>778.90253690832139</c:v>
                </c:pt>
                <c:pt idx="163">
                  <c:v>778.90253690832139</c:v>
                </c:pt>
                <c:pt idx="164">
                  <c:v>778.90253690832139</c:v>
                </c:pt>
                <c:pt idx="165">
                  <c:v>778.90253690832139</c:v>
                </c:pt>
                <c:pt idx="166">
                  <c:v>778.90253690832139</c:v>
                </c:pt>
                <c:pt idx="167">
                  <c:v>778.90253690832139</c:v>
                </c:pt>
                <c:pt idx="168">
                  <c:v>778.90253690832139</c:v>
                </c:pt>
                <c:pt idx="169">
                  <c:v>778.90253690832139</c:v>
                </c:pt>
                <c:pt idx="170">
                  <c:v>778.90253690832139</c:v>
                </c:pt>
                <c:pt idx="171">
                  <c:v>778.90253690832139</c:v>
                </c:pt>
                <c:pt idx="172">
                  <c:v>778.90253690832139</c:v>
                </c:pt>
                <c:pt idx="173">
                  <c:v>778.90253690832139</c:v>
                </c:pt>
                <c:pt idx="174">
                  <c:v>778.90253690832139</c:v>
                </c:pt>
                <c:pt idx="175">
                  <c:v>778.90253690832139</c:v>
                </c:pt>
                <c:pt idx="176">
                  <c:v>778.90253690832139</c:v>
                </c:pt>
                <c:pt idx="177">
                  <c:v>778.90253690832139</c:v>
                </c:pt>
                <c:pt idx="178">
                  <c:v>778.90253690832139</c:v>
                </c:pt>
                <c:pt idx="179">
                  <c:v>778.90253690832139</c:v>
                </c:pt>
                <c:pt idx="180">
                  <c:v>778.90253690832139</c:v>
                </c:pt>
                <c:pt idx="181">
                  <c:v>778.90253690832139</c:v>
                </c:pt>
                <c:pt idx="182">
                  <c:v>778.90253690832139</c:v>
                </c:pt>
                <c:pt idx="183">
                  <c:v>778.90253690832139</c:v>
                </c:pt>
                <c:pt idx="184">
                  <c:v>778.90253690832139</c:v>
                </c:pt>
                <c:pt idx="185">
                  <c:v>778.90253690832139</c:v>
                </c:pt>
                <c:pt idx="186">
                  <c:v>778.90253690832139</c:v>
                </c:pt>
                <c:pt idx="187">
                  <c:v>778.90253690832139</c:v>
                </c:pt>
                <c:pt idx="188">
                  <c:v>778.90253690832139</c:v>
                </c:pt>
                <c:pt idx="189">
                  <c:v>778.90253690832139</c:v>
                </c:pt>
                <c:pt idx="190">
                  <c:v>778.90253690832139</c:v>
                </c:pt>
                <c:pt idx="191">
                  <c:v>778.90253690832139</c:v>
                </c:pt>
                <c:pt idx="192">
                  <c:v>778.90253690832139</c:v>
                </c:pt>
                <c:pt idx="193">
                  <c:v>778.90253690832139</c:v>
                </c:pt>
                <c:pt idx="194">
                  <c:v>778.90253690832139</c:v>
                </c:pt>
                <c:pt idx="195">
                  <c:v>778.90253690832139</c:v>
                </c:pt>
                <c:pt idx="196">
                  <c:v>778.90253690832139</c:v>
                </c:pt>
                <c:pt idx="197">
                  <c:v>778.90253690832139</c:v>
                </c:pt>
                <c:pt idx="198">
                  <c:v>778.90253690832139</c:v>
                </c:pt>
                <c:pt idx="199">
                  <c:v>778.90253690832139</c:v>
                </c:pt>
                <c:pt idx="200">
                  <c:v>778.90253690832139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3.7111815335241118</c:v>
                </c:pt>
                <c:pt idx="2">
                  <c:v>6.1705433940801901</c:v>
                </c:pt>
                <c:pt idx="3">
                  <c:v>10.267690012136926</c:v>
                </c:pt>
                <c:pt idx="4">
                  <c:v>17.098242764063244</c:v>
                </c:pt>
                <c:pt idx="5">
                  <c:v>28.493815538636991</c:v>
                </c:pt>
                <c:pt idx="6">
                  <c:v>47.518303779264976</c:v>
                </c:pt>
                <c:pt idx="7">
                  <c:v>79.299977991968944</c:v>
                </c:pt>
                <c:pt idx="8">
                  <c:v>132.42729872772648</c:v>
                </c:pt>
                <c:pt idx="9">
                  <c:v>221.2914878324151</c:v>
                </c:pt>
                <c:pt idx="10">
                  <c:v>370.01983804377869</c:v>
                </c:pt>
                <c:pt idx="11">
                  <c:v>94.935728260962222</c:v>
                </c:pt>
                <c:pt idx="12">
                  <c:v>149.70459991814309</c:v>
                </c:pt>
                <c:pt idx="13">
                  <c:v>203.98635373747695</c:v>
                </c:pt>
                <c:pt idx="14">
                  <c:v>257.93105333598845</c:v>
                </c:pt>
                <c:pt idx="15">
                  <c:v>311.61957183728441</c:v>
                </c:pt>
                <c:pt idx="16">
                  <c:v>365.10235455041339</c:v>
                </c:pt>
                <c:pt idx="17">
                  <c:v>418.41378265599025</c:v>
                </c:pt>
                <c:pt idx="18">
                  <c:v>471.57873817306591</c:v>
                </c:pt>
                <c:pt idx="19">
                  <c:v>524.616029434447</c:v>
                </c:pt>
                <c:pt idx="20">
                  <c:v>577.54035171190253</c:v>
                </c:pt>
                <c:pt idx="21">
                  <c:v>124.78307959572787</c:v>
                </c:pt>
                <c:pt idx="22">
                  <c:v>187.54923768887622</c:v>
                </c:pt>
                <c:pt idx="23">
                  <c:v>249.8177558161191</c:v>
                </c:pt>
                <c:pt idx="24">
                  <c:v>311.73173931507262</c:v>
                </c:pt>
                <c:pt idx="25">
                  <c:v>373.37184903581323</c:v>
                </c:pt>
                <c:pt idx="26">
                  <c:v>434.78971577892588</c:v>
                </c:pt>
                <c:pt idx="27">
                  <c:v>496.02113219847939</c:v>
                </c:pt>
                <c:pt idx="28">
                  <c:v>557.09231686999863</c:v>
                </c:pt>
                <c:pt idx="29">
                  <c:v>618.02326874347898</c:v>
                </c:pt>
                <c:pt idx="30">
                  <c:v>678.8297238507937</c:v>
                </c:pt>
                <c:pt idx="31">
                  <c:v>71.865346876323642</c:v>
                </c:pt>
                <c:pt idx="32">
                  <c:v>71.865346876323642</c:v>
                </c:pt>
                <c:pt idx="33">
                  <c:v>71.865346876323642</c:v>
                </c:pt>
                <c:pt idx="34">
                  <c:v>71.865346876323642</c:v>
                </c:pt>
                <c:pt idx="35">
                  <c:v>71.865346876323642</c:v>
                </c:pt>
                <c:pt idx="36">
                  <c:v>71.865346876323642</c:v>
                </c:pt>
                <c:pt idx="37">
                  <c:v>71.865346876323642</c:v>
                </c:pt>
                <c:pt idx="38">
                  <c:v>71.865346876323642</c:v>
                </c:pt>
                <c:pt idx="39">
                  <c:v>71.865346876323642</c:v>
                </c:pt>
                <c:pt idx="40">
                  <c:v>71.865346876323642</c:v>
                </c:pt>
                <c:pt idx="41">
                  <c:v>71.865346876323642</c:v>
                </c:pt>
                <c:pt idx="42">
                  <c:v>71.865346876323642</c:v>
                </c:pt>
                <c:pt idx="43">
                  <c:v>71.865346876323642</c:v>
                </c:pt>
                <c:pt idx="44">
                  <c:v>71.865346876323642</c:v>
                </c:pt>
                <c:pt idx="45">
                  <c:v>71.865346876323642</c:v>
                </c:pt>
                <c:pt idx="46">
                  <c:v>71.865346876323642</c:v>
                </c:pt>
                <c:pt idx="47">
                  <c:v>71.865346876323642</c:v>
                </c:pt>
                <c:pt idx="48">
                  <c:v>71.865346876323642</c:v>
                </c:pt>
                <c:pt idx="49">
                  <c:v>71.865346876323642</c:v>
                </c:pt>
                <c:pt idx="50">
                  <c:v>71.865346876323642</c:v>
                </c:pt>
                <c:pt idx="51">
                  <c:v>71.865346876323642</c:v>
                </c:pt>
                <c:pt idx="52">
                  <c:v>71.865346876323642</c:v>
                </c:pt>
                <c:pt idx="53">
                  <c:v>71.865346876323642</c:v>
                </c:pt>
                <c:pt idx="54">
                  <c:v>71.865346876323642</c:v>
                </c:pt>
                <c:pt idx="55">
                  <c:v>71.865346876323642</c:v>
                </c:pt>
                <c:pt idx="56">
                  <c:v>71.865346876323642</c:v>
                </c:pt>
                <c:pt idx="57">
                  <c:v>71.865346876323642</c:v>
                </c:pt>
                <c:pt idx="58">
                  <c:v>71.865346876323642</c:v>
                </c:pt>
                <c:pt idx="59">
                  <c:v>71.865346876323642</c:v>
                </c:pt>
                <c:pt idx="60">
                  <c:v>71.865346876323642</c:v>
                </c:pt>
                <c:pt idx="61">
                  <c:v>71.865346876323642</c:v>
                </c:pt>
                <c:pt idx="62">
                  <c:v>71.865346876323642</c:v>
                </c:pt>
                <c:pt idx="63">
                  <c:v>71.865346876323642</c:v>
                </c:pt>
                <c:pt idx="64">
                  <c:v>71.865346876323642</c:v>
                </c:pt>
                <c:pt idx="65">
                  <c:v>71.865346876323642</c:v>
                </c:pt>
                <c:pt idx="66">
                  <c:v>71.865346876323642</c:v>
                </c:pt>
                <c:pt idx="67">
                  <c:v>71.865346876323642</c:v>
                </c:pt>
                <c:pt idx="68">
                  <c:v>71.865346876323642</c:v>
                </c:pt>
                <c:pt idx="69">
                  <c:v>71.865346876323642</c:v>
                </c:pt>
                <c:pt idx="70">
                  <c:v>71.865346876323642</c:v>
                </c:pt>
                <c:pt idx="71">
                  <c:v>71.865346876323642</c:v>
                </c:pt>
                <c:pt idx="72">
                  <c:v>71.865346876323642</c:v>
                </c:pt>
                <c:pt idx="73">
                  <c:v>71.865346876323642</c:v>
                </c:pt>
                <c:pt idx="74">
                  <c:v>71.865346876323642</c:v>
                </c:pt>
                <c:pt idx="75">
                  <c:v>71.865346876323642</c:v>
                </c:pt>
                <c:pt idx="76">
                  <c:v>71.865346876323642</c:v>
                </c:pt>
                <c:pt idx="77">
                  <c:v>71.865346876323642</c:v>
                </c:pt>
                <c:pt idx="78">
                  <c:v>71.865346876323642</c:v>
                </c:pt>
                <c:pt idx="79">
                  <c:v>71.865346876323642</c:v>
                </c:pt>
                <c:pt idx="80">
                  <c:v>71.865346876323642</c:v>
                </c:pt>
                <c:pt idx="81">
                  <c:v>71.865346876323642</c:v>
                </c:pt>
                <c:pt idx="82">
                  <c:v>71.865346876323642</c:v>
                </c:pt>
                <c:pt idx="83">
                  <c:v>71.865346876323642</c:v>
                </c:pt>
                <c:pt idx="84">
                  <c:v>71.865346876323642</c:v>
                </c:pt>
                <c:pt idx="85">
                  <c:v>71.865346876323642</c:v>
                </c:pt>
                <c:pt idx="86">
                  <c:v>71.865346876323642</c:v>
                </c:pt>
                <c:pt idx="87">
                  <c:v>71.865346876323642</c:v>
                </c:pt>
                <c:pt idx="88">
                  <c:v>71.865346876323642</c:v>
                </c:pt>
                <c:pt idx="89">
                  <c:v>71.865346876323642</c:v>
                </c:pt>
                <c:pt idx="90">
                  <c:v>71.865346876323642</c:v>
                </c:pt>
                <c:pt idx="91">
                  <c:v>71.865346876323642</c:v>
                </c:pt>
                <c:pt idx="92">
                  <c:v>71.865346876323642</c:v>
                </c:pt>
                <c:pt idx="93">
                  <c:v>71.865346876323642</c:v>
                </c:pt>
                <c:pt idx="94">
                  <c:v>71.865346876323642</c:v>
                </c:pt>
                <c:pt idx="95">
                  <c:v>71.865346876323642</c:v>
                </c:pt>
                <c:pt idx="96">
                  <c:v>71.865346876323642</c:v>
                </c:pt>
                <c:pt idx="97">
                  <c:v>71.865346876323642</c:v>
                </c:pt>
                <c:pt idx="98">
                  <c:v>71.865346876323642</c:v>
                </c:pt>
                <c:pt idx="99">
                  <c:v>71.865346876323642</c:v>
                </c:pt>
                <c:pt idx="100">
                  <c:v>71.865346876323642</c:v>
                </c:pt>
                <c:pt idx="101">
                  <c:v>71.865346876323642</c:v>
                </c:pt>
                <c:pt idx="102">
                  <c:v>71.865346876323642</c:v>
                </c:pt>
                <c:pt idx="103">
                  <c:v>71.865346876323642</c:v>
                </c:pt>
                <c:pt idx="104">
                  <c:v>71.865346876323642</c:v>
                </c:pt>
                <c:pt idx="105">
                  <c:v>71.865346876323642</c:v>
                </c:pt>
                <c:pt idx="106">
                  <c:v>71.865346876323642</c:v>
                </c:pt>
                <c:pt idx="107">
                  <c:v>71.865346876323642</c:v>
                </c:pt>
                <c:pt idx="108">
                  <c:v>71.865346876323642</c:v>
                </c:pt>
                <c:pt idx="109">
                  <c:v>71.865346876323642</c:v>
                </c:pt>
                <c:pt idx="110">
                  <c:v>71.865346876323642</c:v>
                </c:pt>
                <c:pt idx="111">
                  <c:v>71.865346876323642</c:v>
                </c:pt>
                <c:pt idx="112">
                  <c:v>71.865346876323642</c:v>
                </c:pt>
                <c:pt idx="113">
                  <c:v>71.865346876323642</c:v>
                </c:pt>
                <c:pt idx="114">
                  <c:v>71.865346876323642</c:v>
                </c:pt>
                <c:pt idx="115">
                  <c:v>71.865346876323642</c:v>
                </c:pt>
                <c:pt idx="116">
                  <c:v>71.865346876323642</c:v>
                </c:pt>
                <c:pt idx="117">
                  <c:v>71.865346876323642</c:v>
                </c:pt>
                <c:pt idx="118">
                  <c:v>71.865346876323642</c:v>
                </c:pt>
                <c:pt idx="119">
                  <c:v>71.865346876323642</c:v>
                </c:pt>
                <c:pt idx="120">
                  <c:v>71.865346876323642</c:v>
                </c:pt>
                <c:pt idx="121">
                  <c:v>71.865346876323642</c:v>
                </c:pt>
                <c:pt idx="122">
                  <c:v>71.865346876323642</c:v>
                </c:pt>
                <c:pt idx="123">
                  <c:v>71.865346876323642</c:v>
                </c:pt>
                <c:pt idx="124">
                  <c:v>71.865346876323642</c:v>
                </c:pt>
                <c:pt idx="125">
                  <c:v>71.865346876323642</c:v>
                </c:pt>
                <c:pt idx="126">
                  <c:v>71.865346876323642</c:v>
                </c:pt>
                <c:pt idx="127">
                  <c:v>71.865346876323642</c:v>
                </c:pt>
                <c:pt idx="128">
                  <c:v>71.865346876323642</c:v>
                </c:pt>
                <c:pt idx="129">
                  <c:v>71.865346876323642</c:v>
                </c:pt>
                <c:pt idx="130">
                  <c:v>71.865346876323642</c:v>
                </c:pt>
                <c:pt idx="131">
                  <c:v>71.865346876323642</c:v>
                </c:pt>
                <c:pt idx="132">
                  <c:v>71.865346876323642</c:v>
                </c:pt>
                <c:pt idx="133">
                  <c:v>71.865346876323642</c:v>
                </c:pt>
                <c:pt idx="134">
                  <c:v>71.865346876323642</c:v>
                </c:pt>
                <c:pt idx="135">
                  <c:v>71.865346876323642</c:v>
                </c:pt>
                <c:pt idx="136">
                  <c:v>71.865346876323642</c:v>
                </c:pt>
                <c:pt idx="137">
                  <c:v>71.865346876323642</c:v>
                </c:pt>
                <c:pt idx="138">
                  <c:v>71.865346876323642</c:v>
                </c:pt>
                <c:pt idx="139">
                  <c:v>71.865346876323642</c:v>
                </c:pt>
                <c:pt idx="140">
                  <c:v>71.865346876323642</c:v>
                </c:pt>
                <c:pt idx="141">
                  <c:v>71.865346876323642</c:v>
                </c:pt>
                <c:pt idx="142">
                  <c:v>71.865346876323642</c:v>
                </c:pt>
                <c:pt idx="143">
                  <c:v>71.865346876323642</c:v>
                </c:pt>
                <c:pt idx="144">
                  <c:v>71.865346876323642</c:v>
                </c:pt>
                <c:pt idx="145">
                  <c:v>71.865346876323642</c:v>
                </c:pt>
                <c:pt idx="146">
                  <c:v>71.865346876323642</c:v>
                </c:pt>
                <c:pt idx="147">
                  <c:v>71.865346876323642</c:v>
                </c:pt>
                <c:pt idx="148">
                  <c:v>71.865346876323642</c:v>
                </c:pt>
                <c:pt idx="149">
                  <c:v>71.865346876323642</c:v>
                </c:pt>
                <c:pt idx="150">
                  <c:v>71.865346876323642</c:v>
                </c:pt>
                <c:pt idx="151">
                  <c:v>71.865346876323642</c:v>
                </c:pt>
                <c:pt idx="152">
                  <c:v>71.865346876323642</c:v>
                </c:pt>
                <c:pt idx="153">
                  <c:v>71.865346876323642</c:v>
                </c:pt>
                <c:pt idx="154">
                  <c:v>71.865346876323642</c:v>
                </c:pt>
                <c:pt idx="155">
                  <c:v>71.865346876323642</c:v>
                </c:pt>
                <c:pt idx="156">
                  <c:v>71.865346876323642</c:v>
                </c:pt>
                <c:pt idx="157">
                  <c:v>71.865346876323642</c:v>
                </c:pt>
                <c:pt idx="158">
                  <c:v>71.865346876323642</c:v>
                </c:pt>
                <c:pt idx="159">
                  <c:v>71.865346876323642</c:v>
                </c:pt>
                <c:pt idx="160">
                  <c:v>71.865346876323642</c:v>
                </c:pt>
                <c:pt idx="161">
                  <c:v>71.865346876323642</c:v>
                </c:pt>
                <c:pt idx="162">
                  <c:v>71.865346876323642</c:v>
                </c:pt>
                <c:pt idx="163">
                  <c:v>71.865346876323642</c:v>
                </c:pt>
                <c:pt idx="164">
                  <c:v>71.865346876323642</c:v>
                </c:pt>
                <c:pt idx="165">
                  <c:v>71.865346876323642</c:v>
                </c:pt>
                <c:pt idx="166">
                  <c:v>71.865346876323642</c:v>
                </c:pt>
                <c:pt idx="167">
                  <c:v>71.865346876323642</c:v>
                </c:pt>
                <c:pt idx="168">
                  <c:v>71.865346876323642</c:v>
                </c:pt>
                <c:pt idx="169">
                  <c:v>71.865346876323642</c:v>
                </c:pt>
                <c:pt idx="170">
                  <c:v>71.865346876323642</c:v>
                </c:pt>
                <c:pt idx="171">
                  <c:v>71.865346876323642</c:v>
                </c:pt>
                <c:pt idx="172">
                  <c:v>71.865346876323642</c:v>
                </c:pt>
                <c:pt idx="173">
                  <c:v>71.865346876323642</c:v>
                </c:pt>
                <c:pt idx="174">
                  <c:v>71.865346876323642</c:v>
                </c:pt>
                <c:pt idx="175">
                  <c:v>71.865346876323642</c:v>
                </c:pt>
                <c:pt idx="176">
                  <c:v>71.865346876323642</c:v>
                </c:pt>
                <c:pt idx="177">
                  <c:v>71.865346876323642</c:v>
                </c:pt>
                <c:pt idx="178">
                  <c:v>71.865346876323642</c:v>
                </c:pt>
                <c:pt idx="179">
                  <c:v>71.865346876323642</c:v>
                </c:pt>
                <c:pt idx="180">
                  <c:v>71.865346876323642</c:v>
                </c:pt>
                <c:pt idx="181">
                  <c:v>71.865346876323642</c:v>
                </c:pt>
                <c:pt idx="182">
                  <c:v>71.865346876323642</c:v>
                </c:pt>
                <c:pt idx="183">
                  <c:v>71.865346876323642</c:v>
                </c:pt>
                <c:pt idx="184">
                  <c:v>71.865346876323642</c:v>
                </c:pt>
                <c:pt idx="185">
                  <c:v>71.865346876323642</c:v>
                </c:pt>
                <c:pt idx="186">
                  <c:v>71.865346876323642</c:v>
                </c:pt>
                <c:pt idx="187">
                  <c:v>71.865346876323642</c:v>
                </c:pt>
                <c:pt idx="188">
                  <c:v>71.865346876323642</c:v>
                </c:pt>
                <c:pt idx="189">
                  <c:v>71.865346876323642</c:v>
                </c:pt>
                <c:pt idx="190">
                  <c:v>71.865346876323642</c:v>
                </c:pt>
                <c:pt idx="191">
                  <c:v>71.865346876323642</c:v>
                </c:pt>
                <c:pt idx="192">
                  <c:v>71.865346876323642</c:v>
                </c:pt>
                <c:pt idx="193">
                  <c:v>71.865346876323642</c:v>
                </c:pt>
                <c:pt idx="194">
                  <c:v>71.865346876323642</c:v>
                </c:pt>
                <c:pt idx="195">
                  <c:v>71.865346876323642</c:v>
                </c:pt>
                <c:pt idx="196">
                  <c:v>71.865346876323642</c:v>
                </c:pt>
                <c:pt idx="197">
                  <c:v>71.865346876323642</c:v>
                </c:pt>
                <c:pt idx="198">
                  <c:v>71.865346876323642</c:v>
                </c:pt>
                <c:pt idx="199">
                  <c:v>71.865346876323642</c:v>
                </c:pt>
                <c:pt idx="200">
                  <c:v>71.865346876323642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2.550347654417052</c:v>
                </c:pt>
                <c:pt idx="2">
                  <c:v>3.1274816410011042</c:v>
                </c:pt>
                <c:pt idx="3">
                  <c:v>3.8357171362639897</c:v>
                </c:pt>
                <c:pt idx="4">
                  <c:v>4.7049418975266653</c:v>
                </c:pt>
                <c:pt idx="5">
                  <c:v>5.7718801207549459</c:v>
                </c:pt>
                <c:pt idx="6">
                  <c:v>7.0816610387696945</c:v>
                </c:pt>
                <c:pt idx="7">
                  <c:v>8.6897484577553605</c:v>
                </c:pt>
                <c:pt idx="8">
                  <c:v>10.664314502292086</c:v>
                </c:pt>
                <c:pt idx="9">
                  <c:v>13.089160095815238</c:v>
                </c:pt>
                <c:pt idx="10">
                  <c:v>16.067308422928729</c:v>
                </c:pt>
                <c:pt idx="11">
                  <c:v>19.72542683867454</c:v>
                </c:pt>
                <c:pt idx="12">
                  <c:v>24.21926868506382</c:v>
                </c:pt>
                <c:pt idx="13">
                  <c:v>29.740370821503301</c:v>
                </c:pt>
                <c:pt idx="14">
                  <c:v>36.524297314298188</c:v>
                </c:pt>
                <c:pt idx="15">
                  <c:v>44.860787054195605</c:v>
                </c:pt>
                <c:pt idx="16">
                  <c:v>55.106246030269809</c:v>
                </c:pt>
                <c:pt idx="17">
                  <c:v>67.699127220927977</c:v>
                </c:pt>
                <c:pt idx="18">
                  <c:v>83.178867053628267</c:v>
                </c:pt>
                <c:pt idx="19">
                  <c:v>102.20920266461572</c:v>
                </c:pt>
                <c:pt idx="20">
                  <c:v>125.60688557852342</c:v>
                </c:pt>
                <c:pt idx="21">
                  <c:v>109.44655109468808</c:v>
                </c:pt>
                <c:pt idx="22">
                  <c:v>119.9302774112839</c:v>
                </c:pt>
                <c:pt idx="23">
                  <c:v>130.39167020649325</c:v>
                </c:pt>
                <c:pt idx="24">
                  <c:v>140.83277618126189</c:v>
                </c:pt>
                <c:pt idx="25">
                  <c:v>151.25531313983112</c:v>
                </c:pt>
                <c:pt idx="26">
                  <c:v>161.66074237922865</c:v>
                </c:pt>
                <c:pt idx="27">
                  <c:v>172.05032140833043</c:v>
                </c:pt>
                <c:pt idx="28">
                  <c:v>182.42514323236151</c:v>
                </c:pt>
                <c:pt idx="29">
                  <c:v>192.78616621215318</c:v>
                </c:pt>
                <c:pt idx="30">
                  <c:v>203.13423715529476</c:v>
                </c:pt>
                <c:pt idx="31">
                  <c:v>176.6240359352083</c:v>
                </c:pt>
                <c:pt idx="32">
                  <c:v>186.99266587562985</c:v>
                </c:pt>
                <c:pt idx="33">
                  <c:v>197.34788271792738</c:v>
                </c:pt>
                <c:pt idx="34">
                  <c:v>207.6904901094139</c:v>
                </c:pt>
                <c:pt idx="35">
                  <c:v>218.02120503058464</c:v>
                </c:pt>
                <c:pt idx="36">
                  <c:v>228.34067089512405</c:v>
                </c:pt>
                <c:pt idx="37">
                  <c:v>238.64946815456832</c:v>
                </c:pt>
                <c:pt idx="38">
                  <c:v>248.94812297245949</c:v>
                </c:pt>
                <c:pt idx="39">
                  <c:v>259.23711438642141</c:v>
                </c:pt>
                <c:pt idx="40">
                  <c:v>269.5168802725459</c:v>
                </c:pt>
                <c:pt idx="41">
                  <c:v>236.20424948855586</c:v>
                </c:pt>
                <c:pt idx="42">
                  <c:v>246.50526598598478</c:v>
                </c:pt>
                <c:pt idx="43">
                  <c:v>256.7965093395855</c:v>
                </c:pt>
                <c:pt idx="44">
                  <c:v>267.07842670720635</c:v>
                </c:pt>
                <c:pt idx="45">
                  <c:v>277.35142797945315</c:v>
                </c:pt>
                <c:pt idx="46">
                  <c:v>287.61589018090552</c:v>
                </c:pt>
                <c:pt idx="47">
                  <c:v>297.87216120969856</c:v>
                </c:pt>
                <c:pt idx="48">
                  <c:v>308.12056303476061</c:v>
                </c:pt>
                <c:pt idx="49">
                  <c:v>318.36139444516124</c:v>
                </c:pt>
                <c:pt idx="50">
                  <c:v>328.59493342700119</c:v>
                </c:pt>
                <c:pt idx="51">
                  <c:v>289.35480857103556</c:v>
                </c:pt>
                <c:pt idx="52">
                  <c:v>298.74097068368673</c:v>
                </c:pt>
                <c:pt idx="53">
                  <c:v>308.12056303476066</c:v>
                </c:pt>
                <c:pt idx="54">
                  <c:v>317.49381395809928</c:v>
                </c:pt>
                <c:pt idx="55">
                  <c:v>326.86093719547301</c:v>
                </c:pt>
                <c:pt idx="56">
                  <c:v>336.22213322966542</c:v>
                </c:pt>
                <c:pt idx="57">
                  <c:v>345.57759046125403</c:v>
                </c:pt>
                <c:pt idx="58">
                  <c:v>354.92748625123824</c:v>
                </c:pt>
                <c:pt idx="59">
                  <c:v>364.27198784801129</c:v>
                </c:pt>
                <c:pt idx="60">
                  <c:v>373.61125321420718</c:v>
                </c:pt>
                <c:pt idx="61">
                  <c:v>333.62238448733592</c:v>
                </c:pt>
                <c:pt idx="62">
                  <c:v>342.11326397272973</c:v>
                </c:pt>
                <c:pt idx="63">
                  <c:v>350.59951128098334</c:v>
                </c:pt>
                <c:pt idx="64">
                  <c:v>359.08125442626397</c:v>
                </c:pt>
                <c:pt idx="65">
                  <c:v>367.55861487745034</c:v>
                </c:pt>
                <c:pt idx="66">
                  <c:v>376.03170803933216</c:v>
                </c:pt>
                <c:pt idx="67">
                  <c:v>384.50064368815492</c:v>
                </c:pt>
                <c:pt idx="68">
                  <c:v>392.96552636677114</c:v>
                </c:pt>
                <c:pt idx="69">
                  <c:v>401.42645574395334</c:v>
                </c:pt>
                <c:pt idx="70">
                  <c:v>409.883526941821</c:v>
                </c:pt>
                <c:pt idx="71">
                  <c:v>369.11521388803493</c:v>
                </c:pt>
                <c:pt idx="72">
                  <c:v>376.72320412097628</c:v>
                </c:pt>
                <c:pt idx="73">
                  <c:v>384.32784912657775</c:v>
                </c:pt>
                <c:pt idx="74">
                  <c:v>391.92922448126501</c:v>
                </c:pt>
                <c:pt idx="75">
                  <c:v>399.52740258860416</c:v>
                </c:pt>
                <c:pt idx="76">
                  <c:v>407.12245287164006</c:v>
                </c:pt>
                <c:pt idx="77">
                  <c:v>414.71444195012731</c:v>
                </c:pt>
                <c:pt idx="78">
                  <c:v>422.3034338040996</c:v>
                </c:pt>
                <c:pt idx="79">
                  <c:v>429.88948992506477</c:v>
                </c:pt>
                <c:pt idx="80">
                  <c:v>437.47266945596601</c:v>
                </c:pt>
                <c:pt idx="81">
                  <c:v>397.45548526168386</c:v>
                </c:pt>
                <c:pt idx="82">
                  <c:v>404.01576056848785</c:v>
                </c:pt>
                <c:pt idx="83">
                  <c:v>410.57373258134049</c:v>
                </c:pt>
                <c:pt idx="84">
                  <c:v>417.1294433092512</c:v>
                </c:pt>
                <c:pt idx="85">
                  <c:v>423.68293333202763</c:v>
                </c:pt>
                <c:pt idx="86">
                  <c:v>430.23424187074494</c:v>
                </c:pt>
                <c:pt idx="87">
                  <c:v>436.78340685369454</c:v>
                </c:pt>
                <c:pt idx="88">
                  <c:v>443.33046497817094</c:v>
                </c:pt>
                <c:pt idx="89">
                  <c:v>449.87545176841576</c:v>
                </c:pt>
                <c:pt idx="90">
                  <c:v>456.41840163001376</c:v>
                </c:pt>
                <c:pt idx="91">
                  <c:v>413.33430507425419</c:v>
                </c:pt>
                <c:pt idx="92">
                  <c:v>413.33430507425419</c:v>
                </c:pt>
                <c:pt idx="93">
                  <c:v>413.33430507425419</c:v>
                </c:pt>
                <c:pt idx="94">
                  <c:v>413.33430507425419</c:v>
                </c:pt>
                <c:pt idx="95">
                  <c:v>413.33430507425419</c:v>
                </c:pt>
                <c:pt idx="96">
                  <c:v>413.33430507425419</c:v>
                </c:pt>
                <c:pt idx="97">
                  <c:v>413.33430507425419</c:v>
                </c:pt>
                <c:pt idx="98">
                  <c:v>413.33430507425419</c:v>
                </c:pt>
                <c:pt idx="99">
                  <c:v>413.33430507425419</c:v>
                </c:pt>
                <c:pt idx="100">
                  <c:v>413.33430507425419</c:v>
                </c:pt>
                <c:pt idx="101">
                  <c:v>413.33430507425419</c:v>
                </c:pt>
                <c:pt idx="102">
                  <c:v>413.33430507425419</c:v>
                </c:pt>
                <c:pt idx="103">
                  <c:v>413.33430507425419</c:v>
                </c:pt>
                <c:pt idx="104">
                  <c:v>413.33430507425419</c:v>
                </c:pt>
                <c:pt idx="105">
                  <c:v>413.33430507425419</c:v>
                </c:pt>
                <c:pt idx="106">
                  <c:v>413.33430507425419</c:v>
                </c:pt>
                <c:pt idx="107">
                  <c:v>413.33430507425419</c:v>
                </c:pt>
                <c:pt idx="108">
                  <c:v>413.33430507425419</c:v>
                </c:pt>
                <c:pt idx="109">
                  <c:v>413.33430507425419</c:v>
                </c:pt>
                <c:pt idx="110">
                  <c:v>413.33430507425419</c:v>
                </c:pt>
                <c:pt idx="111">
                  <c:v>413.33430507425419</c:v>
                </c:pt>
                <c:pt idx="112">
                  <c:v>413.33430507425419</c:v>
                </c:pt>
                <c:pt idx="113">
                  <c:v>413.33430507425419</c:v>
                </c:pt>
                <c:pt idx="114">
                  <c:v>413.33430507425419</c:v>
                </c:pt>
                <c:pt idx="115">
                  <c:v>413.33430507425419</c:v>
                </c:pt>
                <c:pt idx="116">
                  <c:v>413.33430507425419</c:v>
                </c:pt>
                <c:pt idx="117">
                  <c:v>413.33430507425419</c:v>
                </c:pt>
                <c:pt idx="118">
                  <c:v>413.33430507425419</c:v>
                </c:pt>
                <c:pt idx="119">
                  <c:v>413.33430507425419</c:v>
                </c:pt>
                <c:pt idx="120">
                  <c:v>413.33430507425419</c:v>
                </c:pt>
                <c:pt idx="121">
                  <c:v>413.33430507425419</c:v>
                </c:pt>
                <c:pt idx="122">
                  <c:v>413.33430507425419</c:v>
                </c:pt>
                <c:pt idx="123">
                  <c:v>413.33430507425419</c:v>
                </c:pt>
                <c:pt idx="124">
                  <c:v>413.33430507425419</c:v>
                </c:pt>
                <c:pt idx="125">
                  <c:v>413.33430507425419</c:v>
                </c:pt>
                <c:pt idx="126">
                  <c:v>413.33430507425419</c:v>
                </c:pt>
                <c:pt idx="127">
                  <c:v>413.33430507425419</c:v>
                </c:pt>
                <c:pt idx="128">
                  <c:v>413.33430507425419</c:v>
                </c:pt>
                <c:pt idx="129">
                  <c:v>413.33430507425419</c:v>
                </c:pt>
                <c:pt idx="130">
                  <c:v>413.33430507425419</c:v>
                </c:pt>
                <c:pt idx="131">
                  <c:v>413.33430507425419</c:v>
                </c:pt>
                <c:pt idx="132">
                  <c:v>413.33430507425419</c:v>
                </c:pt>
                <c:pt idx="133">
                  <c:v>413.33430507425419</c:v>
                </c:pt>
                <c:pt idx="134">
                  <c:v>413.33430507425419</c:v>
                </c:pt>
                <c:pt idx="135">
                  <c:v>413.33430507425419</c:v>
                </c:pt>
                <c:pt idx="136">
                  <c:v>413.33430507425419</c:v>
                </c:pt>
                <c:pt idx="137">
                  <c:v>413.33430507425419</c:v>
                </c:pt>
                <c:pt idx="138">
                  <c:v>413.33430507425419</c:v>
                </c:pt>
                <c:pt idx="139">
                  <c:v>413.33430507425419</c:v>
                </c:pt>
                <c:pt idx="140">
                  <c:v>413.33430507425419</c:v>
                </c:pt>
                <c:pt idx="141">
                  <c:v>413.33430507425419</c:v>
                </c:pt>
                <c:pt idx="142">
                  <c:v>413.33430507425419</c:v>
                </c:pt>
                <c:pt idx="143">
                  <c:v>413.33430507425419</c:v>
                </c:pt>
                <c:pt idx="144">
                  <c:v>413.33430507425419</c:v>
                </c:pt>
                <c:pt idx="145">
                  <c:v>413.33430507425419</c:v>
                </c:pt>
                <c:pt idx="146">
                  <c:v>413.33430507425419</c:v>
                </c:pt>
                <c:pt idx="147">
                  <c:v>413.33430507425419</c:v>
                </c:pt>
                <c:pt idx="148">
                  <c:v>413.33430507425419</c:v>
                </c:pt>
                <c:pt idx="149">
                  <c:v>413.33430507425419</c:v>
                </c:pt>
                <c:pt idx="150">
                  <c:v>413.33430507425419</c:v>
                </c:pt>
                <c:pt idx="151">
                  <c:v>413.33430507425419</c:v>
                </c:pt>
                <c:pt idx="152">
                  <c:v>413.33430507425419</c:v>
                </c:pt>
                <c:pt idx="153">
                  <c:v>413.33430507425419</c:v>
                </c:pt>
                <c:pt idx="154">
                  <c:v>413.33430507425419</c:v>
                </c:pt>
                <c:pt idx="155">
                  <c:v>413.33430507425419</c:v>
                </c:pt>
                <c:pt idx="156">
                  <c:v>413.33430507425419</c:v>
                </c:pt>
                <c:pt idx="157">
                  <c:v>413.33430507425419</c:v>
                </c:pt>
                <c:pt idx="158">
                  <c:v>413.33430507425419</c:v>
                </c:pt>
                <c:pt idx="159">
                  <c:v>413.33430507425419</c:v>
                </c:pt>
                <c:pt idx="160">
                  <c:v>413.33430507425419</c:v>
                </c:pt>
                <c:pt idx="161">
                  <c:v>413.33430507425419</c:v>
                </c:pt>
                <c:pt idx="162">
                  <c:v>413.33430507425419</c:v>
                </c:pt>
                <c:pt idx="163">
                  <c:v>413.33430507425419</c:v>
                </c:pt>
                <c:pt idx="164">
                  <c:v>413.33430507425419</c:v>
                </c:pt>
                <c:pt idx="165">
                  <c:v>413.33430507425419</c:v>
                </c:pt>
                <c:pt idx="166">
                  <c:v>413.33430507425419</c:v>
                </c:pt>
                <c:pt idx="167">
                  <c:v>413.33430507425419</c:v>
                </c:pt>
                <c:pt idx="168">
                  <c:v>413.33430507425419</c:v>
                </c:pt>
                <c:pt idx="169">
                  <c:v>413.33430507425419</c:v>
                </c:pt>
                <c:pt idx="170">
                  <c:v>413.33430507425419</c:v>
                </c:pt>
                <c:pt idx="171">
                  <c:v>413.33430507425419</c:v>
                </c:pt>
                <c:pt idx="172">
                  <c:v>413.33430507425419</c:v>
                </c:pt>
                <c:pt idx="173">
                  <c:v>413.33430507425419</c:v>
                </c:pt>
                <c:pt idx="174">
                  <c:v>413.33430507425419</c:v>
                </c:pt>
                <c:pt idx="175">
                  <c:v>413.33430507425419</c:v>
                </c:pt>
                <c:pt idx="176">
                  <c:v>413.33430507425419</c:v>
                </c:pt>
                <c:pt idx="177">
                  <c:v>413.33430507425419</c:v>
                </c:pt>
                <c:pt idx="178">
                  <c:v>413.33430507425419</c:v>
                </c:pt>
                <c:pt idx="179">
                  <c:v>413.33430507425419</c:v>
                </c:pt>
                <c:pt idx="180">
                  <c:v>413.33430507425419</c:v>
                </c:pt>
                <c:pt idx="181">
                  <c:v>413.33430507425419</c:v>
                </c:pt>
                <c:pt idx="182">
                  <c:v>413.33430507425419</c:v>
                </c:pt>
                <c:pt idx="183">
                  <c:v>413.33430507425419</c:v>
                </c:pt>
                <c:pt idx="184">
                  <c:v>413.33430507425419</c:v>
                </c:pt>
                <c:pt idx="185">
                  <c:v>413.33430507425419</c:v>
                </c:pt>
                <c:pt idx="186">
                  <c:v>413.33430507425419</c:v>
                </c:pt>
                <c:pt idx="187">
                  <c:v>413.33430507425419</c:v>
                </c:pt>
                <c:pt idx="188">
                  <c:v>413.33430507425419</c:v>
                </c:pt>
                <c:pt idx="189">
                  <c:v>413.33430507425419</c:v>
                </c:pt>
                <c:pt idx="190">
                  <c:v>413.33430507425419</c:v>
                </c:pt>
                <c:pt idx="191">
                  <c:v>413.33430507425419</c:v>
                </c:pt>
                <c:pt idx="192">
                  <c:v>413.33430507425419</c:v>
                </c:pt>
                <c:pt idx="193">
                  <c:v>413.33430507425419</c:v>
                </c:pt>
                <c:pt idx="194">
                  <c:v>413.33430507425419</c:v>
                </c:pt>
                <c:pt idx="195">
                  <c:v>413.33430507425419</c:v>
                </c:pt>
                <c:pt idx="196">
                  <c:v>413.33430507425419</c:v>
                </c:pt>
                <c:pt idx="197">
                  <c:v>413.33430507425419</c:v>
                </c:pt>
                <c:pt idx="198">
                  <c:v>413.33430507425419</c:v>
                </c:pt>
                <c:pt idx="199">
                  <c:v>413.33430507425419</c:v>
                </c:pt>
                <c:pt idx="200">
                  <c:v>413.33430507425419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2.6205483002037528</c:v>
                </c:pt>
                <c:pt idx="2">
                  <c:v>3.1841671230887383</c:v>
                </c:pt>
                <c:pt idx="3">
                  <c:v>3.8694651593962472</c:v>
                </c:pt>
                <c:pt idx="4">
                  <c:v>4.7028049272678913</c:v>
                </c:pt>
                <c:pt idx="5">
                  <c:v>5.7162794727938087</c:v>
                </c:pt>
                <c:pt idx="6">
                  <c:v>6.9489618670536162</c:v>
                </c:pt>
                <c:pt idx="7">
                  <c:v>8.4484279180128308</c:v>
                </c:pt>
                <c:pt idx="8">
                  <c:v>10.272611993475797</c:v>
                </c:pt>
                <c:pt idx="9">
                  <c:v>12.492069013262382</c:v>
                </c:pt>
                <c:pt idx="10">
                  <c:v>15.19273172924531</c:v>
                </c:pt>
                <c:pt idx="11">
                  <c:v>18.479272010398649</c:v>
                </c:pt>
                <c:pt idx="12">
                  <c:v>22.479198767465558</c:v>
                </c:pt>
                <c:pt idx="13">
                  <c:v>27.347854341804759</c:v>
                </c:pt>
                <c:pt idx="14">
                  <c:v>33.274506809854188</c:v>
                </c:pt>
                <c:pt idx="15">
                  <c:v>40.489779140478731</c:v>
                </c:pt>
                <c:pt idx="16">
                  <c:v>49.274709223927694</c:v>
                </c:pt>
                <c:pt idx="17">
                  <c:v>59.971799589279279</c:v>
                </c:pt>
                <c:pt idx="18">
                  <c:v>72.998494732737797</c:v>
                </c:pt>
                <c:pt idx="19">
                  <c:v>88.863620556305435</c:v>
                </c:pt>
                <c:pt idx="20">
                  <c:v>108.18743833040098</c:v>
                </c:pt>
                <c:pt idx="21">
                  <c:v>100.41931142937896</c:v>
                </c:pt>
                <c:pt idx="22">
                  <c:v>112.98932881750693</c:v>
                </c:pt>
                <c:pt idx="23">
                  <c:v>125.52505642976405</c:v>
                </c:pt>
                <c:pt idx="24">
                  <c:v>138.03040576614231</c:v>
                </c:pt>
                <c:pt idx="25">
                  <c:v>150.5085198437738</c:v>
                </c:pt>
                <c:pt idx="26">
                  <c:v>162.96197686279694</c:v>
                </c:pt>
                <c:pt idx="27">
                  <c:v>175.39292810085843</c:v>
                </c:pt>
                <c:pt idx="28">
                  <c:v>187.80319453587131</c:v>
                </c:pt>
                <c:pt idx="29">
                  <c:v>200.19433652004662</c:v>
                </c:pt>
                <c:pt idx="30">
                  <c:v>212.56770525997896</c:v>
                </c:pt>
                <c:pt idx="31">
                  <c:v>167.71753958805084</c:v>
                </c:pt>
                <c:pt idx="32">
                  <c:v>181.23552943821497</c:v>
                </c:pt>
                <c:pt idx="33">
                  <c:v>194.72992283695325</c:v>
                </c:pt>
                <c:pt idx="34">
                  <c:v>208.20258613598969</c:v>
                </c:pt>
                <c:pt idx="35">
                  <c:v>221.6551241766899</c:v>
                </c:pt>
                <c:pt idx="36">
                  <c:v>235.08893092626957</c:v>
                </c:pt>
                <c:pt idx="37">
                  <c:v>248.50522791422847</c:v>
                </c:pt>
                <c:pt idx="38">
                  <c:v>261.90509392198993</c:v>
                </c:pt>
                <c:pt idx="39">
                  <c:v>275.28948827115761</c:v>
                </c:pt>
                <c:pt idx="40">
                  <c:v>288.65926934113526</c:v>
                </c:pt>
                <c:pt idx="41">
                  <c:v>231.64142712488263</c:v>
                </c:pt>
                <c:pt idx="42">
                  <c:v>245.24335558609755</c:v>
                </c:pt>
                <c:pt idx="43">
                  <c:v>258.82814826436999</c:v>
                </c:pt>
                <c:pt idx="44">
                  <c:v>272.39683147829231</c:v>
                </c:pt>
                <c:pt idx="45">
                  <c:v>285.95032090463206</c:v>
                </c:pt>
                <c:pt idx="46">
                  <c:v>299.48943829674124</c:v>
                </c:pt>
                <c:pt idx="47">
                  <c:v>313.01492501937446</c:v>
                </c:pt>
                <c:pt idx="48">
                  <c:v>326.52745312032266</c:v>
                </c:pt>
                <c:pt idx="49">
                  <c:v>340.02763447259474</c:v>
                </c:pt>
                <c:pt idx="50">
                  <c:v>353.51602838820554</c:v>
                </c:pt>
                <c:pt idx="51">
                  <c:v>289.02041938258367</c:v>
                </c:pt>
                <c:pt idx="52">
                  <c:v>302.01520947361524</c:v>
                </c:pt>
                <c:pt idx="53">
                  <c:v>314.99755813323151</c:v>
                </c:pt>
                <c:pt idx="54">
                  <c:v>327.96805047536463</c:v>
                </c:pt>
                <c:pt idx="55">
                  <c:v>340.92722154371285</c:v>
                </c:pt>
                <c:pt idx="56">
                  <c:v>353.87556237718678</c:v>
                </c:pt>
                <c:pt idx="57">
                  <c:v>366.81352514093379</c:v>
                </c:pt>
                <c:pt idx="58">
                  <c:v>379.7415274954426</c:v>
                </c:pt>
                <c:pt idx="59">
                  <c:v>392.65995633948432</c:v>
                </c:pt>
                <c:pt idx="60">
                  <c:v>405.56917103469459</c:v>
                </c:pt>
                <c:pt idx="61">
                  <c:v>338.76812455312427</c:v>
                </c:pt>
                <c:pt idx="62">
                  <c:v>350.99906552503671</c:v>
                </c:pt>
                <c:pt idx="63">
                  <c:v>363.22066295963373</c:v>
                </c:pt>
                <c:pt idx="64">
                  <c:v>375.43327561120145</c:v>
                </c:pt>
                <c:pt idx="65">
                  <c:v>387.63723698464565</c:v>
                </c:pt>
                <c:pt idx="66">
                  <c:v>399.83285786841952</c:v>
                </c:pt>
                <c:pt idx="67">
                  <c:v>412.02042854224123</c:v>
                </c:pt>
                <c:pt idx="68">
                  <c:v>424.20022070993423</c:v>
                </c:pt>
                <c:pt idx="69">
                  <c:v>436.3724891986879</c:v>
                </c:pt>
                <c:pt idx="70">
                  <c:v>448.53747345882584</c:v>
                </c:pt>
                <c:pt idx="71">
                  <c:v>381.17737444442349</c:v>
                </c:pt>
                <c:pt idx="72">
                  <c:v>392.65995633948449</c:v>
                </c:pt>
                <c:pt idx="73">
                  <c:v>404.13525826083259</c:v>
                </c:pt>
                <c:pt idx="74">
                  <c:v>415.60351609428494</c:v>
                </c:pt>
                <c:pt idx="75">
                  <c:v>427.06495164312918</c:v>
                </c:pt>
                <c:pt idx="76">
                  <c:v>438.519773832287</c:v>
                </c:pt>
                <c:pt idx="77">
                  <c:v>449.96817978008818</c:v>
                </c:pt>
                <c:pt idx="78">
                  <c:v>461.41035575528014</c:v>
                </c:pt>
                <c:pt idx="79">
                  <c:v>472.84647803416073</c:v>
                </c:pt>
                <c:pt idx="80">
                  <c:v>484.27671367046969</c:v>
                </c:pt>
                <c:pt idx="81">
                  <c:v>417.57392988530086</c:v>
                </c:pt>
                <c:pt idx="82">
                  <c:v>427.78106967818343</c:v>
                </c:pt>
                <c:pt idx="83">
                  <c:v>437.98297386762988</c:v>
                </c:pt>
                <c:pt idx="84">
                  <c:v>448.1797816290819</c:v>
                </c:pt>
                <c:pt idx="85">
                  <c:v>458.37162528698883</c:v>
                </c:pt>
                <c:pt idx="86">
                  <c:v>468.55863080015007</c:v>
                </c:pt>
                <c:pt idx="87">
                  <c:v>478.74091820265045</c:v>
                </c:pt>
                <c:pt idx="88">
                  <c:v>488.91860200532346</c:v>
                </c:pt>
                <c:pt idx="89">
                  <c:v>499.09179156204715</c:v>
                </c:pt>
                <c:pt idx="90">
                  <c:v>509.26059140461638</c:v>
                </c:pt>
                <c:pt idx="91">
                  <c:v>446.92781206504964</c:v>
                </c:pt>
                <c:pt idx="92">
                  <c:v>456.04760004495301</c:v>
                </c:pt>
                <c:pt idx="93">
                  <c:v>465.16349234054616</c:v>
                </c:pt>
                <c:pt idx="94">
                  <c:v>474.2755760841635</c:v>
                </c:pt>
                <c:pt idx="95">
                  <c:v>483.38393478600682</c:v>
                </c:pt>
                <c:pt idx="96">
                  <c:v>492.48864855160696</c:v>
                </c:pt>
                <c:pt idx="97">
                  <c:v>501.58979428236398</c:v>
                </c:pt>
                <c:pt idx="98">
                  <c:v>510.68744586077713</c:v>
                </c:pt>
                <c:pt idx="99">
                  <c:v>519.78167432178236</c:v>
                </c:pt>
                <c:pt idx="100">
                  <c:v>528.8725480114789</c:v>
                </c:pt>
                <c:pt idx="101">
                  <c:v>471.05997610454233</c:v>
                </c:pt>
                <c:pt idx="102">
                  <c:v>479.27669956446113</c:v>
                </c:pt>
                <c:pt idx="103">
                  <c:v>487.49042873157509</c:v>
                </c:pt>
                <c:pt idx="104">
                  <c:v>495.7012211888138</c:v>
                </c:pt>
                <c:pt idx="105">
                  <c:v>503.90913245527895</c:v>
                </c:pt>
                <c:pt idx="106">
                  <c:v>512.11421609335696</c:v>
                </c:pt>
                <c:pt idx="107">
                  <c:v>520.31652380860521</c:v>
                </c:pt>
                <c:pt idx="108">
                  <c:v>528.51610554301453</c:v>
                </c:pt>
                <c:pt idx="109">
                  <c:v>536.71300956218113</c:v>
                </c:pt>
                <c:pt idx="110">
                  <c:v>544.90728253687428</c:v>
                </c:pt>
                <c:pt idx="111">
                  <c:v>491.59618853190614</c:v>
                </c:pt>
                <c:pt idx="112">
                  <c:v>498.91335268183815</c:v>
                </c:pt>
                <c:pt idx="113">
                  <c:v>506.22824480345525</c:v>
                </c:pt>
                <c:pt idx="114">
                  <c:v>513.54090237038656</c:v>
                </c:pt>
                <c:pt idx="115">
                  <c:v>520.85136170158285</c:v>
                </c:pt>
                <c:pt idx="116">
                  <c:v>528.15965801295749</c:v>
                </c:pt>
                <c:pt idx="117">
                  <c:v>535.46582546601837</c:v>
                </c:pt>
                <c:pt idx="118">
                  <c:v>542.76989721370842</c:v>
                </c:pt>
                <c:pt idx="119">
                  <c:v>550.07190544364903</c:v>
                </c:pt>
                <c:pt idx="120">
                  <c:v>557.37188141896831</c:v>
                </c:pt>
                <c:pt idx="121">
                  <c:v>502.12504627431525</c:v>
                </c:pt>
                <c:pt idx="122">
                  <c:v>502.12504627431525</c:v>
                </c:pt>
                <c:pt idx="123">
                  <c:v>502.12504627431525</c:v>
                </c:pt>
                <c:pt idx="124">
                  <c:v>502.12504627431525</c:v>
                </c:pt>
                <c:pt idx="125">
                  <c:v>502.12504627431525</c:v>
                </c:pt>
                <c:pt idx="126">
                  <c:v>502.12504627431525</c:v>
                </c:pt>
                <c:pt idx="127">
                  <c:v>502.12504627431525</c:v>
                </c:pt>
                <c:pt idx="128">
                  <c:v>502.12504627431525</c:v>
                </c:pt>
                <c:pt idx="129">
                  <c:v>502.12504627431525</c:v>
                </c:pt>
                <c:pt idx="130">
                  <c:v>502.12504627431525</c:v>
                </c:pt>
                <c:pt idx="131">
                  <c:v>502.12504627431525</c:v>
                </c:pt>
                <c:pt idx="132">
                  <c:v>502.12504627431525</c:v>
                </c:pt>
                <c:pt idx="133">
                  <c:v>502.12504627431525</c:v>
                </c:pt>
                <c:pt idx="134">
                  <c:v>502.12504627431525</c:v>
                </c:pt>
                <c:pt idx="135">
                  <c:v>502.12504627431525</c:v>
                </c:pt>
                <c:pt idx="136">
                  <c:v>502.12504627431525</c:v>
                </c:pt>
                <c:pt idx="137">
                  <c:v>502.12504627431525</c:v>
                </c:pt>
                <c:pt idx="138">
                  <c:v>502.12504627431525</c:v>
                </c:pt>
                <c:pt idx="139">
                  <c:v>502.12504627431525</c:v>
                </c:pt>
                <c:pt idx="140">
                  <c:v>502.12504627431525</c:v>
                </c:pt>
                <c:pt idx="141">
                  <c:v>502.12504627431525</c:v>
                </c:pt>
                <c:pt idx="142">
                  <c:v>502.12504627431525</c:v>
                </c:pt>
                <c:pt idx="143">
                  <c:v>502.12504627431525</c:v>
                </c:pt>
                <c:pt idx="144">
                  <c:v>502.12504627431525</c:v>
                </c:pt>
                <c:pt idx="145">
                  <c:v>502.12504627431525</c:v>
                </c:pt>
                <c:pt idx="146">
                  <c:v>502.12504627431525</c:v>
                </c:pt>
                <c:pt idx="147">
                  <c:v>502.12504627431525</c:v>
                </c:pt>
                <c:pt idx="148">
                  <c:v>502.12504627431525</c:v>
                </c:pt>
                <c:pt idx="149">
                  <c:v>502.12504627431525</c:v>
                </c:pt>
                <c:pt idx="150">
                  <c:v>502.12504627431525</c:v>
                </c:pt>
                <c:pt idx="151">
                  <c:v>502.12504627431525</c:v>
                </c:pt>
                <c:pt idx="152">
                  <c:v>502.12504627431525</c:v>
                </c:pt>
                <c:pt idx="153">
                  <c:v>502.12504627431525</c:v>
                </c:pt>
                <c:pt idx="154">
                  <c:v>502.12504627431525</c:v>
                </c:pt>
                <c:pt idx="155">
                  <c:v>502.12504627431525</c:v>
                </c:pt>
                <c:pt idx="156">
                  <c:v>502.12504627431525</c:v>
                </c:pt>
                <c:pt idx="157">
                  <c:v>502.12504627431525</c:v>
                </c:pt>
                <c:pt idx="158">
                  <c:v>502.12504627431525</c:v>
                </c:pt>
                <c:pt idx="159">
                  <c:v>502.12504627431525</c:v>
                </c:pt>
                <c:pt idx="160">
                  <c:v>502.12504627431525</c:v>
                </c:pt>
                <c:pt idx="161">
                  <c:v>502.12504627431525</c:v>
                </c:pt>
                <c:pt idx="162">
                  <c:v>502.12504627431525</c:v>
                </c:pt>
                <c:pt idx="163">
                  <c:v>502.12504627431525</c:v>
                </c:pt>
                <c:pt idx="164">
                  <c:v>502.12504627431525</c:v>
                </c:pt>
                <c:pt idx="165">
                  <c:v>502.12504627431525</c:v>
                </c:pt>
                <c:pt idx="166">
                  <c:v>502.12504627431525</c:v>
                </c:pt>
                <c:pt idx="167">
                  <c:v>502.12504627431525</c:v>
                </c:pt>
                <c:pt idx="168">
                  <c:v>502.12504627431525</c:v>
                </c:pt>
                <c:pt idx="169">
                  <c:v>502.12504627431525</c:v>
                </c:pt>
                <c:pt idx="170">
                  <c:v>502.12504627431525</c:v>
                </c:pt>
                <c:pt idx="171">
                  <c:v>502.12504627431525</c:v>
                </c:pt>
                <c:pt idx="172">
                  <c:v>502.12504627431525</c:v>
                </c:pt>
                <c:pt idx="173">
                  <c:v>502.12504627431525</c:v>
                </c:pt>
                <c:pt idx="174">
                  <c:v>502.12504627431525</c:v>
                </c:pt>
                <c:pt idx="175">
                  <c:v>502.12504627431525</c:v>
                </c:pt>
                <c:pt idx="176">
                  <c:v>502.12504627431525</c:v>
                </c:pt>
                <c:pt idx="177">
                  <c:v>502.12504627431525</c:v>
                </c:pt>
                <c:pt idx="178">
                  <c:v>502.12504627431525</c:v>
                </c:pt>
                <c:pt idx="179">
                  <c:v>502.12504627431525</c:v>
                </c:pt>
                <c:pt idx="180">
                  <c:v>502.12504627431525</c:v>
                </c:pt>
                <c:pt idx="181">
                  <c:v>502.12504627431525</c:v>
                </c:pt>
                <c:pt idx="182">
                  <c:v>502.12504627431525</c:v>
                </c:pt>
                <c:pt idx="183">
                  <c:v>502.12504627431525</c:v>
                </c:pt>
                <c:pt idx="184">
                  <c:v>502.12504627431525</c:v>
                </c:pt>
                <c:pt idx="185">
                  <c:v>502.12504627431525</c:v>
                </c:pt>
                <c:pt idx="186">
                  <c:v>502.12504627431525</c:v>
                </c:pt>
                <c:pt idx="187">
                  <c:v>502.12504627431525</c:v>
                </c:pt>
                <c:pt idx="188">
                  <c:v>502.12504627431525</c:v>
                </c:pt>
                <c:pt idx="189">
                  <c:v>502.12504627431525</c:v>
                </c:pt>
                <c:pt idx="190">
                  <c:v>502.12504627431525</c:v>
                </c:pt>
                <c:pt idx="191">
                  <c:v>502.12504627431525</c:v>
                </c:pt>
                <c:pt idx="192">
                  <c:v>502.12504627431525</c:v>
                </c:pt>
                <c:pt idx="193">
                  <c:v>502.12504627431525</c:v>
                </c:pt>
                <c:pt idx="194">
                  <c:v>502.12504627431525</c:v>
                </c:pt>
                <c:pt idx="195">
                  <c:v>502.12504627431525</c:v>
                </c:pt>
                <c:pt idx="196">
                  <c:v>502.12504627431525</c:v>
                </c:pt>
                <c:pt idx="197">
                  <c:v>502.12504627431525</c:v>
                </c:pt>
                <c:pt idx="198">
                  <c:v>502.12504627431525</c:v>
                </c:pt>
                <c:pt idx="199">
                  <c:v>502.12504627431525</c:v>
                </c:pt>
                <c:pt idx="200">
                  <c:v>502.12504627431525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2.9329282576798801</c:v>
                </c:pt>
                <c:pt idx="2">
                  <c:v>3.3863555843375432</c:v>
                </c:pt>
                <c:pt idx="3">
                  <c:v>3.9101333983619173</c:v>
                </c:pt>
                <c:pt idx="4">
                  <c:v>4.5152135688135724</c:v>
                </c:pt>
                <c:pt idx="5">
                  <c:v>5.2142582785212097</c:v>
                </c:pt>
                <c:pt idx="6">
                  <c:v>6.0219078993783954</c:v>
                </c:pt>
                <c:pt idx="7">
                  <c:v>6.9550909366023212</c:v>
                </c:pt>
                <c:pt idx="8">
                  <c:v>8.033382665152196</c:v>
                </c:pt>
                <c:pt idx="9">
                  <c:v>9.2794201266047978</c:v>
                </c:pt>
                <c:pt idx="10">
                  <c:v>10.719382365135425</c:v>
                </c:pt>
                <c:pt idx="11">
                  <c:v>12.383546183032053</c:v>
                </c:pt>
                <c:pt idx="12">
                  <c:v>14.306929319711523</c:v>
                </c:pt>
                <c:pt idx="13">
                  <c:v>16.530034838655073</c:v>
                </c:pt>
                <c:pt idx="14">
                  <c:v>19.099712684762967</c:v>
                </c:pt>
                <c:pt idx="15">
                  <c:v>22.070156897536105</c:v>
                </c:pt>
                <c:pt idx="16">
                  <c:v>25.50405988791421</c:v>
                </c:pt>
                <c:pt idx="17">
                  <c:v>29.473948571908423</c:v>
                </c:pt>
                <c:pt idx="18">
                  <c:v>34.063731075803851</c:v>
                </c:pt>
                <c:pt idx="19">
                  <c:v>39.370487270787081</c:v>
                </c:pt>
                <c:pt idx="20">
                  <c:v>45.506541658014477</c:v>
                </c:pt>
                <c:pt idx="21">
                  <c:v>52.601863222699713</c:v>
                </c:pt>
                <c:pt idx="22">
                  <c:v>60.806843940259398</c:v>
                </c:pt>
                <c:pt idx="23">
                  <c:v>70.295515802479329</c:v>
                </c:pt>
                <c:pt idx="24">
                  <c:v>81.269275715042156</c:v>
                </c:pt>
                <c:pt idx="25">
                  <c:v>93.961198605894239</c:v>
                </c:pt>
                <c:pt idx="26">
                  <c:v>108.64103181595415</c:v>
                </c:pt>
                <c:pt idx="27">
                  <c:v>125.6209785967622</c:v>
                </c:pt>
                <c:pt idx="28">
                  <c:v>145.26239563513315</c:v>
                </c:pt>
                <c:pt idx="29">
                  <c:v>167.98354933515483</c:v>
                </c:pt>
                <c:pt idx="30">
                  <c:v>194.26859854470615</c:v>
                </c:pt>
                <c:pt idx="31">
                  <c:v>205.78658304849975</c:v>
                </c:pt>
                <c:pt idx="32">
                  <c:v>217.28966869856501</c:v>
                </c:pt>
                <c:pt idx="33">
                  <c:v>228.7787558911123</c:v>
                </c:pt>
                <c:pt idx="34">
                  <c:v>240.25464712367202</c:v>
                </c:pt>
                <c:pt idx="35">
                  <c:v>251.71806190863617</c:v>
                </c:pt>
                <c:pt idx="36">
                  <c:v>263.16964882479607</c:v>
                </c:pt>
                <c:pt idx="37">
                  <c:v>274.60999535933428</c:v>
                </c:pt>
                <c:pt idx="38">
                  <c:v>286.03963602245011</c:v>
                </c:pt>
                <c:pt idx="39">
                  <c:v>297.45905909612384</c:v>
                </c:pt>
                <c:pt idx="40">
                  <c:v>308.86871229161397</c:v>
                </c:pt>
                <c:pt idx="41">
                  <c:v>320.26900752676721</c:v>
                </c:pt>
                <c:pt idx="42">
                  <c:v>331.66032498718386</c:v>
                </c:pt>
                <c:pt idx="43">
                  <c:v>343.04301660000675</c:v>
                </c:pt>
                <c:pt idx="44">
                  <c:v>354.41740902235983</c:v>
                </c:pt>
                <c:pt idx="45">
                  <c:v>231.18015012108819</c:v>
                </c:pt>
                <c:pt idx="46">
                  <c:v>245.85215155934134</c:v>
                </c:pt>
                <c:pt idx="47">
                  <c:v>260.50426922842399</c:v>
                </c:pt>
                <c:pt idx="48">
                  <c:v>275.13777916434242</c:v>
                </c:pt>
                <c:pt idx="49">
                  <c:v>289.75381053317591</c:v>
                </c:pt>
                <c:pt idx="50">
                  <c:v>304.35336924894256</c:v>
                </c:pt>
                <c:pt idx="51">
                  <c:v>318.93735681918645</c:v>
                </c:pt>
                <c:pt idx="52">
                  <c:v>251.94708955478904</c:v>
                </c:pt>
                <c:pt idx="53">
                  <c:v>265.66555712216478</c:v>
                </c:pt>
                <c:pt idx="54">
                  <c:v>279.36806065566765</c:v>
                </c:pt>
                <c:pt idx="55">
                  <c:v>293.05549362099072</c:v>
                </c:pt>
                <c:pt idx="56">
                  <c:v>306.72865918075587</c:v>
                </c:pt>
                <c:pt idx="57">
                  <c:v>320.38828302561961</c:v>
                </c:pt>
                <c:pt idx="58">
                  <c:v>334.0350239015151</c:v>
                </c:pt>
                <c:pt idx="59">
                  <c:v>347.66948232583718</c:v>
                </c:pt>
                <c:pt idx="60">
                  <c:v>277.16605291851641</c:v>
                </c:pt>
                <c:pt idx="61">
                  <c:v>289.89049919490833</c:v>
                </c:pt>
                <c:pt idx="62">
                  <c:v>302.60246681972711</c:v>
                </c:pt>
                <c:pt idx="63">
                  <c:v>315.30255400825291</c:v>
                </c:pt>
                <c:pt idx="64">
                  <c:v>327.99130683454598</c:v>
                </c:pt>
                <c:pt idx="65">
                  <c:v>340.66922566038829</c:v>
                </c:pt>
                <c:pt idx="66">
                  <c:v>353.33677055680977</c:v>
                </c:pt>
                <c:pt idx="67">
                  <c:v>365.99436590725173</c:v>
                </c:pt>
                <c:pt idx="68">
                  <c:v>309.89483246834959</c:v>
                </c:pt>
                <c:pt idx="69">
                  <c:v>322.04777270454156</c:v>
                </c:pt>
                <c:pt idx="70">
                  <c:v>334.19057271070238</c:v>
                </c:pt>
                <c:pt idx="71">
                  <c:v>346.32365295129557</c:v>
                </c:pt>
                <c:pt idx="72">
                  <c:v>358.44740201667582</c:v>
                </c:pt>
                <c:pt idx="73">
                  <c:v>370.56218005866822</c:v>
                </c:pt>
                <c:pt idx="74">
                  <c:v>382.66832175328369</c:v>
                </c:pt>
                <c:pt idx="75">
                  <c:v>394.76613886886213</c:v>
                </c:pt>
                <c:pt idx="76">
                  <c:v>340.66808659618761</c:v>
                </c:pt>
                <c:pt idx="77">
                  <c:v>352.40061391194422</c:v>
                </c:pt>
                <c:pt idx="78">
                  <c:v>364.12458115448635</c:v>
                </c:pt>
                <c:pt idx="79">
                  <c:v>375.84030285063812</c:v>
                </c:pt>
                <c:pt idx="80">
                  <c:v>387.54807231327413</c:v>
                </c:pt>
                <c:pt idx="81">
                  <c:v>399.24816368344005</c:v>
                </c:pt>
                <c:pt idx="82">
                  <c:v>410.94083372055803</c:v>
                </c:pt>
                <c:pt idx="83">
                  <c:v>422.62632337822191</c:v>
                </c:pt>
                <c:pt idx="84">
                  <c:v>434.30485919660458</c:v>
                </c:pt>
                <c:pt idx="85">
                  <c:v>370.94305980022995</c:v>
                </c:pt>
                <c:pt idx="86">
                  <c:v>382.13601741625922</c:v>
                </c:pt>
                <c:pt idx="87">
                  <c:v>393.32184789481039</c:v>
                </c:pt>
                <c:pt idx="88">
                  <c:v>404.50078254642216</c:v>
                </c:pt>
                <c:pt idx="89">
                  <c:v>415.67303885034403</c:v>
                </c:pt>
                <c:pt idx="90">
                  <c:v>426.83882163903991</c:v>
                </c:pt>
                <c:pt idx="91">
                  <c:v>437.99832415227075</c:v>
                </c:pt>
                <c:pt idx="92">
                  <c:v>449.15172897814188</c:v>
                </c:pt>
                <c:pt idx="93">
                  <c:v>460.29920889579802</c:v>
                </c:pt>
                <c:pt idx="94">
                  <c:v>407.64120615059079</c:v>
                </c:pt>
                <c:pt idx="95">
                  <c:v>418.80663362021841</c:v>
                </c:pt>
                <c:pt idx="96">
                  <c:v>429.96564865703044</c:v>
                </c:pt>
                <c:pt idx="97">
                  <c:v>441.11844116915034</c:v>
                </c:pt>
                <c:pt idx="98">
                  <c:v>452.26519067705868</c:v>
                </c:pt>
                <c:pt idx="99">
                  <c:v>463.4060671292504</c:v>
                </c:pt>
                <c:pt idx="100">
                  <c:v>474.54123163536366</c:v>
                </c:pt>
                <c:pt idx="101">
                  <c:v>485.67083712691414</c:v>
                </c:pt>
                <c:pt idx="102">
                  <c:v>496.79502895430869</c:v>
                </c:pt>
                <c:pt idx="103">
                  <c:v>507.91394542760594</c:v>
                </c:pt>
                <c:pt idx="104">
                  <c:v>435.03907384077701</c:v>
                </c:pt>
                <c:pt idx="105">
                  <c:v>445.8452929810619</c:v>
                </c:pt>
                <c:pt idx="106">
                  <c:v>456.64590491056379</c:v>
                </c:pt>
                <c:pt idx="107">
                  <c:v>467.44106096404107</c:v>
                </c:pt>
                <c:pt idx="108">
                  <c:v>478.23090491537596</c:v>
                </c:pt>
                <c:pt idx="109">
                  <c:v>489.01557352103009</c:v>
                </c:pt>
                <c:pt idx="110">
                  <c:v>499.7951970130643</c:v>
                </c:pt>
                <c:pt idx="111">
                  <c:v>510.56989954740794</c:v>
                </c:pt>
                <c:pt idx="112">
                  <c:v>521.33979961232399</c:v>
                </c:pt>
                <c:pt idx="113">
                  <c:v>532.10501040136569</c:v>
                </c:pt>
                <c:pt idx="114">
                  <c:v>476.50533346916887</c:v>
                </c:pt>
                <c:pt idx="115">
                  <c:v>487.73614957102609</c:v>
                </c:pt>
                <c:pt idx="116">
                  <c:v>498.96147878070821</c:v>
                </c:pt>
                <c:pt idx="117">
                  <c:v>510.1814619372517</c:v>
                </c:pt>
                <c:pt idx="118">
                  <c:v>521.39623317992471</c:v>
                </c:pt>
                <c:pt idx="119">
                  <c:v>532.60592040724612</c:v>
                </c:pt>
                <c:pt idx="120">
                  <c:v>543.81064569535704</c:v>
                </c:pt>
                <c:pt idx="121">
                  <c:v>555.01052568012142</c:v>
                </c:pt>
                <c:pt idx="122">
                  <c:v>566.20567190678605</c:v>
                </c:pt>
                <c:pt idx="123">
                  <c:v>577.39619115055291</c:v>
                </c:pt>
                <c:pt idx="124">
                  <c:v>588.58218571101509</c:v>
                </c:pt>
                <c:pt idx="125">
                  <c:v>599.76375368304741</c:v>
                </c:pt>
                <c:pt idx="126">
                  <c:v>509.2035651570045</c:v>
                </c:pt>
                <c:pt idx="127">
                  <c:v>520.28785431918993</c:v>
                </c:pt>
                <c:pt idx="128">
                  <c:v>531.36716542681711</c:v>
                </c:pt>
                <c:pt idx="129">
                  <c:v>542.44161689880059</c:v>
                </c:pt>
                <c:pt idx="130">
                  <c:v>553.51132192487842</c:v>
                </c:pt>
                <c:pt idx="131">
                  <c:v>564.57638879870012</c:v>
                </c:pt>
                <c:pt idx="132">
                  <c:v>575.63692122345174</c:v>
                </c:pt>
                <c:pt idx="133">
                  <c:v>586.69301859277346</c:v>
                </c:pt>
                <c:pt idx="134">
                  <c:v>597.74477624940607</c:v>
                </c:pt>
                <c:pt idx="135">
                  <c:v>608.79228572371903</c:v>
                </c:pt>
                <c:pt idx="136">
                  <c:v>619.83563495403098</c:v>
                </c:pt>
                <c:pt idx="137">
                  <c:v>630.87490849041581</c:v>
                </c:pt>
                <c:pt idx="138">
                  <c:v>533.79159357740082</c:v>
                </c:pt>
                <c:pt idx="139">
                  <c:v>544.57294007424241</c:v>
                </c:pt>
                <c:pt idx="140">
                  <c:v>555.34980737852027</c:v>
                </c:pt>
                <c:pt idx="141">
                  <c:v>566.12229465602491</c:v>
                </c:pt>
                <c:pt idx="142">
                  <c:v>576.89049699123564</c:v>
                </c:pt>
                <c:pt idx="143">
                  <c:v>587.65450562995761</c:v>
                </c:pt>
                <c:pt idx="144">
                  <c:v>598.41440820325829</c:v>
                </c:pt>
                <c:pt idx="145">
                  <c:v>609.17028893446422</c:v>
                </c:pt>
                <c:pt idx="146">
                  <c:v>619.92222883078409</c:v>
                </c:pt>
                <c:pt idx="147">
                  <c:v>630.67030586094836</c:v>
                </c:pt>
                <c:pt idx="148">
                  <c:v>641.41459512011511</c:v>
                </c:pt>
                <c:pt idx="149">
                  <c:v>652.1551689831565</c:v>
                </c:pt>
                <c:pt idx="150">
                  <c:v>404.09338308811112</c:v>
                </c:pt>
                <c:pt idx="151">
                  <c:v>410.66630263429084</c:v>
                </c:pt>
                <c:pt idx="152">
                  <c:v>417.23695113982052</c:v>
                </c:pt>
                <c:pt idx="153">
                  <c:v>423.80536944181694</c:v>
                </c:pt>
                <c:pt idx="154">
                  <c:v>278.35892716727426</c:v>
                </c:pt>
                <c:pt idx="155">
                  <c:v>282.36752007083038</c:v>
                </c:pt>
                <c:pt idx="156">
                  <c:v>286.37483781182715</c:v>
                </c:pt>
                <c:pt idx="157">
                  <c:v>290.38090078456383</c:v>
                </c:pt>
                <c:pt idx="158">
                  <c:v>194.64582735633982</c:v>
                </c:pt>
                <c:pt idx="159">
                  <c:v>197.15448729932146</c:v>
                </c:pt>
                <c:pt idx="160">
                  <c:v>199.66240609118495</c:v>
                </c:pt>
                <c:pt idx="161">
                  <c:v>202.16959438206572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3.2713779738775846</c:v>
                </c:pt>
                <c:pt idx="2">
                  <c:v>3.8646187889144685</c:v>
                </c:pt>
                <c:pt idx="3">
                  <c:v>4.5658309546340776</c:v>
                </c:pt>
                <c:pt idx="4">
                  <c:v>5.3947327136416723</c:v>
                </c:pt>
                <c:pt idx="5">
                  <c:v>6.374654836721537</c:v>
                </c:pt>
                <c:pt idx="6">
                  <c:v>7.5332044228275885</c:v>
                </c:pt>
                <c:pt idx="7">
                  <c:v>8.9030510045981615</c:v>
                </c:pt>
                <c:pt idx="8">
                  <c:v>10.522857550605424</c:v>
                </c:pt>
                <c:pt idx="9">
                  <c:v>12.43838313791982</c:v>
                </c:pt>
                <c:pt idx="10">
                  <c:v>14.703789026837759</c:v>
                </c:pt>
                <c:pt idx="11">
                  <c:v>17.91258315536226</c:v>
                </c:pt>
                <c:pt idx="12">
                  <c:v>21.104543129297269</c:v>
                </c:pt>
                <c:pt idx="13">
                  <c:v>24.28259392189582</c:v>
                </c:pt>
                <c:pt idx="14">
                  <c:v>27.448824429452078</c:v>
                </c:pt>
                <c:pt idx="15">
                  <c:v>30.604798189695472</c:v>
                </c:pt>
                <c:pt idx="16">
                  <c:v>33.751727582674768</c:v>
                </c:pt>
                <c:pt idx="17">
                  <c:v>36.890578972406466</c:v>
                </c:pt>
                <c:pt idx="18">
                  <c:v>40.022139865395864</c:v>
                </c:pt>
                <c:pt idx="19">
                  <c:v>43.14706378094494</c:v>
                </c:pt>
                <c:pt idx="20">
                  <c:v>46.265901348512124</c:v>
                </c:pt>
                <c:pt idx="21">
                  <c:v>50.716661097973009</c:v>
                </c:pt>
                <c:pt idx="22">
                  <c:v>55.157077231790105</c:v>
                </c:pt>
                <c:pt idx="23">
                  <c:v>59.588102911058947</c:v>
                </c:pt>
                <c:pt idx="24">
                  <c:v>64.010537343246867</c:v>
                </c:pt>
                <c:pt idx="25">
                  <c:v>68.425059828555106</c:v>
                </c:pt>
                <c:pt idx="26">
                  <c:v>72.832254513623482</c:v>
                </c:pt>
                <c:pt idx="27">
                  <c:v>77.232628810837227</c:v>
                </c:pt>
                <c:pt idx="28">
                  <c:v>81.626627381067422</c:v>
                </c:pt>
                <c:pt idx="29">
                  <c:v>86.014642935235244</c:v>
                </c:pt>
                <c:pt idx="30">
                  <c:v>90.397024707511278</c:v>
                </c:pt>
                <c:pt idx="31">
                  <c:v>95.857053140626476</c:v>
                </c:pt>
                <c:pt idx="32">
                  <c:v>101.30933641956021</c:v>
                </c:pt>
                <c:pt idx="33">
                  <c:v>106.75435124164291</c:v>
                </c:pt>
                <c:pt idx="34">
                  <c:v>112.19252156747319</c:v>
                </c:pt>
                <c:pt idx="35">
                  <c:v>117.62422678822816</c:v>
                </c:pt>
                <c:pt idx="36">
                  <c:v>123.04980830077018</c:v>
                </c:pt>
                <c:pt idx="37">
                  <c:v>128.46957485902496</c:v>
                </c:pt>
                <c:pt idx="38">
                  <c:v>133.88380697254868</c:v>
                </c:pt>
                <c:pt idx="39">
                  <c:v>139.29276055445584</c:v>
                </c:pt>
                <c:pt idx="40">
                  <c:v>144.69666997162864</c:v>
                </c:pt>
                <c:pt idx="41">
                  <c:v>150.96637997794303</c:v>
                </c:pt>
                <c:pt idx="42">
                  <c:v>157.22988594020538</c:v>
                </c:pt>
                <c:pt idx="43">
                  <c:v>163.48747035307807</c:v>
                </c:pt>
                <c:pt idx="44">
                  <c:v>169.73939227613323</c:v>
                </c:pt>
                <c:pt idx="45">
                  <c:v>175.98589008920609</c:v>
                </c:pt>
                <c:pt idx="46">
                  <c:v>182.22718383531037</c:v>
                </c:pt>
                <c:pt idx="47">
                  <c:v>188.46347722517021</c:v>
                </c:pt>
                <c:pt idx="48">
                  <c:v>194.6949593620665</c:v>
                </c:pt>
                <c:pt idx="49">
                  <c:v>200.92180623391775</c:v>
                </c:pt>
                <c:pt idx="50">
                  <c:v>207.14418201040476</c:v>
                </c:pt>
                <c:pt idx="51">
                  <c:v>214.04384778814043</c:v>
                </c:pt>
                <c:pt idx="52">
                  <c:v>220.93839269656499</c:v>
                </c:pt>
                <c:pt idx="53">
                  <c:v>227.82799931591947</c:v>
                </c:pt>
                <c:pt idx="54">
                  <c:v>234.71283826581586</c:v>
                </c:pt>
                <c:pt idx="55">
                  <c:v>241.59306932450059</c:v>
                </c:pt>
                <c:pt idx="56">
                  <c:v>248.46884241378439</c:v>
                </c:pt>
                <c:pt idx="57">
                  <c:v>255.34029846911335</c:v>
                </c:pt>
                <c:pt idx="58">
                  <c:v>262.20757021097137</c:v>
                </c:pt>
                <c:pt idx="59">
                  <c:v>269.07078283115209</c:v>
                </c:pt>
                <c:pt idx="60">
                  <c:v>275.93005460527223</c:v>
                </c:pt>
                <c:pt idx="61">
                  <c:v>283.29801698088249</c:v>
                </c:pt>
                <c:pt idx="62">
                  <c:v>290.66168763117736</c:v>
                </c:pt>
                <c:pt idx="63">
                  <c:v>298.02119074061312</c:v>
                </c:pt>
                <c:pt idx="64">
                  <c:v>305.37664385298996</c:v>
                </c:pt>
                <c:pt idx="65">
                  <c:v>312.72815838150439</c:v>
                </c:pt>
                <c:pt idx="66">
                  <c:v>320.07584006829478</c:v>
                </c:pt>
                <c:pt idx="67">
                  <c:v>327.41978939955169</c:v>
                </c:pt>
                <c:pt idx="68">
                  <c:v>334.76010198140915</c:v>
                </c:pt>
                <c:pt idx="69">
                  <c:v>342.0968688811235</c:v>
                </c:pt>
                <c:pt idx="70">
                  <c:v>349.43017693743144</c:v>
                </c:pt>
                <c:pt idx="71">
                  <c:v>357.12291669983097</c:v>
                </c:pt>
                <c:pt idx="72">
                  <c:v>364.81202939008193</c:v>
                </c:pt>
                <c:pt idx="73">
                  <c:v>372.49760229863597</c:v>
                </c:pt>
                <c:pt idx="74">
                  <c:v>380.17971881721695</c:v>
                </c:pt>
                <c:pt idx="75">
                  <c:v>387.85845868994778</c:v>
                </c:pt>
                <c:pt idx="76">
                  <c:v>395.53389824354349</c:v>
                </c:pt>
                <c:pt idx="77">
                  <c:v>403.20611059869407</c:v>
                </c:pt>
                <c:pt idx="78">
                  <c:v>410.87516586451329</c:v>
                </c:pt>
                <c:pt idx="79">
                  <c:v>418.54113131770424</c:v>
                </c:pt>
                <c:pt idx="80">
                  <c:v>426.20407156791089</c:v>
                </c:pt>
                <c:pt idx="81">
                  <c:v>434.09615458268473</c:v>
                </c:pt>
                <c:pt idx="82">
                  <c:v>441.98515743093134</c:v>
                </c:pt>
                <c:pt idx="83">
                  <c:v>449.87114287275404</c:v>
                </c:pt>
                <c:pt idx="84">
                  <c:v>457.75417128737371</c:v>
                </c:pt>
                <c:pt idx="85">
                  <c:v>465.6343008037914</c:v>
                </c:pt>
                <c:pt idx="86">
                  <c:v>473.51158742214312</c:v>
                </c:pt>
                <c:pt idx="87">
                  <c:v>481.38608512655702</c:v>
                </c:pt>
                <c:pt idx="88">
                  <c:v>489.25784599023882</c:v>
                </c:pt>
                <c:pt idx="89">
                  <c:v>497.12692027344195</c:v>
                </c:pt>
                <c:pt idx="90">
                  <c:v>504.9933565149085</c:v>
                </c:pt>
                <c:pt idx="91">
                  <c:v>512.97689351460428</c:v>
                </c:pt>
                <c:pt idx="92">
                  <c:v>520.95780731798982</c:v>
                </c:pt>
                <c:pt idx="93">
                  <c:v>528.93614379003657</c:v>
                </c:pt>
                <c:pt idx="94">
                  <c:v>536.91194729887184</c:v>
                </c:pt>
                <c:pt idx="95">
                  <c:v>544.88526078662119</c:v>
                </c:pt>
                <c:pt idx="96">
                  <c:v>552.85612583588977</c:v>
                </c:pt>
                <c:pt idx="97">
                  <c:v>560.82458273220846</c:v>
                </c:pt>
                <c:pt idx="98">
                  <c:v>568.7906705227465</c:v>
                </c:pt>
                <c:pt idx="99">
                  <c:v>576.75442707156526</c:v>
                </c:pt>
                <c:pt idx="100">
                  <c:v>584.71588911165907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9" zoomScale="80" zoomScaleNormal="80" workbookViewId="0">
      <selection activeCell="D91" sqref="D9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88.09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0.80569999999999997</v>
      </c>
      <c r="D9" s="33">
        <f t="shared" ref="D9:D18" si="0">C9*$C$5</f>
        <v>70.974113000000003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138</v>
      </c>
      <c r="C10" s="32">
        <v>0.14419999999999999</v>
      </c>
      <c r="D10" s="33">
        <f t="shared" si="0"/>
        <v>12.702578000000001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24</v>
      </c>
      <c r="C11" s="32">
        <v>2.0199999999999999E-2</v>
      </c>
      <c r="D11" s="33">
        <f t="shared" si="0"/>
        <v>1.7794179999999999</v>
      </c>
      <c r="E11" s="34">
        <v>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</v>
      </c>
      <c r="C12" s="32">
        <v>1.18E-2</v>
      </c>
      <c r="D12" s="33">
        <f t="shared" si="0"/>
        <v>1.0394620000000001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11</v>
      </c>
      <c r="C13" s="32">
        <v>7.6E-3</v>
      </c>
      <c r="D13" s="33">
        <f t="shared" si="0"/>
        <v>0.66948400000000008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15</v>
      </c>
      <c r="C14" s="32">
        <v>7.6E-3</v>
      </c>
      <c r="D14" s="33">
        <f t="shared" si="0"/>
        <v>0.66948400000000008</v>
      </c>
      <c r="E14" s="34"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10</v>
      </c>
      <c r="C15" s="32">
        <v>2.8999999999999998E-3</v>
      </c>
      <c r="D15" s="33">
        <f t="shared" si="0"/>
        <v>0.25546099999999999</v>
      </c>
      <c r="E15" s="34">
        <v>100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88.09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f>98.16/1.3</f>
        <v>75.507692307692309</v>
      </c>
      <c r="C36" s="60"/>
      <c r="D36" s="60"/>
      <c r="E36" s="51"/>
      <c r="F36" s="51"/>
      <c r="G36" s="51"/>
      <c r="H36" s="51"/>
      <c r="I36" s="49">
        <f>IFERROR(B36/A36,"")</f>
        <v>6.2923076923076922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14</v>
      </c>
      <c r="B37" s="60">
        <f>147.33/1.3</f>
        <v>113.33076923076923</v>
      </c>
      <c r="C37" s="60">
        <v>1</v>
      </c>
      <c r="D37" s="60">
        <f>46.76/1.3</f>
        <v>35.969230769230769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18.911538461538463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19</v>
      </c>
      <c r="B38" s="60">
        <f>220.48/1.3</f>
        <v>169.6</v>
      </c>
      <c r="C38" s="60">
        <v>2</v>
      </c>
      <c r="D38" s="60">
        <f>71.38/1.3</f>
        <v>54.907692307692301</v>
      </c>
      <c r="E38" s="51">
        <v>0.1</v>
      </c>
      <c r="F38" s="51">
        <v>0.45</v>
      </c>
      <c r="G38" s="51">
        <v>0.45</v>
      </c>
      <c r="H38" s="51"/>
      <c r="I38" s="53">
        <f t="shared" si="1"/>
        <v>18.447692307692307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25</v>
      </c>
      <c r="B39" s="60">
        <f>285.76/1.3</f>
        <v>219.8153846153846</v>
      </c>
      <c r="C39" s="60">
        <v>3</v>
      </c>
      <c r="D39" s="60">
        <f>68.77/1.3</f>
        <v>52.9</v>
      </c>
      <c r="E39" s="51">
        <v>0.2</v>
      </c>
      <c r="F39" s="51">
        <v>0.4</v>
      </c>
      <c r="G39" s="51">
        <v>0.4</v>
      </c>
      <c r="H39" s="51"/>
      <c r="I39" s="49">
        <f t="shared" si="1"/>
        <v>17.520512820512817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32</v>
      </c>
      <c r="B40" s="60">
        <f>367.23/1.3</f>
        <v>282.48461538461538</v>
      </c>
      <c r="C40" s="60">
        <v>4</v>
      </c>
      <c r="D40" s="60">
        <f>83.07/1.3</f>
        <v>63.899999999999991</v>
      </c>
      <c r="E40" s="51"/>
      <c r="F40" s="51"/>
      <c r="G40" s="51"/>
      <c r="H40" s="51"/>
      <c r="I40" s="49">
        <f t="shared" si="1"/>
        <v>16.509890109890112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f>536.24/1.3</f>
        <v>412.49230769230769</v>
      </c>
      <c r="C41" s="60">
        <v>5</v>
      </c>
      <c r="D41" s="60">
        <f>536.24/1.3</f>
        <v>412.49230769230769</v>
      </c>
      <c r="E41" s="51"/>
      <c r="F41" s="51"/>
      <c r="G41" s="51"/>
      <c r="H41" s="51"/>
      <c r="I41" s="53">
        <f t="shared" si="1"/>
        <v>14.915976331360945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f>86+39</f>
        <v>125</v>
      </c>
      <c r="C62" s="60">
        <v>1</v>
      </c>
      <c r="D62" s="60">
        <v>39</v>
      </c>
      <c r="E62" s="51"/>
      <c r="F62" s="51">
        <v>0.5</v>
      </c>
      <c r="G62" s="51">
        <v>0.5</v>
      </c>
      <c r="H62" s="51"/>
      <c r="I62" s="53">
        <f>IFERROR(B62/A62,"")</f>
        <v>6.25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178+84</f>
        <v>262</v>
      </c>
      <c r="C63" s="60">
        <v>2</v>
      </c>
      <c r="D63" s="60">
        <v>84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17.600000000000001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274+111</f>
        <v>385</v>
      </c>
      <c r="C64" s="60">
        <v>3</v>
      </c>
      <c r="D64" s="60">
        <v>111</v>
      </c>
      <c r="E64" s="51"/>
      <c r="F64" s="51"/>
      <c r="G64" s="51"/>
      <c r="H64" s="51"/>
      <c r="I64" s="49">
        <f>IF(A64&lt;&gt;0,(B64-(B63-D63))/(A64-A63),"")</f>
        <v>20.7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363+125</f>
        <v>488</v>
      </c>
      <c r="C65" s="60">
        <v>4</v>
      </c>
      <c r="D65" s="60">
        <v>125</v>
      </c>
      <c r="E65" s="51"/>
      <c r="F65" s="51"/>
      <c r="G65" s="51"/>
      <c r="H65" s="51"/>
      <c r="I65" s="49">
        <f>IF(A65&lt;&gt;0,(B65-(B64-D64))/(A65-A64),"")</f>
        <v>21.4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441+127</f>
        <v>568</v>
      </c>
      <c r="C66" s="60">
        <v>5</v>
      </c>
      <c r="D66" s="60">
        <v>127</v>
      </c>
      <c r="E66" s="51"/>
      <c r="F66" s="51"/>
      <c r="G66" s="51"/>
      <c r="H66" s="51"/>
      <c r="I66" s="49">
        <f t="shared" ref="I66:I81" si="2">IF(A66&lt;&gt;0,(B66-(B65-D65))/(A66-A65),"")</f>
        <v>20.5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508+120</f>
        <v>628</v>
      </c>
      <c r="C67" s="60">
        <v>6</v>
      </c>
      <c r="D67" s="60">
        <v>120</v>
      </c>
      <c r="E67" s="51"/>
      <c r="F67" s="51"/>
      <c r="G67" s="51"/>
      <c r="H67" s="51"/>
      <c r="I67" s="49">
        <f t="shared" si="2"/>
        <v>18.7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562+109</f>
        <v>671</v>
      </c>
      <c r="C68" s="60">
        <v>7</v>
      </c>
      <c r="D68" s="60">
        <v>109</v>
      </c>
      <c r="E68" s="51"/>
      <c r="F68" s="51"/>
      <c r="G68" s="51"/>
      <c r="H68" s="51"/>
      <c r="I68" s="49">
        <f t="shared" si="2"/>
        <v>16.3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607+97</f>
        <v>704</v>
      </c>
      <c r="C69" s="50">
        <v>8</v>
      </c>
      <c r="D69" s="50">
        <v>97</v>
      </c>
      <c r="E69" s="51"/>
      <c r="F69" s="51"/>
      <c r="G69" s="51"/>
      <c r="H69" s="51"/>
      <c r="I69" s="49">
        <f t="shared" si="2"/>
        <v>14.2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Eucalyptus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194</v>
      </c>
      <c r="C88" s="60">
        <v>1</v>
      </c>
      <c r="D88" s="60">
        <f>B88*0.9</f>
        <v>174.6</v>
      </c>
      <c r="E88" s="51"/>
      <c r="F88" s="51">
        <v>0.5</v>
      </c>
      <c r="G88" s="51">
        <v>0.5</v>
      </c>
      <c r="H88" s="87"/>
      <c r="I88" s="53">
        <f>IFERROR(B88/A88,"")</f>
        <v>19.399999999999999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306</v>
      </c>
      <c r="C89" s="60">
        <v>2</v>
      </c>
      <c r="D89" s="60">
        <f>B89*0.9</f>
        <v>275.40000000000003</v>
      </c>
      <c r="E89" s="51">
        <v>0.4</v>
      </c>
      <c r="F89" s="51">
        <v>0.3</v>
      </c>
      <c r="G89" s="51">
        <v>0.3</v>
      </c>
      <c r="H89" s="87"/>
      <c r="I89" s="53">
        <f t="shared" ref="I89:I107" si="3">IF(A89&lt;&gt;0,(B89-(B88-D88))/(A89-A88),"")</f>
        <v>28.660000000000004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361</v>
      </c>
      <c r="C90" s="60">
        <v>3</v>
      </c>
      <c r="D90" s="60">
        <f>B90*0.9</f>
        <v>324.90000000000003</v>
      </c>
      <c r="E90" s="87">
        <v>0.4</v>
      </c>
      <c r="F90" s="87">
        <v>0.3</v>
      </c>
      <c r="G90" s="87">
        <v>0.3</v>
      </c>
      <c r="H90" s="87"/>
      <c r="I90" s="53">
        <f t="shared" si="3"/>
        <v>33.040000000000006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Bouleau verruqueux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f>54+15</f>
        <v>69</v>
      </c>
      <c r="C114" s="50">
        <v>1</v>
      </c>
      <c r="D114" s="60">
        <v>15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3.45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92+21</f>
        <v>113</v>
      </c>
      <c r="C115" s="50">
        <v>2</v>
      </c>
      <c r="D115" s="60">
        <v>21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5.9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126+25</f>
        <v>151</v>
      </c>
      <c r="C116" s="50">
        <v>3</v>
      </c>
      <c r="D116" s="60">
        <v>25</v>
      </c>
      <c r="E116" s="51"/>
      <c r="F116" s="51"/>
      <c r="G116" s="51"/>
      <c r="H116" s="51"/>
      <c r="I116" s="53">
        <f t="shared" si="4"/>
        <v>5.9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157+28</f>
        <v>185</v>
      </c>
      <c r="C117" s="50">
        <v>4</v>
      </c>
      <c r="D117" s="60">
        <v>28</v>
      </c>
      <c r="E117" s="51"/>
      <c r="F117" s="51"/>
      <c r="G117" s="51"/>
      <c r="H117" s="51"/>
      <c r="I117" s="53">
        <f t="shared" si="4"/>
        <v>5.9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183+28</f>
        <v>211</v>
      </c>
      <c r="C118" s="50">
        <v>5</v>
      </c>
      <c r="D118" s="60">
        <v>28</v>
      </c>
      <c r="E118" s="51"/>
      <c r="F118" s="51"/>
      <c r="G118" s="51"/>
      <c r="H118" s="51"/>
      <c r="I118" s="53">
        <f t="shared" si="4"/>
        <v>5.4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204+28</f>
        <v>232</v>
      </c>
      <c r="C119" s="50">
        <v>6</v>
      </c>
      <c r="D119" s="60">
        <v>28</v>
      </c>
      <c r="E119" s="51"/>
      <c r="F119" s="51"/>
      <c r="G119" s="51"/>
      <c r="H119" s="51"/>
      <c r="I119" s="53">
        <f t="shared" si="4"/>
        <v>4.9000000000000004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221+27</f>
        <v>248</v>
      </c>
      <c r="C120" s="60">
        <v>7</v>
      </c>
      <c r="D120" s="60">
        <v>27</v>
      </c>
      <c r="E120" s="87"/>
      <c r="F120" s="87"/>
      <c r="G120" s="87"/>
      <c r="H120" s="87"/>
      <c r="I120" s="53">
        <f t="shared" si="4"/>
        <v>4.4000000000000004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234+25</f>
        <v>259</v>
      </c>
      <c r="C121" s="60">
        <v>8</v>
      </c>
      <c r="D121" s="60">
        <v>25</v>
      </c>
      <c r="E121" s="87"/>
      <c r="F121" s="87"/>
      <c r="G121" s="87"/>
      <c r="H121" s="87"/>
      <c r="I121" s="53">
        <f t="shared" si="4"/>
        <v>3.8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pédonculé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f>46+11</f>
        <v>57</v>
      </c>
      <c r="C140" s="50">
        <v>1</v>
      </c>
      <c r="D140" s="60">
        <v>11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2.85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f>82+32</f>
        <v>114</v>
      </c>
      <c r="C141" s="50">
        <v>2</v>
      </c>
      <c r="D141" s="60">
        <v>32</v>
      </c>
      <c r="E141" s="51">
        <v>0.1</v>
      </c>
      <c r="F141" s="51">
        <v>0.45</v>
      </c>
      <c r="G141" s="51">
        <v>0.45</v>
      </c>
      <c r="H141" s="51"/>
      <c r="I141" s="57">
        <f t="shared" ref="I141:I159" si="5">IF(A141&lt;&gt;0,(B141-(B140-D140))/(A141-A140),"")</f>
        <v>6.8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f>117+39</f>
        <v>156</v>
      </c>
      <c r="C142" s="50">
        <v>3</v>
      </c>
      <c r="D142" s="60">
        <v>39</v>
      </c>
      <c r="E142" s="51"/>
      <c r="F142" s="51"/>
      <c r="G142" s="51"/>
      <c r="H142" s="51"/>
      <c r="I142" s="57">
        <f t="shared" si="5"/>
        <v>7.4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f>149+43</f>
        <v>192</v>
      </c>
      <c r="C143" s="50">
        <v>4</v>
      </c>
      <c r="D143" s="60">
        <v>43</v>
      </c>
      <c r="E143" s="51"/>
      <c r="F143" s="51"/>
      <c r="G143" s="51"/>
      <c r="H143" s="51"/>
      <c r="I143" s="57">
        <f t="shared" si="5"/>
        <v>7.5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f>177+44</f>
        <v>221</v>
      </c>
      <c r="C144" s="50">
        <v>5</v>
      </c>
      <c r="D144" s="60">
        <v>44</v>
      </c>
      <c r="E144" s="51"/>
      <c r="F144" s="51"/>
      <c r="G144" s="51"/>
      <c r="H144" s="51"/>
      <c r="I144" s="57">
        <f t="shared" si="5"/>
        <v>7.2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f>201+44</f>
        <v>245</v>
      </c>
      <c r="C145" s="50">
        <v>6</v>
      </c>
      <c r="D145" s="60">
        <v>44</v>
      </c>
      <c r="E145" s="51"/>
      <c r="F145" s="51"/>
      <c r="G145" s="51"/>
      <c r="H145" s="51"/>
      <c r="I145" s="57">
        <f t="shared" si="5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222+43</f>
        <v>265</v>
      </c>
      <c r="C146" s="50">
        <v>7</v>
      </c>
      <c r="D146" s="60">
        <v>43</v>
      </c>
      <c r="E146" s="51"/>
      <c r="F146" s="51"/>
      <c r="G146" s="51"/>
      <c r="H146" s="51"/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f>239+40</f>
        <v>279</v>
      </c>
      <c r="C147" s="50">
        <v>8</v>
      </c>
      <c r="D147" s="60">
        <v>40</v>
      </c>
      <c r="E147" s="51"/>
      <c r="F147" s="51"/>
      <c r="G147" s="51"/>
      <c r="H147" s="51"/>
      <c r="I147" s="57">
        <f>IF(A147&lt;&gt;0,(B147-(B146-D146))/(A147-A146),"")</f>
        <v>5.7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f>253+37</f>
        <v>290</v>
      </c>
      <c r="C148" s="50">
        <v>9</v>
      </c>
      <c r="D148" s="60">
        <v>37</v>
      </c>
      <c r="E148" s="51"/>
      <c r="F148" s="51"/>
      <c r="G148" s="51"/>
      <c r="H148" s="51"/>
      <c r="I148" s="57">
        <f t="shared" si="5"/>
        <v>5.0999999999999996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f>265+34</f>
        <v>299</v>
      </c>
      <c r="C149" s="50">
        <v>10</v>
      </c>
      <c r="D149" s="60">
        <v>34</v>
      </c>
      <c r="E149" s="51"/>
      <c r="F149" s="51"/>
      <c r="G149" s="51"/>
      <c r="H149" s="51"/>
      <c r="I149" s="57">
        <f t="shared" si="5"/>
        <v>4.5999999999999996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275+31</f>
        <v>306</v>
      </c>
      <c r="C150" s="50">
        <v>11</v>
      </c>
      <c r="D150" s="60">
        <v>31</v>
      </c>
      <c r="E150" s="51"/>
      <c r="F150" s="51"/>
      <c r="G150" s="51"/>
      <c r="H150" s="51"/>
      <c r="I150" s="57">
        <f t="shared" si="5"/>
        <v>4.0999999999999996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 tauzin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30</v>
      </c>
      <c r="B166" s="60">
        <f>136.82/1.56</f>
        <v>87.705128205128204</v>
      </c>
      <c r="C166" s="60"/>
      <c r="D166" s="60"/>
      <c r="E166" s="51"/>
      <c r="F166" s="51"/>
      <c r="G166" s="51"/>
      <c r="H166" s="51"/>
      <c r="I166" s="49">
        <f>IFERROR(B166/A166,"")</f>
        <v>2.9235042735042733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44</v>
      </c>
      <c r="B167" s="60">
        <f>253.38/1.56</f>
        <v>162.42307692307691</v>
      </c>
      <c r="C167" s="60">
        <v>1</v>
      </c>
      <c r="D167" s="60">
        <f>100.49/1.56</f>
        <v>64.416666666666657</v>
      </c>
      <c r="E167" s="51"/>
      <c r="F167" s="51"/>
      <c r="G167" s="51"/>
      <c r="H167" s="51"/>
      <c r="I167" s="49">
        <f t="shared" ref="I167:I185" si="6">IF(A167&lt;&gt;0,(B167-(B166-D166))/(A167-A166),"")</f>
        <v>5.3369963369963358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51</v>
      </c>
      <c r="B168" s="60">
        <f>227.43/1.56</f>
        <v>145.78846153846155</v>
      </c>
      <c r="C168" s="60">
        <v>2</v>
      </c>
      <c r="D168" s="60">
        <f>58.79/1.56</f>
        <v>37.685897435897431</v>
      </c>
      <c r="E168" s="51"/>
      <c r="F168" s="51"/>
      <c r="G168" s="51"/>
      <c r="H168" s="51"/>
      <c r="I168" s="49">
        <f t="shared" si="6"/>
        <v>6.8260073260073284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59</v>
      </c>
      <c r="B169" s="60">
        <f>248.44/1.56</f>
        <v>159.25641025641025</v>
      </c>
      <c r="C169" s="60">
        <v>3</v>
      </c>
      <c r="D169" s="60">
        <f>60.75/1.56</f>
        <v>38.942307692307693</v>
      </c>
      <c r="E169" s="51"/>
      <c r="F169" s="51"/>
      <c r="G169" s="51"/>
      <c r="H169" s="51"/>
      <c r="I169" s="49">
        <f t="shared" si="6"/>
        <v>6.3942307692307665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67</v>
      </c>
      <c r="B170" s="60">
        <f>261.86/1.56</f>
        <v>167.85897435897436</v>
      </c>
      <c r="C170" s="60">
        <v>4</v>
      </c>
      <c r="D170" s="60">
        <f>49.91/1.56</f>
        <v>31.993589743589741</v>
      </c>
      <c r="E170" s="51"/>
      <c r="F170" s="51"/>
      <c r="G170" s="51"/>
      <c r="H170" s="51"/>
      <c r="I170" s="49">
        <f t="shared" si="6"/>
        <v>5.9431089743589762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75</v>
      </c>
      <c r="B171" s="60">
        <f>282.96/1.56</f>
        <v>181.38461538461536</v>
      </c>
      <c r="C171" s="60">
        <v>5</v>
      </c>
      <c r="D171" s="60">
        <f>48.23/1.56</f>
        <v>30.916666666666664</v>
      </c>
      <c r="E171" s="51"/>
      <c r="F171" s="51"/>
      <c r="G171" s="51"/>
      <c r="H171" s="51"/>
      <c r="I171" s="49">
        <f t="shared" si="6"/>
        <v>5.6899038461538431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84</v>
      </c>
      <c r="B172" s="60">
        <f>312.01/1.56</f>
        <v>200.00641025641025</v>
      </c>
      <c r="C172" s="60">
        <v>6</v>
      </c>
      <c r="D172" s="60">
        <f>54.73/1.56</f>
        <v>35.083333333333329</v>
      </c>
      <c r="E172" s="51"/>
      <c r="F172" s="51"/>
      <c r="G172" s="51"/>
      <c r="H172" s="51"/>
      <c r="I172" s="49">
        <f t="shared" si="6"/>
        <v>5.5042735042735051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93</v>
      </c>
      <c r="B173" s="50">
        <f>331.14/1.56</f>
        <v>212.26923076923075</v>
      </c>
      <c r="C173" s="50">
        <v>7</v>
      </c>
      <c r="D173" s="50">
        <f>46.93/1.56</f>
        <v>30.083333333333332</v>
      </c>
      <c r="E173" s="51"/>
      <c r="F173" s="51"/>
      <c r="G173" s="51"/>
      <c r="H173" s="51"/>
      <c r="I173" s="49">
        <f t="shared" si="6"/>
        <v>5.2606837606837598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103</v>
      </c>
      <c r="B174" s="50">
        <f>366.24/1.56</f>
        <v>234.76923076923077</v>
      </c>
      <c r="C174" s="50">
        <v>8</v>
      </c>
      <c r="D174" s="50">
        <f>61.64/1.56</f>
        <v>39.512820512820511</v>
      </c>
      <c r="E174" s="51"/>
      <c r="F174" s="51"/>
      <c r="G174" s="51"/>
      <c r="H174" s="51"/>
      <c r="I174" s="49">
        <f t="shared" si="6"/>
        <v>5.2583333333333373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113</v>
      </c>
      <c r="B175" s="50">
        <f>384.1/1.56</f>
        <v>246.21794871794873</v>
      </c>
      <c r="C175" s="50">
        <v>9</v>
      </c>
      <c r="D175" s="50">
        <f>49.3/1.56</f>
        <v>31.602564102564099</v>
      </c>
      <c r="E175" s="51"/>
      <c r="F175" s="51"/>
      <c r="G175" s="51"/>
      <c r="H175" s="51"/>
      <c r="I175" s="49">
        <f t="shared" si="6"/>
        <v>5.0961538461538449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125</v>
      </c>
      <c r="B176" s="50">
        <f>434.14/1.56</f>
        <v>278.29487179487177</v>
      </c>
      <c r="C176" s="50">
        <v>10</v>
      </c>
      <c r="D176" s="50">
        <f>75.13/1.56</f>
        <v>48.160256410256409</v>
      </c>
      <c r="E176" s="51"/>
      <c r="F176" s="51"/>
      <c r="G176" s="51"/>
      <c r="H176" s="51"/>
      <c r="I176" s="49">
        <f t="shared" si="6"/>
        <v>5.3066239316239274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137</v>
      </c>
      <c r="B177" s="50">
        <f>457.19/1.56</f>
        <v>293.07051282051282</v>
      </c>
      <c r="C177" s="50">
        <v>11</v>
      </c>
      <c r="D177" s="50">
        <f>79.81/1.56</f>
        <v>51.160256410256409</v>
      </c>
      <c r="E177" s="51"/>
      <c r="F177" s="51"/>
      <c r="G177" s="51"/>
      <c r="H177" s="51"/>
      <c r="I177" s="49">
        <f t="shared" si="6"/>
        <v>5.2446581196581219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149</v>
      </c>
      <c r="B178" s="50">
        <f>472.97/1.56</f>
        <v>303.18589743589746</v>
      </c>
      <c r="C178" s="50">
        <v>12</v>
      </c>
      <c r="D178" s="50">
        <f>187.99/1.56</f>
        <v>120.50641025641026</v>
      </c>
      <c r="E178" s="51"/>
      <c r="F178" s="51"/>
      <c r="G178" s="51"/>
      <c r="H178" s="51"/>
      <c r="I178" s="49">
        <f t="shared" si="6"/>
        <v>5.1063034188034209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153</v>
      </c>
      <c r="B179" s="50">
        <f>304.29/1.56</f>
        <v>195.05769230769232</v>
      </c>
      <c r="C179" s="50">
        <v>13</v>
      </c>
      <c r="D179" s="50">
        <f>109.38/1.56</f>
        <v>70.115384615384613</v>
      </c>
      <c r="E179" s="51"/>
      <c r="F179" s="51"/>
      <c r="G179" s="51"/>
      <c r="H179" s="51"/>
      <c r="I179" s="49">
        <f t="shared" si="6"/>
        <v>3.0945512820512846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>
        <v>157</v>
      </c>
      <c r="B180" s="50">
        <f>206.59/1.56</f>
        <v>132.42948717948718</v>
      </c>
      <c r="C180" s="50">
        <v>14</v>
      </c>
      <c r="D180" s="50">
        <f>71.31/1.56</f>
        <v>45.71153846153846</v>
      </c>
      <c r="E180" s="51"/>
      <c r="F180" s="51"/>
      <c r="G180" s="51"/>
      <c r="H180" s="51"/>
      <c r="I180" s="49">
        <f t="shared" si="6"/>
        <v>1.8717948717948687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>
        <v>161</v>
      </c>
      <c r="B181" s="50">
        <f>142.53/1.56</f>
        <v>91.365384615384613</v>
      </c>
      <c r="C181" s="50">
        <v>15</v>
      </c>
      <c r="D181" s="50">
        <f>142.53/1.56</f>
        <v>91.365384615384613</v>
      </c>
      <c r="E181" s="51"/>
      <c r="F181" s="51"/>
      <c r="G181" s="51"/>
      <c r="H181" s="51"/>
      <c r="I181" s="49">
        <f t="shared" si="6"/>
        <v>1.1618589743589709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Chêne-liège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10</v>
      </c>
      <c r="B192" s="60">
        <v>5.630711687781508</v>
      </c>
      <c r="C192" s="60"/>
      <c r="D192" s="60"/>
      <c r="E192" s="51"/>
      <c r="F192" s="51"/>
      <c r="G192" s="51"/>
      <c r="H192" s="51"/>
      <c r="I192" s="49">
        <f>IFERROR(B192/A192,"")</f>
        <v>0.56307116877815078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v>18.358219481198507</v>
      </c>
      <c r="C193" s="60"/>
      <c r="D193" s="60"/>
      <c r="E193" s="51"/>
      <c r="F193" s="51"/>
      <c r="G193" s="51"/>
      <c r="H193" s="51"/>
      <c r="I193" s="49">
        <f t="shared" ref="I193:I211" si="7">IF(A193&lt;&gt;0,(B193-(B192-D192))/(A193-A192),"")</f>
        <v>1.2727507793416999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30</v>
      </c>
      <c r="B194" s="60">
        <v>36.560509809466062</v>
      </c>
      <c r="C194" s="60"/>
      <c r="D194" s="60"/>
      <c r="E194" s="51"/>
      <c r="F194" s="51"/>
      <c r="G194" s="51"/>
      <c r="H194" s="51"/>
      <c r="I194" s="49">
        <f t="shared" si="7"/>
        <v>1.8202290328267554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40</v>
      </c>
      <c r="B195" s="60">
        <v>59.269672682677488</v>
      </c>
      <c r="C195" s="60"/>
      <c r="D195" s="60"/>
      <c r="E195" s="51"/>
      <c r="F195" s="51"/>
      <c r="G195" s="51"/>
      <c r="H195" s="51"/>
      <c r="I195" s="49">
        <f t="shared" si="7"/>
        <v>2.2709162873211426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50</v>
      </c>
      <c r="B196" s="60">
        <v>85.642649632097587</v>
      </c>
      <c r="C196" s="60"/>
      <c r="D196" s="60"/>
      <c r="E196" s="51"/>
      <c r="F196" s="51"/>
      <c r="G196" s="51"/>
      <c r="H196" s="51"/>
      <c r="I196" s="49">
        <f t="shared" si="7"/>
        <v>2.6372976949420099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60</v>
      </c>
      <c r="B197" s="60">
        <v>114.90765248119372</v>
      </c>
      <c r="C197" s="60"/>
      <c r="D197" s="60"/>
      <c r="E197" s="51"/>
      <c r="F197" s="51"/>
      <c r="G197" s="51"/>
      <c r="H197" s="51"/>
      <c r="I197" s="49">
        <f t="shared" si="7"/>
        <v>2.9265002849096136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70</v>
      </c>
      <c r="B198" s="60">
        <v>146.361179404577</v>
      </c>
      <c r="C198" s="60"/>
      <c r="D198" s="60"/>
      <c r="E198" s="51"/>
      <c r="F198" s="51"/>
      <c r="G198" s="51"/>
      <c r="H198" s="51"/>
      <c r="I198" s="49">
        <f t="shared" si="7"/>
        <v>3.1453526923383279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80</v>
      </c>
      <c r="B199" s="50">
        <v>179.37192325902373</v>
      </c>
      <c r="C199" s="50"/>
      <c r="D199" s="50"/>
      <c r="E199" s="51"/>
      <c r="F199" s="51"/>
      <c r="G199" s="51"/>
      <c r="H199" s="51"/>
      <c r="I199" s="49">
        <f t="shared" si="7"/>
        <v>3.3010743854446729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90</v>
      </c>
      <c r="B200" s="50">
        <v>213.38312618540991</v>
      </c>
      <c r="C200" s="50"/>
      <c r="D200" s="50"/>
      <c r="E200" s="51"/>
      <c r="F200" s="51"/>
      <c r="G200" s="51"/>
      <c r="H200" s="51"/>
      <c r="I200" s="49">
        <f t="shared" si="7"/>
        <v>3.4011202926386175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100</v>
      </c>
      <c r="B201" s="50">
        <v>247.91208324870993</v>
      </c>
      <c r="C201" s="50">
        <v>1</v>
      </c>
      <c r="D201" s="50">
        <f>B201</f>
        <v>247.91208324870993</v>
      </c>
      <c r="E201" s="51"/>
      <c r="F201" s="51"/>
      <c r="G201" s="51"/>
      <c r="H201" s="51"/>
      <c r="I201" s="49">
        <f t="shared" si="7"/>
        <v>3.4528957063300028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>IF(A220&lt;&gt;0,(B220-(B219-D219))/(A220-A219),"")</f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ref="I221:I237" si="8">IF(A221&lt;&gt;0,(B221-(B220-D220))/(A221-A220),"")</f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Eucalyptus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pédonculé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tauzin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Chêne-liège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199.58634493109349</v>
      </c>
      <c r="T3" s="59">
        <f>IF('Données projet'!E9&gt;30,$R$33-$H$33,LOOKUP('Données projet'!$E$9,$A$3:$A$203,R3:R203)-LOOKUP('Données projet'!$E$9,$A$3:$A$203,$H$3:$H$203))</f>
        <v>288.66487031729008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395.40396173178527</v>
      </c>
      <c r="AO3" s="59">
        <f>IF('Données projet'!E10&gt;30,$AM$33-$H$33,LOOKUP('Données projet'!$E$10,$A$3:$A$203,AM3:AM203)-LOOKUP('Données projet'!$E$10,$A$3:$A$203,$H$3:$H$203))</f>
        <v>304.68075128568756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249.21292089724221</v>
      </c>
      <c r="BJ3" s="59">
        <f>IF('Données projet'!E11&gt;30,$BH$33-$H$33,LOOKUP('Données projet'!$E$11,$A$3:$A$203,BH3:BH203)-LOOKUP('Données projet'!$E$11,$A$3:$A$203,$H$3:$H$203))</f>
        <v>640.80644476065254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192.4785660463869</v>
      </c>
      <c r="CE3" s="59">
        <f>IF('Données projet'!E12&gt;30,$CC$33-$H$33,LOOKUP('Données projet'!$E$12,$A$3:$A$203,CC3:CC203)-LOOKUP('Données projet'!$E$12,$A$3:$A$203,$H$3:$H$203))</f>
        <v>165.11095806515362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247.67539667223065</v>
      </c>
      <c r="CZ3" s="59">
        <f>IF('Données projet'!E13&gt;30,$CX$33-$H$33,LOOKUP('Données projet'!$E$13,$A$3:$A$203,CX3:CX203)-LOOKUP('Données projet'!$E$13,$A$3:$A$203,$H$3:$H$203))</f>
        <v>174.54442616983778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245.06609107649069</v>
      </c>
      <c r="DU3" s="59">
        <f>IF('Données projet'!E14&gt;30,$DS$33-$H$33,LOOKUP('Données projet'!$E$14,$A$3:$A$203,DS3:DS203)-LOOKUP('Données projet'!$E$14,$A$3:$A$203,$H$3:$H$203))</f>
        <v>156.24531945456499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173.63857221119594</v>
      </c>
      <c r="EP3" s="59">
        <f>IF('Données projet'!E15&gt;30,$EN$33-$H$33,LOOKUP('Données projet'!$E$15,$A$3:$A$203,EN3:EN203)-LOOKUP('Données projet'!$E$15,$A$3:$A$203,$H$3:$H$203))</f>
        <v>52.373745617370105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6.2923076923076922</v>
      </c>
      <c r="N4" s="13">
        <f>IF('Données projet'!$A$36&gt;35,N3+M4-V3,IF(A4&lt;'Données projet'!$A$36,$K$205^A4,IF(A4='Données projet'!$A$36,'Données projet'!$B$36,N3+M4-V3)))</f>
        <v>1.4338352942213981</v>
      </c>
      <c r="O4" s="13">
        <f>N4*VLOOKUP('Données projet'!$B$9,Paramètres!$A$1:$I$89,3,0)*VLOOKUP('Données projet'!$B$9,Paramètres!$A$1:$I$89,5,0)</f>
        <v>0.85743350594439616</v>
      </c>
      <c r="P4" s="13">
        <f>EXP(-1.0587+0.8836*LN(O4)+0.284)</f>
        <v>0.4022795752263541</v>
      </c>
      <c r="Q4" s="20">
        <f t="shared" ref="Q4:Q34" si="2">(O4+P4)*0.475*44/12</f>
        <v>2.1940002830390566</v>
      </c>
      <c r="R4" s="59">
        <f t="shared" si="0"/>
        <v>295.52733361637235</v>
      </c>
      <c r="S4" s="59">
        <f ca="1">AVERAGE(OFFSET($R$3,0,0,'Données projet'!$E$9+1,1))-AVERAGE(OFFSET($H$3,0,0,'Données projet'!$E$9+1,1))</f>
        <v>199.58634493109349</v>
      </c>
      <c r="T4" s="59">
        <f>$T$3</f>
        <v>288.66487031729008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6.25</v>
      </c>
      <c r="AI4" s="13">
        <f>IF('Données projet'!$A$62&gt;35,AI3+AH4-AQ3,IF(A4&lt;'Données projet'!$A$62,$AF$205^A4,IF(A4='Données projet'!$A$62,'Données projet'!$B$62,AI3+AH4-AQ3)))</f>
        <v>1.2730501155464236</v>
      </c>
      <c r="AJ4" s="13">
        <f>AI4*VLOOKUP('Données projet'!$B$10,Paramètres!$A$1:$I$89,3,0)*VLOOKUP('Données projet'!$B$10,Paramètres!$A$1:$I$89,5,0)</f>
        <v>0.76128396909676133</v>
      </c>
      <c r="AK4" s="13">
        <f>EXP(-1.0587+0.8836*LN(AJ4)+0.284)</f>
        <v>0.3621485205974489</v>
      </c>
      <c r="AL4" s="20">
        <f t="shared" ref="AL4:AL67" si="4">(AJ4+AK4)*0.475*44/12</f>
        <v>1.9566449195507494</v>
      </c>
      <c r="AM4" s="59">
        <f t="shared" ref="AM4:AM67" si="5">AL4+(AD4+AE4)*44/12</f>
        <v>295.28997825288405</v>
      </c>
      <c r="AN4" s="59">
        <f ca="1">AVERAGE(OFFSET($AM$3,0,0,'Données projet'!$E$10+1,1))-AVERAGE(OFFSET($H$3,0,0,'Données projet'!$E$10+1,1))</f>
        <v>395.40396173178527</v>
      </c>
      <c r="AO4" s="59">
        <f>$AO$3</f>
        <v>304.68075128568756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19.399999999999999</v>
      </c>
      <c r="BD4" s="12">
        <f>IF('Données projet'!$A$88&gt;35,BD3+BC4-BL3,IF(A4&lt;'Données projet'!$A$88,$BA$205^A4,IF(A4='Données projet'!$A$88,'Données projet'!$B$88,BD3+BC4-BL3)))</f>
        <v>1.6934803938384888</v>
      </c>
      <c r="BE4" s="13">
        <f>BD4*VLOOKUP('Données projet'!$B$11,Paramètres!$A$1:$I$89,3,0)*VLOOKUP('Données projet'!$B$11,Paramètres!$A$1:$I$89,5,0)</f>
        <v>1.479424472057304</v>
      </c>
      <c r="BF4" s="13">
        <f>EXP(-1.0587+0.8836*LN(BE4)+0.284)</f>
        <v>0.65139746106658813</v>
      </c>
      <c r="BG4" s="20">
        <f t="shared" ref="BG4:BG67" si="7">(BE4+BF4)*0.475*44/12</f>
        <v>3.7111815335241118</v>
      </c>
      <c r="BH4" s="59">
        <f t="shared" ref="BH4:BH67" si="8">BG4+(AY4+AZ4)*44/12</f>
        <v>297.04451486685741</v>
      </c>
      <c r="BI4" s="59">
        <f ca="1">AVERAGE(OFFSET($BH$3,0,0,'Données projet'!$E$11+1,1))-AVERAGE(OFFSET($H$3,0,0,'Données projet'!$E$11+1,1))</f>
        <v>249.21292089724221</v>
      </c>
      <c r="BJ4" s="59">
        <f>$BJ$3</f>
        <v>640.80644476065254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3.45</v>
      </c>
      <c r="BY4" s="12">
        <f>IF('Données projet'!$A$114&gt;35,BY3+BX4-CG3,IF(A4&lt;'Données projet'!$A$114,$BV$205^A4,IF(A4='Données projet'!$A$114,'Données projet'!$B$114,BY3+BX4-CG3)))</f>
        <v>1.2357836771486921</v>
      </c>
      <c r="BZ4" s="13">
        <f>BY4*VLOOKUP('Données projet'!$B$12,Paramètres!$A$1:$I$89,3,0)*VLOOKUP('Données projet'!$B$12,Paramètres!$A$1:$I$89,5,0)</f>
        <v>1.0024677189030191</v>
      </c>
      <c r="CA4" s="13">
        <f>EXP(-1.0587+0.8836*LN(BZ4)+0.284)</f>
        <v>0.46184672382447473</v>
      </c>
      <c r="CB4" s="20">
        <f t="shared" ref="CB4:CB67" si="10">(BZ4+CA4)*0.475*44/12</f>
        <v>2.550347654417052</v>
      </c>
      <c r="CC4" s="59">
        <f t="shared" ref="CC4:CC67" si="11">CB4+(BT4+BU4)*44/12</f>
        <v>295.88368098775038</v>
      </c>
      <c r="CD4" s="59">
        <f ca="1">AVERAGE(OFFSET($CC$3,0,0,'Données projet'!$E$12+1,1))-AVERAGE(OFFSET($H$3,0,0,'Données projet'!$E$12+1,1))</f>
        <v>192.4785660463869</v>
      </c>
      <c r="CE4" s="59">
        <f>$CE$3</f>
        <v>165.11095806515362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2.85</v>
      </c>
      <c r="CT4" s="12">
        <f>IF('Données projet'!$A$140&gt;35,CT3+CS4-DB3,IF(A4&lt;'Données projet'!$A$140,$CQ$205^A4,IF(A4='Données projet'!$A$140,'Données projet'!$B$140,CT3+CS4-DB3)))</f>
        <v>1.2240347367580502</v>
      </c>
      <c r="CU4" s="17">
        <f>CT4*VLOOKUP('Données projet'!$B$13,Paramètres!$A$1:$I$89,3,0)*VLOOKUP('Données projet'!$B$13,Paramètres!$A$1:$I$89,5,0)</f>
        <v>1.0311268622449816</v>
      </c>
      <c r="CV4" s="13">
        <f>EXP(-1.0587+0.8836*LN(CU4)+0.284)</f>
        <v>0.47349417136482874</v>
      </c>
      <c r="CW4" s="20">
        <f t="shared" ref="CW4:CW67" si="13">(CU4+CV4)*0.475*44/12</f>
        <v>2.6205483002037528</v>
      </c>
      <c r="CX4" s="59">
        <f t="shared" ref="CX4:CX67" si="14">CW4+(CO4+CP4)*44/12</f>
        <v>295.95388163353709</v>
      </c>
      <c r="CY4" s="59">
        <f ca="1">AVERAGE(OFFSET($CX$3,0,0,'Données projet'!$E$13+1,1))-AVERAGE(OFFSET($H$3,0,0,'Données projet'!$E$13+1,1))</f>
        <v>247.67539667223065</v>
      </c>
      <c r="CZ4" s="59">
        <f>$CZ$3</f>
        <v>174.54442616983778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2.9235042735042733</v>
      </c>
      <c r="DO4" s="12">
        <f>IF('Données projet'!$A$166&gt;35,DO3+DN4-DW3,IF(A4&lt;'Données projet'!$A$166,$DL$205^A4,IF(A4='Données projet'!$A$166,'Données projet'!$B$166,DO3+DN4-DW3)))</f>
        <v>1.1608269964373037</v>
      </c>
      <c r="DP4" s="17">
        <f>DO4*VLOOKUP('Données projet'!$B$14,Paramètres!$A$1:$I$89,3,0)*VLOOKUP('Données projet'!$B$14,Paramètres!$A$1:$I$89,5,0)</f>
        <v>1.1589696732430042</v>
      </c>
      <c r="DQ4" s="13">
        <f>EXP(-1.0587+0.8836*LN(DP4)+0.284)</f>
        <v>0.52500827375022874</v>
      </c>
      <c r="DR4" s="20">
        <f t="shared" ref="DR4:DR67" si="16">(DP4+DQ4)*0.475*44/12</f>
        <v>2.9329282576798801</v>
      </c>
      <c r="DS4" s="59">
        <f t="shared" ref="DS4:DS67" si="17">DR4+(DJ4+DK4)*44/12</f>
        <v>296.26626159101318</v>
      </c>
      <c r="DT4" s="59">
        <f ca="1">AVERAGE(OFFSET($DS$3,0,0,'Données projet'!$E$14+1,1))-AVERAGE(OFFSET($H$3,0,0,'Données projet'!$E$14+1,1))</f>
        <v>245.06609107649069</v>
      </c>
      <c r="DU4" s="59">
        <f>$DU$3</f>
        <v>156.24531945456499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0.56307116877815078</v>
      </c>
      <c r="EJ4" s="12">
        <f>IF('Données projet'!$A$192&gt;35,EJ3+EI4-ER3,IF(A4&lt;'Données projet'!$A$192,$EG$205^A4,IF(A4='Données projet'!$A$192,'Données projet'!$B$192,EJ3+EI4-ER3)))</f>
        <v>1.1886563890642909</v>
      </c>
      <c r="EK4" s="17">
        <f>EJ4*VLOOKUP('Données projet'!$B$15,Paramètres!$A$1:$I$89,3,0)*VLOOKUP('Données projet'!$B$15,Paramètres!$A$1:$I$89,5,0)</f>
        <v>1.2980127768582057</v>
      </c>
      <c r="EL4" s="13">
        <f>EXP(-1.0587+0.8836*LN(EK4)+0.284)</f>
        <v>0.5802903660380152</v>
      </c>
      <c r="EM4" s="20">
        <f t="shared" ref="EM4:EM67" si="19">(EK4+EL4)*0.475*44/12</f>
        <v>3.2713779738775846</v>
      </c>
      <c r="EN4" s="59">
        <f t="shared" ref="EN4:EN67" si="20">EM4+(EE4+EF4)*44/12</f>
        <v>296.60471130721089</v>
      </c>
      <c r="EO4" s="59">
        <f ca="1">AVERAGE(OFFSET($EN$3,0,0,'Données projet'!$E$15+1,1))-AVERAGE(OFFSET($H$3,0,0,'Données projet'!$E$15+1,1))</f>
        <v>173.63857221119594</v>
      </c>
      <c r="EP4" s="59">
        <f>$EP$3</f>
        <v>52.373745617370105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6.2923076923076922</v>
      </c>
      <c r="N5" s="13">
        <f>IF('Données projet'!$A$36&gt;35,N4+M5-V4,IF(A5&lt;'Données projet'!$A$36,$K$205^A5,IF(A5='Données projet'!$A$36,'Données projet'!$B$36,N4+M5-V4)))</f>
        <v>2.0558836509549634</v>
      </c>
      <c r="O5" s="13">
        <f>N5*VLOOKUP('Données projet'!$B$9,Paramètres!$A$1:$I$89,3,0)*VLOOKUP('Données projet'!$B$9,Paramètres!$A$1:$I$89,5,0)</f>
        <v>1.2294184232710683</v>
      </c>
      <c r="P5" s="13">
        <f t="shared" ref="P5:P68" si="33">EXP(-1.0587+0.8836*LN(O5)+0.284)</f>
        <v>0.55310901209439789</v>
      </c>
      <c r="Q5" s="20">
        <f t="shared" si="2"/>
        <v>3.1045686165948538</v>
      </c>
      <c r="R5" s="59">
        <f t="shared" si="0"/>
        <v>296.43790194992818</v>
      </c>
      <c r="S5" s="59">
        <f ca="1">AVERAGE(OFFSET($R$3,0,0,'Données projet'!$E$9+1,1))-AVERAGE(OFFSET($H$3,0,0,'Données projet'!$E$9+1,1))</f>
        <v>199.58634493109349</v>
      </c>
      <c r="T5" s="59">
        <f t="shared" ref="T5:T68" si="34">$T$3</f>
        <v>288.66487031729008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6.25</v>
      </c>
      <c r="AI5" s="13">
        <f>IF('Données projet'!$A$62&gt;35,AI4+AH5-AQ4,IF(A5&lt;'Données projet'!$A$62,$AF$205^A5,IF(A5='Données projet'!$A$62,'Données projet'!$B$62,AI4+AH5-AQ4)))</f>
        <v>1.6206565966927624</v>
      </c>
      <c r="AJ5" s="13">
        <f>AI5*VLOOKUP('Données projet'!$B$10,Paramètres!$A$1:$I$89,3,0)*VLOOKUP('Données projet'!$B$10,Paramètres!$A$1:$I$89,5,0)</f>
        <v>0.96915264482227192</v>
      </c>
      <c r="AK5" s="13">
        <f t="shared" ref="AK5:AK68" si="35">EXP(-1.0587+0.8836*LN(AJ5)+0.284)</f>
        <v>0.44825815553786791</v>
      </c>
      <c r="AL5" s="20">
        <f t="shared" si="4"/>
        <v>2.4686571439605767</v>
      </c>
      <c r="AM5" s="59">
        <f t="shared" si="5"/>
        <v>295.80199047729388</v>
      </c>
      <c r="AN5" s="59">
        <f ca="1">AVERAGE(OFFSET($AM$3,0,0,'Données projet'!$E$10+1,1))-AVERAGE(OFFSET($H$3,0,0,'Données projet'!$E$10+1,1))</f>
        <v>395.40396173178527</v>
      </c>
      <c r="AO5" s="59">
        <f t="shared" ref="AO5:AO68" si="36">$AO$3</f>
        <v>304.68075128568756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19.399999999999999</v>
      </c>
      <c r="BD5" s="12">
        <f>IF('Données projet'!$A$88&gt;35,BD4+BC5-BL4,IF(A5&lt;'Données projet'!$A$88,$BA$205^A5,IF(A5='Données projet'!$A$88,'Données projet'!$B$88,BD4+BC5-BL4)))</f>
        <v>2.8678758443153631</v>
      </c>
      <c r="BE5" s="13">
        <f>BD5*VLOOKUP('Données projet'!$B$11,Paramètres!$A$1:$I$89,3,0)*VLOOKUP('Données projet'!$B$11,Paramètres!$A$1:$I$89,5,0)</f>
        <v>2.5053763375939018</v>
      </c>
      <c r="BF5" s="13">
        <f t="shared" ref="BF5:BF68" si="37">EXP(-1.0587+0.8836*LN(BE5)+0.284)</f>
        <v>1.0375193910645806</v>
      </c>
      <c r="BG5" s="20">
        <f t="shared" si="7"/>
        <v>6.1705433940801901</v>
      </c>
      <c r="BH5" s="59">
        <f t="shared" si="8"/>
        <v>299.50387672741351</v>
      </c>
      <c r="BI5" s="59">
        <f ca="1">AVERAGE(OFFSET($BH$3,0,0,'Données projet'!$E$11+1,1))-AVERAGE(OFFSET($H$3,0,0,'Données projet'!$E$11+1,1))</f>
        <v>249.21292089724221</v>
      </c>
      <c r="BJ5" s="59">
        <f t="shared" ref="BJ5:BJ68" si="38">$BJ$3</f>
        <v>640.80644476065254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3.45</v>
      </c>
      <c r="BY5" s="12">
        <f>IF('Données projet'!$A$114&gt;35,BY4+BX5-CG4,IF(A5&lt;'Données projet'!$A$114,$BV$205^A5,IF(A5='Données projet'!$A$114,'Données projet'!$B$114,BY4+BX5-CG4)))</f>
        <v>1.5271612967071428</v>
      </c>
      <c r="BZ5" s="13">
        <f>BY5*VLOOKUP('Données projet'!$B$12,Paramètres!$A$1:$I$89,3,0)*VLOOKUP('Données projet'!$B$12,Paramètres!$A$1:$I$89,5,0)</f>
        <v>1.2388332438888345</v>
      </c>
      <c r="CA5" s="13">
        <f t="shared" ref="CA5:CA68" si="39">EXP(-1.0587+0.8836*LN(BZ5)+0.284)</f>
        <v>0.55684999496347387</v>
      </c>
      <c r="CB5" s="20">
        <f t="shared" si="10"/>
        <v>3.1274816410011042</v>
      </c>
      <c r="CC5" s="59">
        <f t="shared" si="11"/>
        <v>296.46081497433443</v>
      </c>
      <c r="CD5" s="59">
        <f ca="1">AVERAGE(OFFSET($CC$3,0,0,'Données projet'!$E$12+1,1))-AVERAGE(OFFSET($H$3,0,0,'Données projet'!$E$12+1,1))</f>
        <v>192.4785660463869</v>
      </c>
      <c r="CE5" s="59">
        <f t="shared" ref="CE5:CE68" si="40">$CE$3</f>
        <v>165.11095806515362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2.85</v>
      </c>
      <c r="CT5" s="12">
        <f>IF('Données projet'!$A$140&gt;35,CT4+CS5-DB4,IF(A5&lt;'Données projet'!$A$140,$CQ$205^A5,IF(A5='Données projet'!$A$140,'Données projet'!$B$140,CT4+CS5-DB4)))</f>
        <v>1.4982610367903493</v>
      </c>
      <c r="CU5" s="17">
        <f>CT5*VLOOKUP('Données projet'!$B$13,Paramètres!$A$1:$I$89,3,0)*VLOOKUP('Données projet'!$B$13,Paramètres!$A$1:$I$89,5,0)</f>
        <v>1.2621350973921903</v>
      </c>
      <c r="CV5" s="13">
        <f t="shared" ref="CV5:CV68" si="41">EXP(-1.0587+0.8836*LN(CU5)+0.284)</f>
        <v>0.56609482974009984</v>
      </c>
      <c r="CW5" s="20">
        <f t="shared" si="13"/>
        <v>3.1841671230887383</v>
      </c>
      <c r="CX5" s="59">
        <f t="shared" si="14"/>
        <v>296.51750045642206</v>
      </c>
      <c r="CY5" s="59">
        <f ca="1">AVERAGE(OFFSET($CX$3,0,0,'Données projet'!$E$13+1,1))-AVERAGE(OFFSET($H$3,0,0,'Données projet'!$E$13+1,1))</f>
        <v>247.67539667223065</v>
      </c>
      <c r="CZ5" s="59">
        <f t="shared" ref="CZ5:CZ68" si="42">$CZ$3</f>
        <v>174.54442616983778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2.9235042735042733</v>
      </c>
      <c r="DO5" s="12">
        <f>IF('Données projet'!$A$166&gt;35,DO4+DN5-DW4,IF(A5&lt;'Données projet'!$A$166,$DL$205^A5,IF(A5='Données projet'!$A$166,'Données projet'!$B$166,DO4+DN5-DW4)))</f>
        <v>1.3475193156576519</v>
      </c>
      <c r="DP5" s="17">
        <f>DO5*VLOOKUP('Données projet'!$B$14,Paramètres!$A$1:$I$89,3,0)*VLOOKUP('Données projet'!$B$14,Paramètres!$A$1:$I$89,5,0)</f>
        <v>1.3453632847525998</v>
      </c>
      <c r="DQ5" s="13">
        <f t="shared" ref="DQ5:DQ68" si="43">EXP(-1.0587+0.8836*LN(DP5)+0.284)</f>
        <v>0.59895571103929102</v>
      </c>
      <c r="DR5" s="20">
        <f t="shared" si="16"/>
        <v>3.3863555843375432</v>
      </c>
      <c r="DS5" s="59">
        <f t="shared" si="17"/>
        <v>296.71968891767085</v>
      </c>
      <c r="DT5" s="59">
        <f ca="1">AVERAGE(OFFSET($DS$3,0,0,'Données projet'!$E$14+1,1))-AVERAGE(OFFSET($H$3,0,0,'Données projet'!$E$14+1,1))</f>
        <v>245.06609107649069</v>
      </c>
      <c r="DU5" s="59">
        <f t="shared" ref="DU5:DU68" si="44">$DU$3</f>
        <v>156.24531945456499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0.56307116877815078</v>
      </c>
      <c r="EJ5" s="12">
        <f>IF('Données projet'!$A$192&gt;35,EJ4+EI5-ER4,IF(A5&lt;'Données projet'!$A$192,$EG$205^A5,IF(A5='Données projet'!$A$192,'Données projet'!$B$192,EJ4+EI5-ER4)))</f>
        <v>1.4129040112633591</v>
      </c>
      <c r="EK5" s="17">
        <f>EJ5*VLOOKUP('Données projet'!$B$15,Paramètres!$A$1:$I$89,3,0)*VLOOKUP('Données projet'!$B$15,Paramètres!$A$1:$I$89,5,0)</f>
        <v>1.5428911802995882</v>
      </c>
      <c r="EL5" s="13">
        <f t="shared" ref="EL5:EL68" si="45">EXP(-1.0587+0.8836*LN(EK5)+0.284)</f>
        <v>0.67602869850297775</v>
      </c>
      <c r="EM5" s="20">
        <f t="shared" si="19"/>
        <v>3.8646187889144685</v>
      </c>
      <c r="EN5" s="59">
        <f t="shared" si="20"/>
        <v>297.19795212224778</v>
      </c>
      <c r="EO5" s="59">
        <f ca="1">AVERAGE(OFFSET($EN$3,0,0,'Données projet'!$E$15+1,1))-AVERAGE(OFFSET($H$3,0,0,'Données projet'!$E$15+1,1))</f>
        <v>173.63857221119594</v>
      </c>
      <c r="EP5" s="59">
        <f t="shared" ref="EP5:EP68" si="46">$EP$3</f>
        <v>52.373745617370105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6.2923076923076922</v>
      </c>
      <c r="N6" s="13">
        <f>IF('Données projet'!$A$36&gt;35,N5+M6-V5,IF(A6&lt;'Données projet'!$A$36,$K$205^A6,IF(A6='Données projet'!$A$36,'Données projet'!$B$36,N5+M6-V5)))</f>
        <v>2.9477985395519721</v>
      </c>
      <c r="O6" s="13">
        <f>N6*VLOOKUP('Données projet'!$B$9,Paramètres!$A$1:$I$89,3,0)*VLOOKUP('Données projet'!$B$9,Paramètres!$A$1:$I$89,5,0)</f>
        <v>1.7627835266520795</v>
      </c>
      <c r="P6" s="13">
        <f t="shared" si="33"/>
        <v>0.76048996295151394</v>
      </c>
      <c r="Q6" s="20">
        <f t="shared" si="2"/>
        <v>4.3947013277262581</v>
      </c>
      <c r="R6" s="59">
        <f t="shared" si="0"/>
        <v>297.72803466105955</v>
      </c>
      <c r="S6" s="59">
        <f ca="1">AVERAGE(OFFSET($R$3,0,0,'Données projet'!$E$9+1,1))-AVERAGE(OFFSET($H$3,0,0,'Données projet'!$E$9+1,1))</f>
        <v>199.58634493109349</v>
      </c>
      <c r="T6" s="59">
        <f t="shared" si="34"/>
        <v>288.66487031729008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6.25</v>
      </c>
      <c r="AI6" s="13">
        <f>IF('Données projet'!$A$62&gt;35,AI5+AH6-AQ5,IF(A6&lt;'Données projet'!$A$62,$AF$205^A6,IF(A6='Données projet'!$A$62,'Données projet'!$B$62,AI5+AH6-AQ5)))</f>
        <v>2.0631770676807948</v>
      </c>
      <c r="AJ6" s="13">
        <f>AI6*VLOOKUP('Données projet'!$B$10,Paramètres!$A$1:$I$89,3,0)*VLOOKUP('Données projet'!$B$10,Paramètres!$A$1:$I$89,5,0)</f>
        <v>1.2337798864731153</v>
      </c>
      <c r="AK6" s="13">
        <f t="shared" si="35"/>
        <v>0.5548424543464141</v>
      </c>
      <c r="AL6" s="20">
        <f t="shared" si="4"/>
        <v>3.1151839102606806</v>
      </c>
      <c r="AM6" s="59">
        <f t="shared" si="5"/>
        <v>296.44851724359398</v>
      </c>
      <c r="AN6" s="59">
        <f ca="1">AVERAGE(OFFSET($AM$3,0,0,'Données projet'!$E$10+1,1))-AVERAGE(OFFSET($H$3,0,0,'Données projet'!$E$10+1,1))</f>
        <v>395.40396173178527</v>
      </c>
      <c r="AO6" s="59">
        <f t="shared" si="36"/>
        <v>304.68075128568756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19.399999999999999</v>
      </c>
      <c r="BD6" s="12">
        <f>IF('Données projet'!$A$88&gt;35,BD5+BC6-BL5,IF(A6&lt;'Données projet'!$A$88,$BA$205^A6,IF(A6='Données projet'!$A$88,'Données projet'!$B$88,BD5+BC6-BL5)))</f>
        <v>4.8566915143110698</v>
      </c>
      <c r="BE6" s="13">
        <f>BD6*VLOOKUP('Données projet'!$B$11,Paramètres!$A$1:$I$89,3,0)*VLOOKUP('Données projet'!$B$11,Paramètres!$A$1:$I$89,5,0)</f>
        <v>4.2428057069021508</v>
      </c>
      <c r="BF6" s="13">
        <f t="shared" si="37"/>
        <v>1.6525187019802952</v>
      </c>
      <c r="BG6" s="20">
        <f t="shared" si="7"/>
        <v>10.267690012136926</v>
      </c>
      <c r="BH6" s="59">
        <f t="shared" si="8"/>
        <v>303.60102334547025</v>
      </c>
      <c r="BI6" s="59">
        <f ca="1">AVERAGE(OFFSET($BH$3,0,0,'Données projet'!$E$11+1,1))-AVERAGE(OFFSET($H$3,0,0,'Données projet'!$E$11+1,1))</f>
        <v>249.21292089724221</v>
      </c>
      <c r="BJ6" s="59">
        <f t="shared" si="38"/>
        <v>640.80644476065254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3.45</v>
      </c>
      <c r="BY6" s="12">
        <f>IF('Données projet'!$A$114&gt;35,BY5+BX6-CG5,IF(A6&lt;'Données projet'!$A$114,$BV$205^A6,IF(A6='Données projet'!$A$114,'Données projet'!$B$114,BY5+BX6-CG5)))</f>
        <v>1.8872410028439177</v>
      </c>
      <c r="BZ6" s="13">
        <f>BY6*VLOOKUP('Données projet'!$B$12,Paramètres!$A$1:$I$89,3,0)*VLOOKUP('Données projet'!$B$12,Paramètres!$A$1:$I$89,5,0)</f>
        <v>1.5309299015069862</v>
      </c>
      <c r="CA6" s="13">
        <f t="shared" si="39"/>
        <v>0.67139572696994554</v>
      </c>
      <c r="CB6" s="20">
        <f t="shared" si="10"/>
        <v>3.8357171362639897</v>
      </c>
      <c r="CC6" s="59">
        <f t="shared" si="11"/>
        <v>297.16905046959732</v>
      </c>
      <c r="CD6" s="59">
        <f ca="1">AVERAGE(OFFSET($CC$3,0,0,'Données projet'!$E$12+1,1))-AVERAGE(OFFSET($H$3,0,0,'Données projet'!$E$12+1,1))</f>
        <v>192.4785660463869</v>
      </c>
      <c r="CE6" s="59">
        <f t="shared" si="40"/>
        <v>165.11095806515362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2.85</v>
      </c>
      <c r="CT6" s="12">
        <f>IF('Données projet'!$A$140&gt;35,CT5+CS6-DB5,IF(A6&lt;'Données projet'!$A$140,$CQ$205^A6,IF(A6='Données projet'!$A$140,'Données projet'!$B$140,CT5+CS6-DB5)))</f>
        <v>1.8339235537625185</v>
      </c>
      <c r="CU6" s="17">
        <f>CT6*VLOOKUP('Données projet'!$B$13,Paramètres!$A$1:$I$89,3,0)*VLOOKUP('Données projet'!$B$13,Paramètres!$A$1:$I$89,5,0)</f>
        <v>1.5448972016895457</v>
      </c>
      <c r="CV6" s="13">
        <f t="shared" si="41"/>
        <v>0.67680528217432823</v>
      </c>
      <c r="CW6" s="20">
        <f t="shared" si="13"/>
        <v>3.8694651593962472</v>
      </c>
      <c r="CX6" s="59">
        <f t="shared" si="14"/>
        <v>297.20279849272958</v>
      </c>
      <c r="CY6" s="59">
        <f ca="1">AVERAGE(OFFSET($CX$3,0,0,'Données projet'!$E$13+1,1))-AVERAGE(OFFSET($H$3,0,0,'Données projet'!$E$13+1,1))</f>
        <v>247.67539667223065</v>
      </c>
      <c r="CZ6" s="59">
        <f t="shared" si="42"/>
        <v>174.54442616983778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2.9235042735042733</v>
      </c>
      <c r="DO6" s="12">
        <f>IF('Données projet'!$A$166&gt;35,DO5+DN6-DW5,IF(A6&lt;'Données projet'!$A$166,$DL$205^A6,IF(A6='Données projet'!$A$166,'Données projet'!$B$166,DO5+DN6-DW5)))</f>
        <v>1.5642367998361231</v>
      </c>
      <c r="DP6" s="17">
        <f>DO6*VLOOKUP('Données projet'!$B$14,Paramètres!$A$1:$I$89,3,0)*VLOOKUP('Données projet'!$B$14,Paramètres!$A$1:$I$89,5,0)</f>
        <v>1.5617340209563855</v>
      </c>
      <c r="DQ6" s="13">
        <f t="shared" si="43"/>
        <v>0.68331864795954822</v>
      </c>
      <c r="DR6" s="20">
        <f t="shared" si="16"/>
        <v>3.9101333983619173</v>
      </c>
      <c r="DS6" s="59">
        <f t="shared" si="17"/>
        <v>297.24346673169521</v>
      </c>
      <c r="DT6" s="59">
        <f ca="1">AVERAGE(OFFSET($DS$3,0,0,'Données projet'!$E$14+1,1))-AVERAGE(OFFSET($H$3,0,0,'Données projet'!$E$14+1,1))</f>
        <v>245.06609107649069</v>
      </c>
      <c r="DU6" s="59">
        <f t="shared" si="44"/>
        <v>156.24531945456499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0.56307116877815078</v>
      </c>
      <c r="EJ6" s="12">
        <f>IF('Données projet'!$A$192&gt;35,EJ5+EI6-ER5,IF(A6&lt;'Données projet'!$A$192,$EG$205^A6,IF(A6='Données projet'!$A$192,'Données projet'!$B$192,EJ5+EI6-ER5)))</f>
        <v>1.6794573801227566</v>
      </c>
      <c r="EK6" s="17">
        <f>EJ6*VLOOKUP('Données projet'!$B$15,Paramètres!$A$1:$I$89,3,0)*VLOOKUP('Données projet'!$B$15,Paramètres!$A$1:$I$89,5,0)</f>
        <v>1.8339674590940502</v>
      </c>
      <c r="EL6" s="13">
        <f t="shared" si="45"/>
        <v>0.78756227562408065</v>
      </c>
      <c r="EM6" s="20">
        <f t="shared" si="19"/>
        <v>4.5658309546340776</v>
      </c>
      <c r="EN6" s="59">
        <f t="shared" si="20"/>
        <v>297.89916428796738</v>
      </c>
      <c r="EO6" s="59">
        <f ca="1">AVERAGE(OFFSET($EN$3,0,0,'Données projet'!$E$15+1,1))-AVERAGE(OFFSET($H$3,0,0,'Données projet'!$E$15+1,1))</f>
        <v>173.63857221119594</v>
      </c>
      <c r="EP6" s="59">
        <f t="shared" si="46"/>
        <v>52.373745617370105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6.2923076923076922</v>
      </c>
      <c r="N7" s="13">
        <f>IF('Données projet'!$A$36&gt;35,N6+M7-V6,IF(A7&lt;'Données projet'!$A$36,$K$205^A7,IF(A7='Données projet'!$A$36,'Données projet'!$B$36,N6+M7-V6)))</f>
        <v>4.2266575862639097</v>
      </c>
      <c r="O7" s="13">
        <f>N7*VLOOKUP('Données projet'!$B$9,Paramètres!$A$1:$I$89,3,0)*VLOOKUP('Données projet'!$B$9,Paramètres!$A$1:$I$89,5,0)</f>
        <v>2.5275412365858183</v>
      </c>
      <c r="P7" s="13">
        <f t="shared" si="33"/>
        <v>1.0456256743314287</v>
      </c>
      <c r="Q7" s="20">
        <f t="shared" si="2"/>
        <v>6.2232657031808714</v>
      </c>
      <c r="R7" s="59">
        <f t="shared" si="0"/>
        <v>299.55659903651417</v>
      </c>
      <c r="S7" s="59">
        <f ca="1">AVERAGE(OFFSET($R$3,0,0,'Données projet'!$E$9+1,1))-AVERAGE(OFFSET($H$3,0,0,'Données projet'!$E$9+1,1))</f>
        <v>199.58634493109349</v>
      </c>
      <c r="T7" s="59">
        <f t="shared" si="34"/>
        <v>288.66487031729008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6.25</v>
      </c>
      <c r="AI7" s="13">
        <f>IF('Données projet'!$A$62&gt;35,AI6+AH7-AQ6,IF(A7&lt;'Données projet'!$A$62,$AF$205^A7,IF(A7='Données projet'!$A$62,'Données projet'!$B$62,AI6+AH7-AQ6)))</f>
        <v>2.626527804403767</v>
      </c>
      <c r="AJ7" s="13">
        <f>AI7*VLOOKUP('Données projet'!$B$10,Paramètres!$A$1:$I$89,3,0)*VLOOKUP('Données projet'!$B$10,Paramètres!$A$1:$I$89,5,0)</f>
        <v>1.5706636270334526</v>
      </c>
      <c r="AK7" s="13">
        <f t="shared" si="35"/>
        <v>0.68676976724664618</v>
      </c>
      <c r="AL7" s="20">
        <f t="shared" si="4"/>
        <v>3.9316964950378392</v>
      </c>
      <c r="AM7" s="59">
        <f t="shared" si="5"/>
        <v>297.26502982837115</v>
      </c>
      <c r="AN7" s="59">
        <f ca="1">AVERAGE(OFFSET($AM$3,0,0,'Données projet'!$E$10+1,1))-AVERAGE(OFFSET($H$3,0,0,'Données projet'!$E$10+1,1))</f>
        <v>395.40396173178527</v>
      </c>
      <c r="AO7" s="59">
        <f t="shared" si="36"/>
        <v>304.68075128568756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19.399999999999999</v>
      </c>
      <c r="BD7" s="12">
        <f>IF('Données projet'!$A$88&gt;35,BD6+BC7-BL6,IF(A7&lt;'Données projet'!$A$88,$BA$205^A7,IF(A7='Données projet'!$A$88,'Données projet'!$B$88,BD6+BC7-BL6)))</f>
        <v>8.2247118584075576</v>
      </c>
      <c r="BE7" s="13">
        <f>BD7*VLOOKUP('Données projet'!$B$11,Paramètres!$A$1:$I$89,3,0)*VLOOKUP('Données projet'!$B$11,Paramètres!$A$1:$I$89,5,0)</f>
        <v>7.1851082795048429</v>
      </c>
      <c r="BF7" s="13">
        <f t="shared" si="37"/>
        <v>2.6320645993831451</v>
      </c>
      <c r="BG7" s="20">
        <f t="shared" si="7"/>
        <v>17.098242764063244</v>
      </c>
      <c r="BH7" s="59">
        <f t="shared" si="8"/>
        <v>310.43157609739654</v>
      </c>
      <c r="BI7" s="59">
        <f ca="1">AVERAGE(OFFSET($BH$3,0,0,'Données projet'!$E$11+1,1))-AVERAGE(OFFSET($H$3,0,0,'Données projet'!$E$11+1,1))</f>
        <v>249.21292089724221</v>
      </c>
      <c r="BJ7" s="59">
        <f t="shared" si="38"/>
        <v>640.80644476065254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3.45</v>
      </c>
      <c r="BY7" s="12">
        <f>IF('Données projet'!$A$114&gt;35,BY6+BX7-CG6,IF(A7&lt;'Données projet'!$A$114,$BV$205^A7,IF(A7='Données projet'!$A$114,'Données projet'!$B$114,BY6+BX7-CG6)))</f>
        <v>2.332221626160242</v>
      </c>
      <c r="BZ7" s="13">
        <f>BY7*VLOOKUP('Données projet'!$B$12,Paramètres!$A$1:$I$89,3,0)*VLOOKUP('Données projet'!$B$12,Paramètres!$A$1:$I$89,5,0)</f>
        <v>1.8918981831411885</v>
      </c>
      <c r="CA7" s="13">
        <f t="shared" si="39"/>
        <v>0.80950386328560486</v>
      </c>
      <c r="CB7" s="20">
        <f t="shared" si="10"/>
        <v>4.7049418975266653</v>
      </c>
      <c r="CC7" s="59">
        <f t="shared" si="11"/>
        <v>298.03827523085999</v>
      </c>
      <c r="CD7" s="59">
        <f ca="1">AVERAGE(OFFSET($CC$3,0,0,'Données projet'!$E$12+1,1))-AVERAGE(OFFSET($H$3,0,0,'Données projet'!$E$12+1,1))</f>
        <v>192.4785660463869</v>
      </c>
      <c r="CE7" s="59">
        <f t="shared" si="40"/>
        <v>165.11095806515362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2.85</v>
      </c>
      <c r="CT7" s="12">
        <f>IF('Données projet'!$A$140&gt;35,CT6+CS7-DB6,IF(A7&lt;'Données projet'!$A$140,$CQ$205^A7,IF(A7='Données projet'!$A$140,'Données projet'!$B$140,CT6+CS7-DB6)))</f>
        <v>2.2447861343640922</v>
      </c>
      <c r="CU7" s="17">
        <f>CT7*VLOOKUP('Données projet'!$B$13,Paramètres!$A$1:$I$89,3,0)*VLOOKUP('Données projet'!$B$13,Paramètres!$A$1:$I$89,5,0)</f>
        <v>1.8910078395883116</v>
      </c>
      <c r="CV7" s="13">
        <f t="shared" si="41"/>
        <v>0.80916723826885117</v>
      </c>
      <c r="CW7" s="20">
        <f t="shared" si="13"/>
        <v>4.7028049272678913</v>
      </c>
      <c r="CX7" s="59">
        <f t="shared" si="14"/>
        <v>298.03613826060121</v>
      </c>
      <c r="CY7" s="59">
        <f ca="1">AVERAGE(OFFSET($CX$3,0,0,'Données projet'!$E$13+1,1))-AVERAGE(OFFSET($H$3,0,0,'Données projet'!$E$13+1,1))</f>
        <v>247.67539667223065</v>
      </c>
      <c r="CZ7" s="59">
        <f t="shared" si="42"/>
        <v>174.54442616983778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2.9235042735042733</v>
      </c>
      <c r="DO7" s="12">
        <f>IF('Données projet'!$A$166&gt;35,DO6+DN7-DW6,IF(A7&lt;'Données projet'!$A$166,$DL$205^A7,IF(A7='Données projet'!$A$166,'Données projet'!$B$166,DO6+DN7-DW6)))</f>
        <v>1.8158083060704666</v>
      </c>
      <c r="DP7" s="17">
        <f>DO7*VLOOKUP('Données projet'!$B$14,Paramètres!$A$1:$I$89,3,0)*VLOOKUP('Données projet'!$B$14,Paramètres!$A$1:$I$89,5,0)</f>
        <v>1.8129030127807539</v>
      </c>
      <c r="DQ7" s="13">
        <f t="shared" si="43"/>
        <v>0.77956410806914422</v>
      </c>
      <c r="DR7" s="20">
        <f t="shared" si="16"/>
        <v>4.5152135688135724</v>
      </c>
      <c r="DS7" s="59">
        <f t="shared" si="17"/>
        <v>297.84854690214689</v>
      </c>
      <c r="DT7" s="59">
        <f ca="1">AVERAGE(OFFSET($DS$3,0,0,'Données projet'!$E$14+1,1))-AVERAGE(OFFSET($H$3,0,0,'Données projet'!$E$14+1,1))</f>
        <v>245.06609107649069</v>
      </c>
      <c r="DU7" s="59">
        <f t="shared" si="44"/>
        <v>156.24531945456499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0.56307116877815078</v>
      </c>
      <c r="EJ7" s="12">
        <f>IF('Données projet'!$A$192&gt;35,EJ6+EI7-ER6,IF(A7&lt;'Données projet'!$A$192,$EG$205^A7,IF(A7='Données projet'!$A$192,'Données projet'!$B$192,EJ6+EI7-ER6)))</f>
        <v>1.9962977450440904</v>
      </c>
      <c r="EK7" s="17">
        <f>EJ7*VLOOKUP('Données projet'!$B$15,Paramètres!$A$1:$I$89,3,0)*VLOOKUP('Données projet'!$B$15,Paramètres!$A$1:$I$89,5,0)</f>
        <v>2.179957137588147</v>
      </c>
      <c r="EL7" s="13">
        <f t="shared" si="45"/>
        <v>0.9174970520625737</v>
      </c>
      <c r="EM7" s="20">
        <f t="shared" si="19"/>
        <v>5.3947327136416723</v>
      </c>
      <c r="EN7" s="59">
        <f t="shared" si="20"/>
        <v>298.72806604697496</v>
      </c>
      <c r="EO7" s="59">
        <f ca="1">AVERAGE(OFFSET($EN$3,0,0,'Données projet'!$E$15+1,1))-AVERAGE(OFFSET($H$3,0,0,'Données projet'!$E$15+1,1))</f>
        <v>173.63857221119594</v>
      </c>
      <c r="EP7" s="59">
        <f t="shared" si="46"/>
        <v>52.373745617370105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6.2923076923076922</v>
      </c>
      <c r="N8" s="13">
        <f>IF('Données projet'!$A$36&gt;35,N7+M8-V7,IF(A8&lt;'Données projet'!$A$36,$K$205^A8,IF(A8='Données projet'!$A$36,'Données projet'!$B$36,N7+M8-V7)))</f>
        <v>6.0603308237738176</v>
      </c>
      <c r="O8" s="13">
        <f>N8*VLOOKUP('Données projet'!$B$9,Paramètres!$A$1:$I$89,3,0)*VLOOKUP('Données projet'!$B$9,Paramètres!$A$1:$I$89,5,0)</f>
        <v>3.6240778326167429</v>
      </c>
      <c r="P8" s="13">
        <f t="shared" si="33"/>
        <v>1.4376692712389705</v>
      </c>
      <c r="Q8" s="20">
        <f t="shared" si="2"/>
        <v>8.8158762058820344</v>
      </c>
      <c r="R8" s="59">
        <f t="shared" si="0"/>
        <v>302.14920953921535</v>
      </c>
      <c r="S8" s="59">
        <f ca="1">AVERAGE(OFFSET($R$3,0,0,'Données projet'!$E$9+1,1))-AVERAGE(OFFSET($H$3,0,0,'Données projet'!$E$9+1,1))</f>
        <v>199.58634493109349</v>
      </c>
      <c r="T8" s="59">
        <f t="shared" si="34"/>
        <v>288.66487031729008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6.25</v>
      </c>
      <c r="AI8" s="13">
        <f>IF('Données projet'!$A$62&gt;35,AI7+AH8-AQ7,IF(A8&lt;'Données projet'!$A$62,$AF$205^A8,IF(A8='Données projet'!$A$62,'Données projet'!$B$62,AI7+AH8-AQ7)))</f>
        <v>3.3437015248821096</v>
      </c>
      <c r="AJ8" s="13">
        <f>AI8*VLOOKUP('Données projet'!$B$10,Paramètres!$A$1:$I$89,3,0)*VLOOKUP('Données projet'!$B$10,Paramètres!$A$1:$I$89,5,0)</f>
        <v>1.9995335118795017</v>
      </c>
      <c r="AK8" s="13">
        <f t="shared" si="35"/>
        <v>0.85006601335076981</v>
      </c>
      <c r="AL8" s="20">
        <f t="shared" si="4"/>
        <v>4.9630525064427227</v>
      </c>
      <c r="AM8" s="59">
        <f t="shared" si="5"/>
        <v>298.29638583977606</v>
      </c>
      <c r="AN8" s="59">
        <f ca="1">AVERAGE(OFFSET($AM$3,0,0,'Données projet'!$E$10+1,1))-AVERAGE(OFFSET($H$3,0,0,'Données projet'!$E$10+1,1))</f>
        <v>395.40396173178527</v>
      </c>
      <c r="AO8" s="59">
        <f t="shared" si="36"/>
        <v>304.68075128568756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19.399999999999999</v>
      </c>
      <c r="BD8" s="12">
        <f>IF('Données projet'!$A$88&gt;35,BD7+BC8-BL7,IF(A8&lt;'Données projet'!$A$88,$BA$205^A8,IF(A8='Données projet'!$A$88,'Données projet'!$B$88,BD7+BC8-BL7)))</f>
        <v>13.928388277184119</v>
      </c>
      <c r="BE8" s="13">
        <f>BD8*VLOOKUP('Données projet'!$B$11,Paramètres!$A$1:$I$89,3,0)*VLOOKUP('Données projet'!$B$11,Paramètres!$A$1:$I$89,5,0)</f>
        <v>12.167839998948049</v>
      </c>
      <c r="BF8" s="13">
        <f t="shared" si="37"/>
        <v>4.1922454777813236</v>
      </c>
      <c r="BG8" s="20">
        <f t="shared" si="7"/>
        <v>28.493815538636991</v>
      </c>
      <c r="BH8" s="59">
        <f t="shared" si="8"/>
        <v>321.82714887197028</v>
      </c>
      <c r="BI8" s="59">
        <f ca="1">AVERAGE(OFFSET($BH$3,0,0,'Données projet'!$E$11+1,1))-AVERAGE(OFFSET($H$3,0,0,'Données projet'!$E$11+1,1))</f>
        <v>249.21292089724221</v>
      </c>
      <c r="BJ8" s="59">
        <f t="shared" si="38"/>
        <v>640.80644476065254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3.45</v>
      </c>
      <c r="BY8" s="12">
        <f>IF('Données projet'!$A$114&gt;35,BY7+BX8-CG7,IF(A8&lt;'Données projet'!$A$114,$BV$205^A8,IF(A8='Données projet'!$A$114,'Données projet'!$B$114,BY7+BX8-CG7)))</f>
        <v>2.882121417102006</v>
      </c>
      <c r="BZ8" s="13">
        <f>BY8*VLOOKUP('Données projet'!$B$12,Paramètres!$A$1:$I$89,3,0)*VLOOKUP('Données projet'!$B$12,Paramètres!$A$1:$I$89,5,0)</f>
        <v>2.3379768935531478</v>
      </c>
      <c r="CA8" s="13">
        <f t="shared" si="39"/>
        <v>0.97602126190423766</v>
      </c>
      <c r="CB8" s="20">
        <f t="shared" si="10"/>
        <v>5.7718801207549459</v>
      </c>
      <c r="CC8" s="59">
        <f t="shared" si="11"/>
        <v>299.10521345408824</v>
      </c>
      <c r="CD8" s="59">
        <f ca="1">AVERAGE(OFFSET($CC$3,0,0,'Données projet'!$E$12+1,1))-AVERAGE(OFFSET($H$3,0,0,'Données projet'!$E$12+1,1))</f>
        <v>192.4785660463869</v>
      </c>
      <c r="CE8" s="59">
        <f t="shared" si="40"/>
        <v>165.11095806515362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2.85</v>
      </c>
      <c r="CT8" s="12">
        <f>IF('Données projet'!$A$140&gt;35,CT7+CS8-DB7,IF(A8&lt;'Données projet'!$A$140,$CQ$205^A8,IF(A8='Données projet'!$A$140,'Données projet'!$B$140,CT7+CS8-DB7)))</f>
        <v>2.7476962050544729</v>
      </c>
      <c r="CU8" s="17">
        <f>CT8*VLOOKUP('Données projet'!$B$13,Paramètres!$A$1:$I$89,3,0)*VLOOKUP('Données projet'!$B$13,Paramètres!$A$1:$I$89,5,0)</f>
        <v>2.314659283137888</v>
      </c>
      <c r="CV8" s="13">
        <f t="shared" si="41"/>
        <v>0.96741505530831817</v>
      </c>
      <c r="CW8" s="20">
        <f t="shared" si="13"/>
        <v>5.7162794727938087</v>
      </c>
      <c r="CX8" s="59">
        <f t="shared" si="14"/>
        <v>299.04961280612713</v>
      </c>
      <c r="CY8" s="59">
        <f ca="1">AVERAGE(OFFSET($CX$3,0,0,'Données projet'!$E$13+1,1))-AVERAGE(OFFSET($H$3,0,0,'Données projet'!$E$13+1,1))</f>
        <v>247.67539667223065</v>
      </c>
      <c r="CZ8" s="59">
        <f t="shared" si="42"/>
        <v>174.54442616983778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2.9235042735042733</v>
      </c>
      <c r="DO8" s="12">
        <f>IF('Données projet'!$A$166&gt;35,DO7+DN8-DW7,IF(A8&lt;'Données projet'!$A$166,$DL$205^A8,IF(A8='Données projet'!$A$166,'Données projet'!$B$166,DO7+DN8-DW7)))</f>
        <v>2.1078393020416879</v>
      </c>
      <c r="DP8" s="17">
        <f>DO8*VLOOKUP('Données projet'!$B$14,Paramètres!$A$1:$I$89,3,0)*VLOOKUP('Données projet'!$B$14,Paramètres!$A$1:$I$89,5,0)</f>
        <v>2.1044667591584214</v>
      </c>
      <c r="DQ8" s="13">
        <f t="shared" si="43"/>
        <v>0.88936574525567014</v>
      </c>
      <c r="DR8" s="20">
        <f t="shared" si="16"/>
        <v>5.2142582785212097</v>
      </c>
      <c r="DS8" s="59">
        <f t="shared" si="17"/>
        <v>298.5475916118545</v>
      </c>
      <c r="DT8" s="59">
        <f ca="1">AVERAGE(OFFSET($DS$3,0,0,'Données projet'!$E$14+1,1))-AVERAGE(OFFSET($H$3,0,0,'Données projet'!$E$14+1,1))</f>
        <v>245.06609107649069</v>
      </c>
      <c r="DU8" s="59">
        <f t="shared" si="44"/>
        <v>156.24531945456499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0.56307116877815078</v>
      </c>
      <c r="EJ8" s="12">
        <f>IF('Données projet'!$A$192&gt;35,EJ7+EI8-ER7,IF(A8&lt;'Données projet'!$A$192,$EG$205^A8,IF(A8='Données projet'!$A$192,'Données projet'!$B$192,EJ7+EI8-ER7)))</f>
        <v>2.3729120691212948</v>
      </c>
      <c r="EK8" s="17">
        <f>EJ8*VLOOKUP('Données projet'!$B$15,Paramètres!$A$1:$I$89,3,0)*VLOOKUP('Données projet'!$B$15,Paramètres!$A$1:$I$89,5,0)</f>
        <v>2.5912199794804538</v>
      </c>
      <c r="EL8" s="13">
        <f t="shared" si="45"/>
        <v>1.0688689219864578</v>
      </c>
      <c r="EM8" s="20">
        <f t="shared" si="19"/>
        <v>6.374654836721537</v>
      </c>
      <c r="EN8" s="59">
        <f t="shared" si="20"/>
        <v>299.70798817005488</v>
      </c>
      <c r="EO8" s="59">
        <f ca="1">AVERAGE(OFFSET($EN$3,0,0,'Données projet'!$E$15+1,1))-AVERAGE(OFFSET($H$3,0,0,'Données projet'!$E$15+1,1))</f>
        <v>173.63857221119594</v>
      </c>
      <c r="EP8" s="59">
        <f t="shared" si="46"/>
        <v>52.373745617370105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6.2923076923076922</v>
      </c>
      <c r="N9" s="13">
        <f>IF('Données projet'!$A$36&gt;35,N8+M9-V8,IF(A9&lt;'Données projet'!$A$36,$K$205^A9,IF(A9='Données projet'!$A$36,'Données projet'!$B$36,N8+M9-V8)))</f>
        <v>8.6895162297847399</v>
      </c>
      <c r="O9" s="13">
        <f>N9*VLOOKUP('Données projet'!$B$9,Paramètres!$A$1:$I$89,3,0)*VLOOKUP('Données projet'!$B$9,Paramètres!$A$1:$I$89,5,0)</f>
        <v>5.1963307054112748</v>
      </c>
      <c r="P9" s="13">
        <f t="shared" si="33"/>
        <v>1.9767044595441492</v>
      </c>
      <c r="Q9" s="20">
        <f t="shared" si="2"/>
        <v>12.493036245630696</v>
      </c>
      <c r="R9" s="59">
        <f t="shared" si="0"/>
        <v>305.82636957896403</v>
      </c>
      <c r="S9" s="59">
        <f ca="1">AVERAGE(OFFSET($R$3,0,0,'Données projet'!$E$9+1,1))-AVERAGE(OFFSET($H$3,0,0,'Données projet'!$E$9+1,1))</f>
        <v>199.58634493109349</v>
      </c>
      <c r="T9" s="59">
        <f t="shared" si="34"/>
        <v>288.66487031729008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6.25</v>
      </c>
      <c r="AI9" s="13">
        <f>IF('Données projet'!$A$62&gt;35,AI8+AH9-AQ8,IF(A9&lt;'Données projet'!$A$62,$AF$205^A9,IF(A9='Données projet'!$A$62,'Données projet'!$B$62,AI8+AH9-AQ8)))</f>
        <v>4.2566996126039225</v>
      </c>
      <c r="AJ9" s="13">
        <f>AI9*VLOOKUP('Données projet'!$B$10,Paramètres!$A$1:$I$89,3,0)*VLOOKUP('Données projet'!$B$10,Paramètres!$A$1:$I$89,5,0)</f>
        <v>2.5455063683371457</v>
      </c>
      <c r="AK9" s="13">
        <f t="shared" si="35"/>
        <v>1.0521899208684189</v>
      </c>
      <c r="AL9" s="20">
        <f t="shared" si="4"/>
        <v>6.2659877036996905</v>
      </c>
      <c r="AM9" s="59">
        <f t="shared" si="5"/>
        <v>299.59932103703301</v>
      </c>
      <c r="AN9" s="59">
        <f ca="1">AVERAGE(OFFSET($AM$3,0,0,'Données projet'!$E$10+1,1))-AVERAGE(OFFSET($H$3,0,0,'Données projet'!$E$10+1,1))</f>
        <v>395.40396173178527</v>
      </c>
      <c r="AO9" s="59">
        <f t="shared" si="36"/>
        <v>304.68075128568756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19.399999999999999</v>
      </c>
      <c r="BD9" s="12">
        <f>IF('Données projet'!$A$88&gt;35,BD8+BC9-BL8,IF(A9&lt;'Données projet'!$A$88,$BA$205^A9,IF(A9='Données projet'!$A$88,'Données projet'!$B$88,BD8+BC9-BL8)))</f>
        <v>23.587452465181155</v>
      </c>
      <c r="BE9" s="13">
        <f>BD9*VLOOKUP('Données projet'!$B$11,Paramètres!$A$1:$I$89,3,0)*VLOOKUP('Données projet'!$B$11,Paramètres!$A$1:$I$89,5,0)</f>
        <v>20.605998473582257</v>
      </c>
      <c r="BF9" s="13">
        <f t="shared" si="37"/>
        <v>6.6772381460914172</v>
      </c>
      <c r="BG9" s="20">
        <f t="shared" si="7"/>
        <v>47.518303779264976</v>
      </c>
      <c r="BH9" s="59">
        <f t="shared" si="8"/>
        <v>340.85163711259827</v>
      </c>
      <c r="BI9" s="59">
        <f ca="1">AVERAGE(OFFSET($BH$3,0,0,'Données projet'!$E$11+1,1))-AVERAGE(OFFSET($H$3,0,0,'Données projet'!$E$11+1,1))</f>
        <v>249.21292089724221</v>
      </c>
      <c r="BJ9" s="59">
        <f t="shared" si="38"/>
        <v>640.80644476065254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3.45</v>
      </c>
      <c r="BY9" s="12">
        <f>IF('Données projet'!$A$114&gt;35,BY8+BX9-CG8,IF(A9&lt;'Données projet'!$A$114,$BV$205^A9,IF(A9='Données projet'!$A$114,'Données projet'!$B$114,BY8+BX9-CG8)))</f>
        <v>3.5616786028153165</v>
      </c>
      <c r="BZ9" s="13">
        <f>BY9*VLOOKUP('Données projet'!$B$12,Paramètres!$A$1:$I$89,3,0)*VLOOKUP('Données projet'!$B$12,Paramètres!$A$1:$I$89,5,0)</f>
        <v>2.889233682603785</v>
      </c>
      <c r="CA9" s="13">
        <f t="shared" si="39"/>
        <v>1.1767917942017814</v>
      </c>
      <c r="CB9" s="20">
        <f t="shared" si="10"/>
        <v>7.0816610387696945</v>
      </c>
      <c r="CC9" s="59">
        <f t="shared" si="11"/>
        <v>300.41499437210302</v>
      </c>
      <c r="CD9" s="59">
        <f ca="1">AVERAGE(OFFSET($CC$3,0,0,'Données projet'!$E$12+1,1))-AVERAGE(OFFSET($H$3,0,0,'Données projet'!$E$12+1,1))</f>
        <v>192.4785660463869</v>
      </c>
      <c r="CE9" s="59">
        <f t="shared" si="40"/>
        <v>165.11095806515362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2.85</v>
      </c>
      <c r="CT9" s="12">
        <f>IF('Données projet'!$A$140&gt;35,CT8+CS9-DB8,IF(A9&lt;'Données projet'!$A$140,$CQ$205^A9,IF(A9='Données projet'!$A$140,'Données projet'!$B$140,CT8+CS9-DB8)))</f>
        <v>3.3632756010449452</v>
      </c>
      <c r="CU9" s="17">
        <f>CT9*VLOOKUP('Données projet'!$B$13,Paramètres!$A$1:$I$89,3,0)*VLOOKUP('Données projet'!$B$13,Paramètres!$A$1:$I$89,5,0)</f>
        <v>2.8332233663202619</v>
      </c>
      <c r="CV9" s="13">
        <f t="shared" si="41"/>
        <v>1.1566111984952114</v>
      </c>
      <c r="CW9" s="20">
        <f t="shared" si="13"/>
        <v>6.9489618670536162</v>
      </c>
      <c r="CX9" s="59">
        <f t="shared" si="14"/>
        <v>300.28229520038695</v>
      </c>
      <c r="CY9" s="59">
        <f ca="1">AVERAGE(OFFSET($CX$3,0,0,'Données projet'!$E$13+1,1))-AVERAGE(OFFSET($H$3,0,0,'Données projet'!$E$13+1,1))</f>
        <v>247.67539667223065</v>
      </c>
      <c r="CZ9" s="59">
        <f t="shared" si="42"/>
        <v>174.54442616983778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2.9235042735042733</v>
      </c>
      <c r="DO9" s="12">
        <f>IF('Données projet'!$A$166&gt;35,DO8+DN9-DW8,IF(A9&lt;'Données projet'!$A$166,$DL$205^A9,IF(A9='Données projet'!$A$166,'Données projet'!$B$166,DO8+DN9-DW8)))</f>
        <v>2.4468367659615553</v>
      </c>
      <c r="DP9" s="17">
        <f>DO9*VLOOKUP('Données projet'!$B$14,Paramètres!$A$1:$I$89,3,0)*VLOOKUP('Données projet'!$B$14,Paramètres!$A$1:$I$89,5,0)</f>
        <v>2.4429218271360171</v>
      </c>
      <c r="DQ9" s="13">
        <f t="shared" si="43"/>
        <v>1.0146329476266978</v>
      </c>
      <c r="DR9" s="20">
        <f t="shared" si="16"/>
        <v>6.0219078993783954</v>
      </c>
      <c r="DS9" s="59">
        <f t="shared" si="17"/>
        <v>299.35524123271171</v>
      </c>
      <c r="DT9" s="59">
        <f ca="1">AVERAGE(OFFSET($DS$3,0,0,'Données projet'!$E$14+1,1))-AVERAGE(OFFSET($H$3,0,0,'Données projet'!$E$14+1,1))</f>
        <v>245.06609107649069</v>
      </c>
      <c r="DU9" s="59">
        <f t="shared" si="44"/>
        <v>156.24531945456499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0.56307116877815078</v>
      </c>
      <c r="EJ9" s="12">
        <f>IF('Données projet'!$A$192&gt;35,EJ8+EI9-ER8,IF(A9&lt;'Données projet'!$A$192,$EG$205^A9,IF(A9='Données projet'!$A$192,'Données projet'!$B$192,EJ8+EI9-ER8)))</f>
        <v>2.820577091648794</v>
      </c>
      <c r="EK9" s="17">
        <f>EJ9*VLOOKUP('Données projet'!$B$15,Paramètres!$A$1:$I$89,3,0)*VLOOKUP('Données projet'!$B$15,Paramètres!$A$1:$I$89,5,0)</f>
        <v>3.0800701840804829</v>
      </c>
      <c r="EL9" s="13">
        <f t="shared" si="45"/>
        <v>1.2452146519927734</v>
      </c>
      <c r="EM9" s="20">
        <f t="shared" si="19"/>
        <v>7.5332044228275885</v>
      </c>
      <c r="EN9" s="59">
        <f t="shared" si="20"/>
        <v>300.86653775616088</v>
      </c>
      <c r="EO9" s="59">
        <f ca="1">AVERAGE(OFFSET($EN$3,0,0,'Données projet'!$E$15+1,1))-AVERAGE(OFFSET($H$3,0,0,'Données projet'!$E$15+1,1))</f>
        <v>173.63857221119594</v>
      </c>
      <c r="EP9" s="59">
        <f t="shared" si="46"/>
        <v>52.373745617370105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6.2923076923076922</v>
      </c>
      <c r="N10" s="13">
        <f>IF('Données projet'!$A$36&gt;35,N9+M10-V9,IF(A10&lt;'Données projet'!$A$36,$K$205^A10,IF(A10='Données projet'!$A$36,'Données projet'!$B$36,N9+M10-V9)))</f>
        <v>12.459335059975016</v>
      </c>
      <c r="O10" s="13">
        <f>N10*VLOOKUP('Données projet'!$B$9,Paramètres!$A$1:$I$89,3,0)*VLOOKUP('Données projet'!$B$9,Paramètres!$A$1:$I$89,5,0)</f>
        <v>7.4506823658650605</v>
      </c>
      <c r="P10" s="13">
        <f t="shared" si="33"/>
        <v>2.7178438035434924</v>
      </c>
      <c r="Q10" s="20">
        <f t="shared" si="2"/>
        <v>17.710183078386564</v>
      </c>
      <c r="R10" s="59">
        <f t="shared" si="0"/>
        <v>311.04351641171991</v>
      </c>
      <c r="S10" s="59">
        <f ca="1">AVERAGE(OFFSET($R$3,0,0,'Données projet'!$E$9+1,1))-AVERAGE(OFFSET($H$3,0,0,'Données projet'!$E$9+1,1))</f>
        <v>199.58634493109349</v>
      </c>
      <c r="T10" s="59">
        <f t="shared" si="34"/>
        <v>288.66487031729008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6.25</v>
      </c>
      <c r="AI10" s="13">
        <f>IF('Données projet'!$A$62&gt;35,AI9+AH10-AQ9,IF(A10&lt;'Données projet'!$A$62,$AF$205^A10,IF(A10='Données projet'!$A$62,'Données projet'!$B$62,AI9+AH10-AQ9)))</f>
        <v>5.4189919336718404</v>
      </c>
      <c r="AJ10" s="13">
        <f>AI10*VLOOKUP('Données projet'!$B$10,Paramètres!$A$1:$I$89,3,0)*VLOOKUP('Données projet'!$B$10,Paramètres!$A$1:$I$89,5,0)</f>
        <v>3.240557176335761</v>
      </c>
      <c r="AK10" s="13">
        <f t="shared" si="35"/>
        <v>1.3023737123816248</v>
      </c>
      <c r="AL10" s="20">
        <f t="shared" si="4"/>
        <v>7.9122712978494478</v>
      </c>
      <c r="AM10" s="59">
        <f t="shared" si="5"/>
        <v>301.24560463118274</v>
      </c>
      <c r="AN10" s="59">
        <f ca="1">AVERAGE(OFFSET($AM$3,0,0,'Données projet'!$E$10+1,1))-AVERAGE(OFFSET($H$3,0,0,'Données projet'!$E$10+1,1))</f>
        <v>395.40396173178527</v>
      </c>
      <c r="AO10" s="59">
        <f t="shared" si="36"/>
        <v>304.68075128568756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19.399999999999999</v>
      </c>
      <c r="BD10" s="12">
        <f>IF('Données projet'!$A$88&gt;35,BD9+BC10-BL9,IF(A10&lt;'Données projet'!$A$88,$BA$205^A10,IF(A10='Données projet'!$A$88,'Données projet'!$B$88,BD9+BC10-BL9)))</f>
        <v>39.944888290381613</v>
      </c>
      <c r="BE10" s="13">
        <f>BD10*VLOOKUP('Données projet'!$B$11,Paramètres!$A$1:$I$89,3,0)*VLOOKUP('Données projet'!$B$11,Paramètres!$A$1:$I$89,5,0)</f>
        <v>34.895854410477384</v>
      </c>
      <c r="BF10" s="13">
        <f t="shared" si="37"/>
        <v>10.63523343180144</v>
      </c>
      <c r="BG10" s="20">
        <f t="shared" si="7"/>
        <v>79.299977991968944</v>
      </c>
      <c r="BH10" s="59">
        <f t="shared" si="8"/>
        <v>372.63331132530226</v>
      </c>
      <c r="BI10" s="59">
        <f ca="1">AVERAGE(OFFSET($BH$3,0,0,'Données projet'!$E$11+1,1))-AVERAGE(OFFSET($H$3,0,0,'Données projet'!$E$11+1,1))</f>
        <v>249.21292089724221</v>
      </c>
      <c r="BJ10" s="59">
        <f t="shared" si="38"/>
        <v>640.80644476065254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3.45</v>
      </c>
      <c r="BY10" s="12">
        <f>IF('Données projet'!$A$114&gt;35,BY9+BX10-CG9,IF(A10&lt;'Données projet'!$A$114,$BV$205^A10,IF(A10='Données projet'!$A$114,'Données projet'!$B$114,BY9+BX10-CG9)))</f>
        <v>4.4014642806089279</v>
      </c>
      <c r="BZ10" s="13">
        <f>BY10*VLOOKUP('Données projet'!$B$12,Paramètres!$A$1:$I$89,3,0)*VLOOKUP('Données projet'!$B$12,Paramètres!$A$1:$I$89,5,0)</f>
        <v>3.5704678244299624</v>
      </c>
      <c r="CA10" s="13">
        <f t="shared" si="39"/>
        <v>1.4188614336113932</v>
      </c>
      <c r="CB10" s="20">
        <f t="shared" si="10"/>
        <v>8.6897484577553605</v>
      </c>
      <c r="CC10" s="59">
        <f t="shared" si="11"/>
        <v>302.02308179108866</v>
      </c>
      <c r="CD10" s="59">
        <f ca="1">AVERAGE(OFFSET($CC$3,0,0,'Données projet'!$E$12+1,1))-AVERAGE(OFFSET($H$3,0,0,'Données projet'!$E$12+1,1))</f>
        <v>192.4785660463869</v>
      </c>
      <c r="CE10" s="59">
        <f t="shared" si="40"/>
        <v>165.11095806515362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2.85</v>
      </c>
      <c r="CT10" s="12">
        <f>IF('Données projet'!$A$140&gt;35,CT9+CS10-DB9,IF(A10&lt;'Données projet'!$A$140,$CQ$205^A10,IF(A10='Données projet'!$A$140,'Données projet'!$B$140,CT9+CS10-DB9)))</f>
        <v>4.116766164969822</v>
      </c>
      <c r="CU10" s="17">
        <f>CT10*VLOOKUP('Données projet'!$B$13,Paramètres!$A$1:$I$89,3,0)*VLOOKUP('Données projet'!$B$13,Paramètres!$A$1:$I$89,5,0)</f>
        <v>3.467963817370578</v>
      </c>
      <c r="CV10" s="13">
        <f t="shared" si="41"/>
        <v>1.3828081929717175</v>
      </c>
      <c r="CW10" s="20">
        <f t="shared" si="13"/>
        <v>8.4484279180128308</v>
      </c>
      <c r="CX10" s="59">
        <f t="shared" si="14"/>
        <v>301.78176125134615</v>
      </c>
      <c r="CY10" s="59">
        <f ca="1">AVERAGE(OFFSET($CX$3,0,0,'Données projet'!$E$13+1,1))-AVERAGE(OFFSET($H$3,0,0,'Données projet'!$E$13+1,1))</f>
        <v>247.67539667223065</v>
      </c>
      <c r="CZ10" s="59">
        <f t="shared" si="42"/>
        <v>174.54442616983778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2.9235042735042733</v>
      </c>
      <c r="DO10" s="12">
        <f>IF('Données projet'!$A$166&gt;35,DO9+DN10-DW9,IF(A10&lt;'Données projet'!$A$166,$DL$205^A10,IF(A10='Données projet'!$A$166,'Données projet'!$B$166,DO9+DN10-DW9)))</f>
        <v>2.8403541738035183</v>
      </c>
      <c r="DP10" s="17">
        <f>DO10*VLOOKUP('Données projet'!$B$14,Paramètres!$A$1:$I$89,3,0)*VLOOKUP('Données projet'!$B$14,Paramètres!$A$1:$I$89,5,0)</f>
        <v>2.8358096071254328</v>
      </c>
      <c r="DQ10" s="13">
        <f t="shared" si="43"/>
        <v>1.1575440406845126</v>
      </c>
      <c r="DR10" s="20">
        <f t="shared" si="16"/>
        <v>6.9550909366023212</v>
      </c>
      <c r="DS10" s="59">
        <f t="shared" si="17"/>
        <v>300.28842426993566</v>
      </c>
      <c r="DT10" s="59">
        <f ca="1">AVERAGE(OFFSET($DS$3,0,0,'Données projet'!$E$14+1,1))-AVERAGE(OFFSET($H$3,0,0,'Données projet'!$E$14+1,1))</f>
        <v>245.06609107649069</v>
      </c>
      <c r="DU10" s="59">
        <f t="shared" si="44"/>
        <v>156.24531945456499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0.56307116877815078</v>
      </c>
      <c r="EJ10" s="12">
        <f>IF('Données projet'!$A$192&gt;35,EJ9+EI10-ER9,IF(A10&lt;'Données projet'!$A$192,$EG$205^A10,IF(A10='Données projet'!$A$192,'Données projet'!$B$192,EJ9+EI10-ER9)))</f>
        <v>3.3526969808367149</v>
      </c>
      <c r="EK10" s="17">
        <f>EJ10*VLOOKUP('Données projet'!$B$15,Paramètres!$A$1:$I$89,3,0)*VLOOKUP('Données projet'!$B$15,Paramètres!$A$1:$I$89,5,0)</f>
        <v>3.6611451030736921</v>
      </c>
      <c r="EL10" s="13">
        <f t="shared" si="45"/>
        <v>1.4506545167912814</v>
      </c>
      <c r="EM10" s="20">
        <f t="shared" si="19"/>
        <v>8.9030510045981615</v>
      </c>
      <c r="EN10" s="59">
        <f t="shared" si="20"/>
        <v>302.2363843379315</v>
      </c>
      <c r="EO10" s="59">
        <f ca="1">AVERAGE(OFFSET($EN$3,0,0,'Données projet'!$E$15+1,1))-AVERAGE(OFFSET($H$3,0,0,'Données projet'!$E$15+1,1))</f>
        <v>173.63857221119594</v>
      </c>
      <c r="EP10" s="59">
        <f t="shared" si="46"/>
        <v>52.373745617370105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6.2923076923076922</v>
      </c>
      <c r="N11" s="13">
        <f>IF('Données projet'!$A$36&gt;35,N10+M11-V10,IF(A11&lt;'Données projet'!$A$36,$K$205^A11,IF(A11='Données projet'!$A$36,'Données projet'!$B$36,N10+M11-V10)))</f>
        <v>17.864634351522259</v>
      </c>
      <c r="O11" s="13">
        <f>N11*VLOOKUP('Données projet'!$B$9,Paramètres!$A$1:$I$89,3,0)*VLOOKUP('Données projet'!$B$9,Paramètres!$A$1:$I$89,5,0)</f>
        <v>10.683051342210311</v>
      </c>
      <c r="P11" s="13">
        <f t="shared" si="33"/>
        <v>3.7368635988018237</v>
      </c>
      <c r="Q11" s="20">
        <f t="shared" si="2"/>
        <v>25.114685188929467</v>
      </c>
      <c r="R11" s="59">
        <f t="shared" si="0"/>
        <v>318.44801852226277</v>
      </c>
      <c r="S11" s="59">
        <f ca="1">AVERAGE(OFFSET($R$3,0,0,'Données projet'!$E$9+1,1))-AVERAGE(OFFSET($H$3,0,0,'Données projet'!$E$9+1,1))</f>
        <v>199.58634493109349</v>
      </c>
      <c r="T11" s="59">
        <f t="shared" si="34"/>
        <v>288.66487031729008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6.25</v>
      </c>
      <c r="AI11" s="13">
        <f>IF('Données projet'!$A$62&gt;35,AI10+AH11-AQ10,IF(A11&lt;'Données projet'!$A$62,$AF$205^A11,IF(A11='Données projet'!$A$62,'Données projet'!$B$62,AI10+AH11-AQ10)))</f>
        <v>6.8986483073060727</v>
      </c>
      <c r="AJ11" s="13">
        <f>AI11*VLOOKUP('Données projet'!$B$10,Paramètres!$A$1:$I$89,3,0)*VLOOKUP('Données projet'!$B$10,Paramètres!$A$1:$I$89,5,0)</f>
        <v>4.1253916877690324</v>
      </c>
      <c r="AK11" s="13">
        <f t="shared" si="35"/>
        <v>1.6120447963450972</v>
      </c>
      <c r="AL11" s="20">
        <f t="shared" si="4"/>
        <v>9.9927018764987761</v>
      </c>
      <c r="AM11" s="59">
        <f t="shared" si="5"/>
        <v>303.32603520983207</v>
      </c>
      <c r="AN11" s="59">
        <f ca="1">AVERAGE(OFFSET($AM$3,0,0,'Données projet'!$E$10+1,1))-AVERAGE(OFFSET($H$3,0,0,'Données projet'!$E$10+1,1))</f>
        <v>395.40396173178527</v>
      </c>
      <c r="AO11" s="59">
        <f t="shared" si="36"/>
        <v>304.68075128568756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19.399999999999999</v>
      </c>
      <c r="BD11" s="12">
        <f>IF('Données projet'!$A$88&gt;35,BD10+BC11-BL10,IF(A11&lt;'Données projet'!$A$88,$BA$205^A11,IF(A11='Données projet'!$A$88,'Données projet'!$B$88,BD10+BC11-BL10)))</f>
        <v>67.645885153829894</v>
      </c>
      <c r="BE11" s="13">
        <f>BD11*VLOOKUP('Données projet'!$B$11,Paramètres!$A$1:$I$89,3,0)*VLOOKUP('Données projet'!$B$11,Paramètres!$A$1:$I$89,5,0)</f>
        <v>59.095445270385802</v>
      </c>
      <c r="BF11" s="13">
        <f t="shared" si="37"/>
        <v>16.939367396251399</v>
      </c>
      <c r="BG11" s="20">
        <f t="shared" si="7"/>
        <v>132.42729872772648</v>
      </c>
      <c r="BH11" s="59">
        <f t="shared" si="8"/>
        <v>425.76063206105982</v>
      </c>
      <c r="BI11" s="59">
        <f ca="1">AVERAGE(OFFSET($BH$3,0,0,'Données projet'!$E$11+1,1))-AVERAGE(OFFSET($H$3,0,0,'Données projet'!$E$11+1,1))</f>
        <v>249.21292089724221</v>
      </c>
      <c r="BJ11" s="59">
        <f t="shared" si="38"/>
        <v>640.80644476065254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3.45</v>
      </c>
      <c r="BY11" s="12">
        <f>IF('Données projet'!$A$114&gt;35,BY10+BX11-CG10,IF(A11&lt;'Données projet'!$A$114,$BV$205^A11,IF(A11='Données projet'!$A$114,'Données projet'!$B$114,BY10+BX11-CG10)))</f>
        <v>5.4392577135295239</v>
      </c>
      <c r="BZ11" s="13">
        <f>BY11*VLOOKUP('Données projet'!$B$12,Paramètres!$A$1:$I$89,3,0)*VLOOKUP('Données projet'!$B$12,Paramètres!$A$1:$I$89,5,0)</f>
        <v>4.4123258572151505</v>
      </c>
      <c r="CA11" s="13">
        <f t="shared" si="39"/>
        <v>1.7107255316606886</v>
      </c>
      <c r="CB11" s="20">
        <f t="shared" si="10"/>
        <v>10.664314502292086</v>
      </c>
      <c r="CC11" s="59">
        <f t="shared" si="11"/>
        <v>303.9976478356254</v>
      </c>
      <c r="CD11" s="59">
        <f ca="1">AVERAGE(OFFSET($CC$3,0,0,'Données projet'!$E$12+1,1))-AVERAGE(OFFSET($H$3,0,0,'Données projet'!$E$12+1,1))</f>
        <v>192.4785660463869</v>
      </c>
      <c r="CE11" s="59">
        <f t="shared" si="40"/>
        <v>165.11095806515362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2.85</v>
      </c>
      <c r="CT11" s="12">
        <f>IF('Données projet'!$A$140&gt;35,CT10+CS11-DB10,IF(A11&lt;'Données projet'!$A$140,$CQ$205^A11,IF(A11='Données projet'!$A$140,'Données projet'!$B$140,CT10+CS11-DB10)))</f>
        <v>5.0390647890332847</v>
      </c>
      <c r="CU11" s="17">
        <f>CT11*VLOOKUP('Données projet'!$B$13,Paramètres!$A$1:$I$89,3,0)*VLOOKUP('Données projet'!$B$13,Paramètres!$A$1:$I$89,5,0)</f>
        <v>4.2449081782816389</v>
      </c>
      <c r="CV11" s="13">
        <f t="shared" si="41"/>
        <v>1.6532422485944174</v>
      </c>
      <c r="CW11" s="20">
        <f t="shared" si="13"/>
        <v>10.272611993475797</v>
      </c>
      <c r="CX11" s="59">
        <f t="shared" si="14"/>
        <v>303.60594532680909</v>
      </c>
      <c r="CY11" s="59">
        <f ca="1">AVERAGE(OFFSET($CX$3,0,0,'Données projet'!$E$13+1,1))-AVERAGE(OFFSET($H$3,0,0,'Données projet'!$E$13+1,1))</f>
        <v>247.67539667223065</v>
      </c>
      <c r="CZ11" s="59">
        <f t="shared" si="42"/>
        <v>174.54442616983778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2.9235042735042733</v>
      </c>
      <c r="DO11" s="12">
        <f>IF('Données projet'!$A$166&gt;35,DO10+DN11-DW10,IF(A11&lt;'Données projet'!$A$166,$DL$205^A11,IF(A11='Données projet'!$A$166,'Données projet'!$B$166,DO10+DN11-DW10)))</f>
        <v>3.2971598043944974</v>
      </c>
      <c r="DP11" s="17">
        <f>DO11*VLOOKUP('Données projet'!$B$14,Paramètres!$A$1:$I$89,3,0)*VLOOKUP('Données projet'!$B$14,Paramètres!$A$1:$I$89,5,0)</f>
        <v>3.2918843487074665</v>
      </c>
      <c r="DQ11" s="13">
        <f t="shared" si="43"/>
        <v>1.3205841671693925</v>
      </c>
      <c r="DR11" s="20">
        <f t="shared" si="16"/>
        <v>8.033382665152196</v>
      </c>
      <c r="DS11" s="59">
        <f t="shared" si="17"/>
        <v>301.36671599848552</v>
      </c>
      <c r="DT11" s="59">
        <f ca="1">AVERAGE(OFFSET($DS$3,0,0,'Données projet'!$E$14+1,1))-AVERAGE(OFFSET($H$3,0,0,'Données projet'!$E$14+1,1))</f>
        <v>245.06609107649069</v>
      </c>
      <c r="DU11" s="59">
        <f t="shared" si="44"/>
        <v>156.24531945456499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0.56307116877815078</v>
      </c>
      <c r="EJ11" s="12">
        <f>IF('Données projet'!$A$192&gt;35,EJ10+EI11-ER10,IF(A11&lt;'Données projet'!$A$192,$EG$205^A11,IF(A11='Données projet'!$A$192,'Données projet'!$B$192,EJ10+EI11-ER10)))</f>
        <v>3.9852046868681201</v>
      </c>
      <c r="EK11" s="17">
        <f>EJ11*VLOOKUP('Données projet'!$B$15,Paramètres!$A$1:$I$89,3,0)*VLOOKUP('Données projet'!$B$15,Paramètres!$A$1:$I$89,5,0)</f>
        <v>4.3518435180599875</v>
      </c>
      <c r="EL11" s="13">
        <f t="shared" si="45"/>
        <v>1.6899885684120266</v>
      </c>
      <c r="EM11" s="20">
        <f t="shared" si="19"/>
        <v>10.522857550605424</v>
      </c>
      <c r="EN11" s="59">
        <f t="shared" si="20"/>
        <v>303.85619088393872</v>
      </c>
      <c r="EO11" s="59">
        <f ca="1">AVERAGE(OFFSET($EN$3,0,0,'Données projet'!$E$15+1,1))-AVERAGE(OFFSET($H$3,0,0,'Données projet'!$E$15+1,1))</f>
        <v>173.63857221119594</v>
      </c>
      <c r="EP11" s="59">
        <f t="shared" si="46"/>
        <v>52.373745617370105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6.2923076923076922</v>
      </c>
      <c r="N12" s="13">
        <f>IF('Données projet'!$A$36&gt;35,N11+M12-V11,IF(A12&lt;'Données projet'!$A$36,$K$205^A12,IF(A12='Données projet'!$A$36,'Données projet'!$B$36,N11+M12-V11)))</f>
        <v>25.614943251572615</v>
      </c>
      <c r="O12" s="13">
        <f>N12*VLOOKUP('Données projet'!$B$9,Paramètres!$A$1:$I$89,3,0)*VLOOKUP('Données projet'!$B$9,Paramètres!$A$1:$I$89,5,0)</f>
        <v>15.317736064440425</v>
      </c>
      <c r="P12" s="13">
        <f t="shared" si="33"/>
        <v>5.1379514664690502</v>
      </c>
      <c r="Q12" s="20">
        <f t="shared" si="2"/>
        <v>35.626989116334002</v>
      </c>
      <c r="R12" s="59">
        <f t="shared" si="0"/>
        <v>328.96032244966733</v>
      </c>
      <c r="S12" s="59">
        <f ca="1">AVERAGE(OFFSET($R$3,0,0,'Données projet'!$E$9+1,1))-AVERAGE(OFFSET($H$3,0,0,'Données projet'!$E$9+1,1))</f>
        <v>199.58634493109349</v>
      </c>
      <c r="T12" s="59">
        <f t="shared" si="34"/>
        <v>288.66487031729008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6.25</v>
      </c>
      <c r="AI12" s="13">
        <f>IF('Données projet'!$A$62&gt;35,AI11+AH12-AQ11,IF(A12&lt;'Données projet'!$A$62,$AF$205^A12,IF(A12='Données projet'!$A$62,'Données projet'!$B$62,AI11+AH12-AQ11)))</f>
        <v>8.7823250247301345</v>
      </c>
      <c r="AJ12" s="13">
        <f>AI12*VLOOKUP('Données projet'!$B$10,Paramètres!$A$1:$I$89,3,0)*VLOOKUP('Données projet'!$B$10,Paramètres!$A$1:$I$89,5,0)</f>
        <v>5.2518303647886206</v>
      </c>
      <c r="AK12" s="13">
        <f t="shared" si="35"/>
        <v>1.9953477260157044</v>
      </c>
      <c r="AL12" s="20">
        <f t="shared" si="4"/>
        <v>12.622168508150866</v>
      </c>
      <c r="AM12" s="59">
        <f t="shared" si="5"/>
        <v>305.95550184148419</v>
      </c>
      <c r="AN12" s="59">
        <f ca="1">AVERAGE(OFFSET($AM$3,0,0,'Données projet'!$E$10+1,1))-AVERAGE(OFFSET($H$3,0,0,'Données projet'!$E$10+1,1))</f>
        <v>395.40396173178527</v>
      </c>
      <c r="AO12" s="59">
        <f t="shared" si="36"/>
        <v>304.68075128568756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19.399999999999999</v>
      </c>
      <c r="BD12" s="12">
        <f>IF('Données projet'!$A$88&gt;35,BD11+BC12-BL11,IF(A12&lt;'Données projet'!$A$88,$BA$205^A12,IF(A12='Données projet'!$A$88,'Données projet'!$B$88,BD11+BC12-BL11)))</f>
        <v>114.55698023186103</v>
      </c>
      <c r="BE12" s="13">
        <f>BD12*VLOOKUP('Données projet'!$B$11,Paramètres!$A$1:$I$89,3,0)*VLOOKUP('Données projet'!$B$11,Paramètres!$A$1:$I$89,5,0)</f>
        <v>100.07697793055381</v>
      </c>
      <c r="BF12" s="13">
        <f t="shared" si="37"/>
        <v>26.980335657435727</v>
      </c>
      <c r="BG12" s="20">
        <f t="shared" si="7"/>
        <v>221.2914878324151</v>
      </c>
      <c r="BH12" s="59">
        <f t="shared" si="8"/>
        <v>514.62482116574847</v>
      </c>
      <c r="BI12" s="59">
        <f ca="1">AVERAGE(OFFSET($BH$3,0,0,'Données projet'!$E$11+1,1))-AVERAGE(OFFSET($H$3,0,0,'Données projet'!$E$11+1,1))</f>
        <v>249.21292089724221</v>
      </c>
      <c r="BJ12" s="59">
        <f t="shared" si="38"/>
        <v>640.80644476065254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3.45</v>
      </c>
      <c r="BY12" s="12">
        <f>IF('Données projet'!$A$114&gt;35,BY11+BX12-CG11,IF(A12&lt;'Données projet'!$A$114,$BV$205^A12,IF(A12='Données projet'!$A$114,'Données projet'!$B$114,BY11+BX12-CG11)))</f>
        <v>6.7217458981849019</v>
      </c>
      <c r="BZ12" s="13">
        <f>BY12*VLOOKUP('Données projet'!$B$12,Paramètres!$A$1:$I$89,3,0)*VLOOKUP('Données projet'!$B$12,Paramètres!$A$1:$I$89,5,0)</f>
        <v>5.4526802726075925</v>
      </c>
      <c r="CA12" s="13">
        <f t="shared" si="39"/>
        <v>2.0626269594394349</v>
      </c>
      <c r="CB12" s="20">
        <f t="shared" si="10"/>
        <v>13.089160095815238</v>
      </c>
      <c r="CC12" s="59">
        <f t="shared" si="11"/>
        <v>306.42249342914857</v>
      </c>
      <c r="CD12" s="59">
        <f ca="1">AVERAGE(OFFSET($CC$3,0,0,'Données projet'!$E$12+1,1))-AVERAGE(OFFSET($H$3,0,0,'Données projet'!$E$12+1,1))</f>
        <v>192.4785660463869</v>
      </c>
      <c r="CE12" s="59">
        <f t="shared" si="40"/>
        <v>165.11095806515362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2.85</v>
      </c>
      <c r="CT12" s="12">
        <f>IF('Données projet'!$A$140&gt;35,CT11+CS12-DB11,IF(A12&lt;'Données projet'!$A$140,$CQ$205^A12,IF(A12='Données projet'!$A$140,'Données projet'!$B$140,CT11+CS12-DB11)))</f>
        <v>6.167990342551116</v>
      </c>
      <c r="CU12" s="17">
        <f>CT12*VLOOKUP('Données projet'!$B$13,Paramètres!$A$1:$I$89,3,0)*VLOOKUP('Données projet'!$B$13,Paramètres!$A$1:$I$89,5,0)</f>
        <v>5.1959150645650602</v>
      </c>
      <c r="CV12" s="13">
        <f t="shared" si="41"/>
        <v>1.9765647516621458</v>
      </c>
      <c r="CW12" s="20">
        <f t="shared" si="13"/>
        <v>12.492069013262382</v>
      </c>
      <c r="CX12" s="59">
        <f t="shared" si="14"/>
        <v>305.82540234659569</v>
      </c>
      <c r="CY12" s="59">
        <f ca="1">AVERAGE(OFFSET($CX$3,0,0,'Données projet'!$E$13+1,1))-AVERAGE(OFFSET($H$3,0,0,'Données projet'!$E$13+1,1))</f>
        <v>247.67539667223065</v>
      </c>
      <c r="CZ12" s="59">
        <f t="shared" si="42"/>
        <v>174.54442616983778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2.9235042735042733</v>
      </c>
      <c r="DO12" s="12">
        <f>IF('Données projet'!$A$166&gt;35,DO11+DN12-DW11,IF(A12&lt;'Données projet'!$A$166,$DL$205^A12,IF(A12='Données projet'!$A$166,'Données projet'!$B$166,DO11+DN12-DW11)))</f>
        <v>3.8274321125090722</v>
      </c>
      <c r="DP12" s="17">
        <f>DO12*VLOOKUP('Données projet'!$B$14,Paramètres!$A$1:$I$89,3,0)*VLOOKUP('Données projet'!$B$14,Paramètres!$A$1:$I$89,5,0)</f>
        <v>3.8213082211290579</v>
      </c>
      <c r="DQ12" s="13">
        <f t="shared" si="43"/>
        <v>1.5065885022803964</v>
      </c>
      <c r="DR12" s="20">
        <f t="shared" si="16"/>
        <v>9.2794201266047978</v>
      </c>
      <c r="DS12" s="59">
        <f t="shared" si="17"/>
        <v>302.61275345993812</v>
      </c>
      <c r="DT12" s="59">
        <f ca="1">AVERAGE(OFFSET($DS$3,0,0,'Données projet'!$E$14+1,1))-AVERAGE(OFFSET($H$3,0,0,'Données projet'!$E$14+1,1))</f>
        <v>245.06609107649069</v>
      </c>
      <c r="DU12" s="59">
        <f t="shared" si="44"/>
        <v>156.24531945456499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0.56307116877815078</v>
      </c>
      <c r="EJ12" s="12">
        <f>IF('Données projet'!$A$192&gt;35,EJ11+EI12-ER11,IF(A12&lt;'Données projet'!$A$192,$EG$205^A12,IF(A12='Données projet'!$A$192,'Données projet'!$B$192,EJ11+EI12-ER11)))</f>
        <v>4.7370390127747477</v>
      </c>
      <c r="EK12" s="17">
        <f>EJ12*VLOOKUP('Données projet'!$B$15,Paramètres!$A$1:$I$89,3,0)*VLOOKUP('Données projet'!$B$15,Paramètres!$A$1:$I$89,5,0)</f>
        <v>5.1728466019500239</v>
      </c>
      <c r="EL12" s="13">
        <f t="shared" si="45"/>
        <v>1.9688087882431744</v>
      </c>
      <c r="EM12" s="20">
        <f t="shared" si="19"/>
        <v>12.43838313791982</v>
      </c>
      <c r="EN12" s="59">
        <f t="shared" si="20"/>
        <v>305.77171647125311</v>
      </c>
      <c r="EO12" s="59">
        <f ca="1">AVERAGE(OFFSET($EN$3,0,0,'Données projet'!$E$15+1,1))-AVERAGE(OFFSET($H$3,0,0,'Données projet'!$E$15+1,1))</f>
        <v>173.63857221119594</v>
      </c>
      <c r="EP12" s="59">
        <f t="shared" si="46"/>
        <v>52.373745617370105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6.2923076923076922</v>
      </c>
      <c r="N13" s="13">
        <f>IF('Données projet'!$A$36&gt;35,N12+M13-V12,IF(A13&lt;'Données projet'!$A$36,$K$205^A13,IF(A13='Données projet'!$A$36,'Données projet'!$B$36,N12+M13-V12)))</f>
        <v>36.727609693583034</v>
      </c>
      <c r="O13" s="13">
        <f>N13*VLOOKUP('Données projet'!$B$9,Paramètres!$A$1:$I$89,3,0)*VLOOKUP('Données projet'!$B$9,Paramètres!$A$1:$I$89,5,0)</f>
        <v>21.963110596762654</v>
      </c>
      <c r="P13" s="13">
        <f t="shared" si="33"/>
        <v>7.0643588062073803</v>
      </c>
      <c r="Q13" s="20">
        <f t="shared" si="2"/>
        <v>50.556175876839468</v>
      </c>
      <c r="R13" s="59">
        <f t="shared" si="0"/>
        <v>343.88950921017278</v>
      </c>
      <c r="S13" s="59">
        <f ca="1">AVERAGE(OFFSET($R$3,0,0,'Données projet'!$E$9+1,1))-AVERAGE(OFFSET($H$3,0,0,'Données projet'!$E$9+1,1))</f>
        <v>199.58634493109349</v>
      </c>
      <c r="T13" s="59">
        <f t="shared" si="34"/>
        <v>288.66487031729008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6.25</v>
      </c>
      <c r="AI13" s="13">
        <f>IF('Données projet'!$A$62&gt;35,AI12+AH13-AQ12,IF(A13&lt;'Données projet'!$A$62,$AF$205^A13,IF(A13='Données projet'!$A$62,'Données projet'!$B$62,AI12+AH13-AQ12)))</f>
        <v>11.180339887498945</v>
      </c>
      <c r="AJ13" s="13">
        <f>AI13*VLOOKUP('Données projet'!$B$10,Paramètres!$A$1:$I$89,3,0)*VLOOKUP('Données projet'!$B$10,Paramètres!$A$1:$I$89,5,0)</f>
        <v>6.6858432527243705</v>
      </c>
      <c r="AK13" s="13">
        <f t="shared" si="35"/>
        <v>2.4697902668355662</v>
      </c>
      <c r="AL13" s="20">
        <f t="shared" si="4"/>
        <v>15.946061713233554</v>
      </c>
      <c r="AM13" s="59">
        <f t="shared" si="5"/>
        <v>309.27939504656689</v>
      </c>
      <c r="AN13" s="59">
        <f ca="1">AVERAGE(OFFSET($AM$3,0,0,'Données projet'!$E$10+1,1))-AVERAGE(OFFSET($H$3,0,0,'Données projet'!$E$10+1,1))</f>
        <v>395.40396173178527</v>
      </c>
      <c r="AO13" s="59">
        <f t="shared" si="36"/>
        <v>304.68075128568756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194</v>
      </c>
      <c r="BB13" s="12">
        <f>VLOOKUP(A13,'Données projet'!$A$87:$I$107,9,0)</f>
        <v>19.399999999999999</v>
      </c>
      <c r="BC13" s="12">
        <f t="array" ref="BC13">INDEX(BB:BB,MIN(IF(ISNUMBER(BB13:BB209),ROW(BB13:BB209),"")))</f>
        <v>19.399999999999999</v>
      </c>
      <c r="BD13" s="12">
        <f>IF('Données projet'!$A$88&gt;35,BD12+BC13-BL12,IF(A13&lt;'Données projet'!$A$88,$BA$205^A13,IF(A13='Données projet'!$A$88,'Données projet'!$B$88,BD12+BC13-BL12)))</f>
        <v>194</v>
      </c>
      <c r="BE13" s="13">
        <f>BD13*VLOOKUP('Données projet'!$B$11,Paramètres!$A$1:$I$89,3,0)*VLOOKUP('Données projet'!$B$11,Paramètres!$A$1:$I$89,5,0)</f>
        <v>169.47840000000002</v>
      </c>
      <c r="BF13" s="13">
        <f t="shared" si="37"/>
        <v>42.973181651930332</v>
      </c>
      <c r="BG13" s="20">
        <f t="shared" si="7"/>
        <v>370.01983804377869</v>
      </c>
      <c r="BH13" s="59">
        <f t="shared" si="8"/>
        <v>663.35317137711195</v>
      </c>
      <c r="BI13" s="59">
        <f ca="1">AVERAGE(OFFSET($BH$3,0,0,'Données projet'!$E$11+1,1))-AVERAGE(OFFSET($H$3,0,0,'Données projet'!$E$11+1,1))</f>
        <v>249.21292089724221</v>
      </c>
      <c r="BJ13" s="59">
        <f t="shared" si="38"/>
        <v>640.80644476065254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174.6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0.26500000000000001</v>
      </c>
      <c r="BO13" s="16">
        <f>IF(ISNA(VLOOKUP(A13,'Données projet'!$A$87:$I$107,7,0)),0%,VLOOKUP(A13,'Données projet'!$A$87:$I$107,7,0))</f>
        <v>0.5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44.507837209105389</v>
      </c>
      <c r="BR13" s="21">
        <f>EXP(-LN(2)/2)*BR12+(1-EXP(-LN(2)/2))/(LN(2)/2)*BL13*BO13*VLOOKUP('Données projet'!$B$11,Paramètres!$A$1:$I$89,3,0)*0.475*44/12</f>
        <v>71.958344329916017</v>
      </c>
      <c r="BS13" s="22">
        <f t="shared" si="9"/>
        <v>116.46618153902141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3.45</v>
      </c>
      <c r="BY13" s="12">
        <f>IF('Données projet'!$A$114&gt;35,BY12+BX13-CG12,IF(A13&lt;'Données projet'!$A$114,$BV$205^A13,IF(A13='Données projet'!$A$114,'Données projet'!$B$114,BY12+BX13-CG12)))</f>
        <v>8.3066238629180766</v>
      </c>
      <c r="BZ13" s="13">
        <f>BY13*VLOOKUP('Données projet'!$B$12,Paramètres!$A$1:$I$89,3,0)*VLOOKUP('Données projet'!$B$12,Paramètres!$A$1:$I$89,5,0)</f>
        <v>6.7383332775991445</v>
      </c>
      <c r="CA13" s="13">
        <f t="shared" si="39"/>
        <v>2.4869155776709411</v>
      </c>
      <c r="CB13" s="20">
        <f t="shared" si="10"/>
        <v>16.067308422928729</v>
      </c>
      <c r="CC13" s="59">
        <f t="shared" si="11"/>
        <v>309.40064175626202</v>
      </c>
      <c r="CD13" s="59">
        <f ca="1">AVERAGE(OFFSET($CC$3,0,0,'Données projet'!$E$12+1,1))-AVERAGE(OFFSET($H$3,0,0,'Données projet'!$E$12+1,1))</f>
        <v>192.4785660463869</v>
      </c>
      <c r="CE13" s="59">
        <f t="shared" si="40"/>
        <v>165.11095806515362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2.85</v>
      </c>
      <c r="CT13" s="12">
        <f>IF('Données projet'!$A$140&gt;35,CT12+CS13-DB12,IF(A13&lt;'Données projet'!$A$140,$CQ$205^A13,IF(A13='Données projet'!$A$140,'Données projet'!$B$140,CT12+CS13-DB12)))</f>
        <v>7.5498344352707516</v>
      </c>
      <c r="CU13" s="17">
        <f>CT13*VLOOKUP('Données projet'!$B$13,Paramètres!$A$1:$I$89,3,0)*VLOOKUP('Données projet'!$B$13,Paramètres!$A$1:$I$89,5,0)</f>
        <v>6.3599805282720814</v>
      </c>
      <c r="CV13" s="13">
        <f t="shared" si="41"/>
        <v>2.3631190291893409</v>
      </c>
      <c r="CW13" s="20">
        <f t="shared" si="13"/>
        <v>15.19273172924531</v>
      </c>
      <c r="CX13" s="59">
        <f t="shared" si="14"/>
        <v>308.5260650625786</v>
      </c>
      <c r="CY13" s="59">
        <f ca="1">AVERAGE(OFFSET($CX$3,0,0,'Données projet'!$E$13+1,1))-AVERAGE(OFFSET($H$3,0,0,'Données projet'!$E$13+1,1))</f>
        <v>247.67539667223065</v>
      </c>
      <c r="CZ13" s="59">
        <f t="shared" si="42"/>
        <v>174.54442616983778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2.9235042735042733</v>
      </c>
      <c r="DO13" s="12">
        <f>IF('Données projet'!$A$166&gt;35,DO12+DN13-DW12,IF(A13&lt;'Données projet'!$A$166,$DL$205^A13,IF(A13='Données projet'!$A$166,'Données projet'!$B$166,DO12+DN13-DW12)))</f>
        <v>4.4429865232315908</v>
      </c>
      <c r="DP13" s="17">
        <f>DO13*VLOOKUP('Données projet'!$B$14,Paramètres!$A$1:$I$89,3,0)*VLOOKUP('Données projet'!$B$14,Paramètres!$A$1:$I$89,5,0)</f>
        <v>4.4358777447944204</v>
      </c>
      <c r="DQ13" s="13">
        <f t="shared" si="43"/>
        <v>1.7187915557618054</v>
      </c>
      <c r="DR13" s="20">
        <f t="shared" si="16"/>
        <v>10.719382365135425</v>
      </c>
      <c r="DS13" s="59">
        <f t="shared" si="17"/>
        <v>304.05271569846872</v>
      </c>
      <c r="DT13" s="59">
        <f ca="1">AVERAGE(OFFSET($DS$3,0,0,'Données projet'!$E$14+1,1))-AVERAGE(OFFSET($H$3,0,0,'Données projet'!$E$14+1,1))</f>
        <v>245.06609107649069</v>
      </c>
      <c r="DU13" s="59">
        <f t="shared" si="44"/>
        <v>156.24531945456499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5.630711687781508</v>
      </c>
      <c r="EH13" s="12">
        <f>VLOOKUP(A13,'Données projet'!$A$191:$I$211,9,0)</f>
        <v>0.56307116877815078</v>
      </c>
      <c r="EI13" s="12">
        <f t="array" ref="EI13">INDEX(EH:EH,MIN(IF(ISNUMBER(EH13:EH209),ROW(EH13:EH209),"")))</f>
        <v>0.56307116877815078</v>
      </c>
      <c r="EJ13" s="12">
        <f>IF('Données projet'!$A$192&gt;35,EJ12+EI13-ER12,IF(A13&lt;'Données projet'!$A$192,$EG$205^A13,IF(A13='Données projet'!$A$192,'Données projet'!$B$192,EJ12+EI13-ER12)))</f>
        <v>5.630711687781508</v>
      </c>
      <c r="EK13" s="17">
        <f>EJ13*VLOOKUP('Données projet'!$B$15,Paramètres!$A$1:$I$89,3,0)*VLOOKUP('Données projet'!$B$15,Paramètres!$A$1:$I$89,5,0)</f>
        <v>6.1487371630574064</v>
      </c>
      <c r="EL13" s="13">
        <f t="shared" si="45"/>
        <v>2.293629742303986</v>
      </c>
      <c r="EM13" s="20">
        <f t="shared" si="19"/>
        <v>14.703789026837759</v>
      </c>
      <c r="EN13" s="59">
        <f t="shared" si="20"/>
        <v>308.03712236017105</v>
      </c>
      <c r="EO13" s="59">
        <f ca="1">AVERAGE(OFFSET($EN$3,0,0,'Données projet'!$E$15+1,1))-AVERAGE(OFFSET($H$3,0,0,'Données projet'!$E$15+1,1))</f>
        <v>173.63857221119594</v>
      </c>
      <c r="EP13" s="59">
        <f t="shared" si="46"/>
        <v>52.373745617370105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6.2923076923076922</v>
      </c>
      <c r="N14" s="13">
        <f>IF('Données projet'!$A$36&gt;35,N13+M14-V13,IF(A14&lt;'Données projet'!$A$36,$K$205^A14,IF(A14='Données projet'!$A$36,'Données projet'!$B$36,N13+M14-V13)))</f>
        <v>52.661343051047311</v>
      </c>
      <c r="O14" s="13">
        <f>N14*VLOOKUP('Données projet'!$B$9,Paramètres!$A$1:$I$89,3,0)*VLOOKUP('Données projet'!$B$9,Paramètres!$A$1:$I$89,5,0)</f>
        <v>31.491483144526295</v>
      </c>
      <c r="P14" s="13">
        <f t="shared" si="33"/>
        <v>9.7130472462668216</v>
      </c>
      <c r="Q14" s="20">
        <f t="shared" si="2"/>
        <v>71.76455709729801</v>
      </c>
      <c r="R14" s="59">
        <f t="shared" si="0"/>
        <v>365.09789043063131</v>
      </c>
      <c r="S14" s="59">
        <f ca="1">AVERAGE(OFFSET($R$3,0,0,'Données projet'!$E$9+1,1))-AVERAGE(OFFSET($H$3,0,0,'Données projet'!$E$9+1,1))</f>
        <v>199.58634493109349</v>
      </c>
      <c r="T14" s="59">
        <f t="shared" si="34"/>
        <v>288.66487031729008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6.25</v>
      </c>
      <c r="AI14" s="13">
        <f>IF('Données projet'!$A$62&gt;35,AI13+AH14-AQ13,IF(A14&lt;'Données projet'!$A$62,$AF$205^A14,IF(A14='Données projet'!$A$62,'Données projet'!$B$62,AI13+AH14-AQ13)))</f>
        <v>14.233132985628821</v>
      </c>
      <c r="AJ14" s="13">
        <f>AI14*VLOOKUP('Données projet'!$B$10,Paramètres!$A$1:$I$89,3,0)*VLOOKUP('Données projet'!$B$10,Paramètres!$A$1:$I$89,5,0)</f>
        <v>8.5114135254060361</v>
      </c>
      <c r="AK14" s="13">
        <f t="shared" si="35"/>
        <v>3.0570430820776595</v>
      </c>
      <c r="AL14" s="20">
        <f t="shared" si="4"/>
        <v>20.148395258034103</v>
      </c>
      <c r="AM14" s="59">
        <f t="shared" si="5"/>
        <v>313.48172859136741</v>
      </c>
      <c r="AN14" s="59">
        <f ca="1">AVERAGE(OFFSET($AM$3,0,0,'Données projet'!$E$10+1,1))-AVERAGE(OFFSET($H$3,0,0,'Données projet'!$E$10+1,1))</f>
        <v>395.40396173178527</v>
      </c>
      <c r="AO14" s="59">
        <f t="shared" si="36"/>
        <v>304.68075128568756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28.660000000000004</v>
      </c>
      <c r="BD14" s="12">
        <f>IF('Données projet'!$A$88&gt;35,BD13+BC14-BL13,IF(A14&lt;'Données projet'!$A$88,$BA$205^A14,IF(A14='Données projet'!$A$88,'Données projet'!$B$88,BD13+BC14-BL13)))</f>
        <v>48.06</v>
      </c>
      <c r="BE14" s="13">
        <f>BD14*VLOOKUP('Données projet'!$B$11,Paramètres!$A$1:$I$89,3,0)*VLOOKUP('Données projet'!$B$11,Paramètres!$A$1:$I$89,5,0)</f>
        <v>41.985216000000008</v>
      </c>
      <c r="BF14" s="13">
        <f t="shared" si="37"/>
        <v>12.523336111557247</v>
      </c>
      <c r="BG14" s="20">
        <f t="shared" si="7"/>
        <v>94.935728260962222</v>
      </c>
      <c r="BH14" s="59">
        <f t="shared" si="8"/>
        <v>388.26906159429552</v>
      </c>
      <c r="BI14" s="59">
        <f ca="1">AVERAGE(OFFSET($BH$3,0,0,'Données projet'!$E$11+1,1))-AVERAGE(OFFSET($H$3,0,0,'Données projet'!$E$11+1,1))</f>
        <v>249.21292089724221</v>
      </c>
      <c r="BJ14" s="59">
        <f t="shared" si="38"/>
        <v>640.80644476065254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43.290768060056969</v>
      </c>
      <c r="BR14" s="21">
        <f>EXP(-LN(2)/2)*BR13+(1-EXP(-LN(2)/2))/(LN(2)/2)*BL14*BO14*VLOOKUP('Données projet'!$B$11,Paramètres!$A$1:$I$89,3,0)*0.475*44/12</f>
        <v>50.882233238640168</v>
      </c>
      <c r="BS14" s="22">
        <f t="shared" si="9"/>
        <v>94.17300129869713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3.45</v>
      </c>
      <c r="BY14" s="12">
        <f>IF('Données projet'!$A$114&gt;35,BY13+BX14-CG13,IF(A14&lt;'Données projet'!$A$114,$BV$205^A14,IF(A14='Données projet'!$A$114,'Données projet'!$B$114,BY13+BX14-CG13)))</f>
        <v>10.265190182007974</v>
      </c>
      <c r="BZ14" s="13">
        <f>BY14*VLOOKUP('Données projet'!$B$12,Paramètres!$A$1:$I$89,3,0)*VLOOKUP('Données projet'!$B$12,Paramètres!$A$1:$I$89,5,0)</f>
        <v>8.327122275644868</v>
      </c>
      <c r="CA14" s="13">
        <f t="shared" si="39"/>
        <v>2.9984816508668306</v>
      </c>
      <c r="CB14" s="20">
        <f t="shared" si="10"/>
        <v>19.72542683867454</v>
      </c>
      <c r="CC14" s="59">
        <f t="shared" si="11"/>
        <v>313.05876017200785</v>
      </c>
      <c r="CD14" s="59">
        <f ca="1">AVERAGE(OFFSET($CC$3,0,0,'Données projet'!$E$12+1,1))-AVERAGE(OFFSET($H$3,0,0,'Données projet'!$E$12+1,1))</f>
        <v>192.4785660463869</v>
      </c>
      <c r="CE14" s="59">
        <f t="shared" si="40"/>
        <v>165.11095806515362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2.85</v>
      </c>
      <c r="CT14" s="12">
        <f>IF('Données projet'!$A$140&gt;35,CT13+CS14-DB13,IF(A14&lt;'Données projet'!$A$140,$CQ$205^A14,IF(A14='Données projet'!$A$140,'Données projet'!$B$140,CT13+CS14-DB13)))</f>
        <v>9.2412596055434975</v>
      </c>
      <c r="CU14" s="17">
        <f>CT14*VLOOKUP('Données projet'!$B$13,Paramètres!$A$1:$I$89,3,0)*VLOOKUP('Données projet'!$B$13,Paramètres!$A$1:$I$89,5,0)</f>
        <v>7.7848370917098419</v>
      </c>
      <c r="CV14" s="13">
        <f t="shared" si="41"/>
        <v>2.8252712396195254</v>
      </c>
      <c r="CW14" s="20">
        <f t="shared" si="13"/>
        <v>18.479272010398649</v>
      </c>
      <c r="CX14" s="59">
        <f t="shared" si="14"/>
        <v>311.81260534373195</v>
      </c>
      <c r="CY14" s="59">
        <f ca="1">AVERAGE(OFFSET($CX$3,0,0,'Données projet'!$E$13+1,1))-AVERAGE(OFFSET($H$3,0,0,'Données projet'!$E$13+1,1))</f>
        <v>247.67539667223065</v>
      </c>
      <c r="CZ14" s="59">
        <f t="shared" si="42"/>
        <v>174.54442616983778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2.9235042735042733</v>
      </c>
      <c r="DO14" s="12">
        <f>IF('Données projet'!$A$166&gt;35,DO13+DN14-DW13,IF(A14&lt;'Données projet'!$A$166,$DL$205^A14,IF(A14='Données projet'!$A$166,'Données projet'!$B$166,DO13+DN14-DW13)))</f>
        <v>5.1575387009743459</v>
      </c>
      <c r="DP14" s="17">
        <f>DO14*VLOOKUP('Données projet'!$B$14,Paramètres!$A$1:$I$89,3,0)*VLOOKUP('Données projet'!$B$14,Paramètres!$A$1:$I$89,5,0)</f>
        <v>5.1492866390527867</v>
      </c>
      <c r="DQ14" s="13">
        <f t="shared" si="43"/>
        <v>1.9608834181904979</v>
      </c>
      <c r="DR14" s="20">
        <f t="shared" si="16"/>
        <v>12.383546183032053</v>
      </c>
      <c r="DS14" s="59">
        <f t="shared" si="17"/>
        <v>305.71687951636534</v>
      </c>
      <c r="DT14" s="59">
        <f ca="1">AVERAGE(OFFSET($DS$3,0,0,'Données projet'!$E$14+1,1))-AVERAGE(OFFSET($H$3,0,0,'Données projet'!$E$14+1,1))</f>
        <v>245.06609107649069</v>
      </c>
      <c r="DU14" s="59">
        <f t="shared" si="44"/>
        <v>156.24531945456499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1.2727507793416999</v>
      </c>
      <c r="EJ14" s="12">
        <f>IF('Données projet'!$A$192&gt;35,EJ13+EI14-ER13,IF(A14&lt;'Données projet'!$A$192,$EG$205^A14,IF(A14='Données projet'!$A$192,'Données projet'!$B$192,EJ13+EI14-ER13)))</f>
        <v>6.9034624671232079</v>
      </c>
      <c r="EK14" s="17">
        <f>EJ14*VLOOKUP('Données projet'!$B$15,Paramètres!$A$1:$I$89,3,0)*VLOOKUP('Données projet'!$B$15,Paramètres!$A$1:$I$89,5,0)</f>
        <v>7.5385810140985425</v>
      </c>
      <c r="EL14" s="13">
        <f t="shared" si="45"/>
        <v>2.7461557258223728</v>
      </c>
      <c r="EM14" s="20">
        <f t="shared" si="19"/>
        <v>17.91258315536226</v>
      </c>
      <c r="EN14" s="59">
        <f t="shared" si="20"/>
        <v>311.24591648869557</v>
      </c>
      <c r="EO14" s="59">
        <f ca="1">AVERAGE(OFFSET($EN$3,0,0,'Données projet'!$E$15+1,1))-AVERAGE(OFFSET($H$3,0,0,'Données projet'!$E$15+1,1))</f>
        <v>173.63857221119594</v>
      </c>
      <c r="EP14" s="59">
        <f t="shared" si="46"/>
        <v>52.373745617370105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75.507692307692309</v>
      </c>
      <c r="L15" s="12">
        <f>VLOOKUP(A15,'Données projet'!$A$35:$I$55,9,0)</f>
        <v>6.2923076923076922</v>
      </c>
      <c r="M15" s="12">
        <f t="array" ref="M15">INDEX(L:L,MIN(IF(ISNUMBER(L15:L211),ROW(L15:L211),"")))</f>
        <v>6.2923076923076922</v>
      </c>
      <c r="N15" s="13">
        <f>IF('Données projet'!$A$36&gt;35,N14+M15-V14,IF(A15&lt;'Données projet'!$A$36,$K$205^A15,IF(A15='Données projet'!$A$36,'Données projet'!$B$36,N14+M15-V14)))</f>
        <v>75.507692307692309</v>
      </c>
      <c r="O15" s="13">
        <f>N15*VLOOKUP('Données projet'!$B$9,Paramètres!$A$1:$I$89,3,0)*VLOOKUP('Données projet'!$B$9,Paramètres!$A$1:$I$89,5,0)</f>
        <v>45.153600000000004</v>
      </c>
      <c r="P15" s="13">
        <f t="shared" si="33"/>
        <v>13.354826587419776</v>
      </c>
      <c r="Q15" s="20">
        <f t="shared" si="2"/>
        <v>101.90217630642276</v>
      </c>
      <c r="R15" s="59">
        <f t="shared" si="0"/>
        <v>395.23550963975606</v>
      </c>
      <c r="S15" s="59">
        <f ca="1">AVERAGE(OFFSET($R$3,0,0,'Données projet'!$E$9+1,1))-AVERAGE(OFFSET($H$3,0,0,'Données projet'!$E$9+1,1))</f>
        <v>199.58634493109349</v>
      </c>
      <c r="T15" s="59">
        <f t="shared" si="34"/>
        <v>288.66487031729008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6.25</v>
      </c>
      <c r="AI15" s="13">
        <f>IF('Données projet'!$A$62&gt;35,AI14+AH15-AQ14,IF(A15&lt;'Données projet'!$A$62,$AF$205^A15,IF(A15='Données projet'!$A$62,'Données projet'!$B$62,AI14+AH15-AQ14)))</f>
        <v>18.119491591942381</v>
      </c>
      <c r="AJ15" s="13">
        <f>AI15*VLOOKUP('Données projet'!$B$10,Paramètres!$A$1:$I$89,3,0)*VLOOKUP('Données projet'!$B$10,Paramètres!$A$1:$I$89,5,0)</f>
        <v>10.835455971981544</v>
      </c>
      <c r="AK15" s="13">
        <f t="shared" si="35"/>
        <v>3.7839295632389311</v>
      </c>
      <c r="AL15" s="20">
        <f t="shared" si="4"/>
        <v>25.462096473842326</v>
      </c>
      <c r="AM15" s="59">
        <f t="shared" si="5"/>
        <v>318.79542980717565</v>
      </c>
      <c r="AN15" s="59">
        <f ca="1">AVERAGE(OFFSET($AM$3,0,0,'Données projet'!$E$10+1,1))-AVERAGE(OFFSET($H$3,0,0,'Données projet'!$E$10+1,1))</f>
        <v>395.40396173178527</v>
      </c>
      <c r="AO15" s="59">
        <f t="shared" si="36"/>
        <v>304.68075128568756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28.660000000000004</v>
      </c>
      <c r="BD15" s="12">
        <f>IF('Données projet'!$A$88&gt;35,BD14+BC15-BL14,IF(A15&lt;'Données projet'!$A$88,$BA$205^A15,IF(A15='Données projet'!$A$88,'Données projet'!$B$88,BD14+BC15-BL14)))</f>
        <v>76.72</v>
      </c>
      <c r="BE15" s="13">
        <f>BD15*VLOOKUP('Données projet'!$B$11,Paramètres!$A$1:$I$89,3,0)*VLOOKUP('Données projet'!$B$11,Paramètres!$A$1:$I$89,5,0)</f>
        <v>67.022592000000003</v>
      </c>
      <c r="BF15" s="13">
        <f t="shared" si="37"/>
        <v>18.932202211374033</v>
      </c>
      <c r="BG15" s="20">
        <f t="shared" si="7"/>
        <v>149.70459991814309</v>
      </c>
      <c r="BH15" s="59">
        <f t="shared" si="8"/>
        <v>443.03793325147637</v>
      </c>
      <c r="BI15" s="59">
        <f ca="1">AVERAGE(OFFSET($BH$3,0,0,'Données projet'!$E$11+1,1))-AVERAGE(OFFSET($H$3,0,0,'Données projet'!$E$11+1,1))</f>
        <v>249.21292089724221</v>
      </c>
      <c r="BJ15" s="59">
        <f t="shared" si="38"/>
        <v>640.80644476065254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42.106979730892164</v>
      </c>
      <c r="BR15" s="21">
        <f>EXP(-LN(2)/2)*BR14+(1-EXP(-LN(2)/2))/(LN(2)/2)*BL15*BO15*VLOOKUP('Données projet'!$B$11,Paramètres!$A$1:$I$89,3,0)*0.475*44/12</f>
        <v>35.979172164958008</v>
      </c>
      <c r="BS15" s="22">
        <f t="shared" si="9"/>
        <v>78.086151895850179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3.45</v>
      </c>
      <c r="BY15" s="12">
        <f>IF('Données projet'!$A$114&gt;35,BY14+BX15-CG14,IF(A15&lt;'Données projet'!$A$114,$BV$205^A15,IF(A15='Données projet'!$A$114,'Données projet'!$B$114,BY14+BX15-CG14)))</f>
        <v>12.685554469752466</v>
      </c>
      <c r="BZ15" s="13">
        <f>BY15*VLOOKUP('Données projet'!$B$12,Paramètres!$A$1:$I$89,3,0)*VLOOKUP('Données projet'!$B$12,Paramètres!$A$1:$I$89,5,0)</f>
        <v>10.290521785863202</v>
      </c>
      <c r="CA15" s="13">
        <f t="shared" si="39"/>
        <v>3.6152784160873175</v>
      </c>
      <c r="CB15" s="20">
        <f t="shared" si="10"/>
        <v>24.21926868506382</v>
      </c>
      <c r="CC15" s="59">
        <f t="shared" si="11"/>
        <v>317.55260201839712</v>
      </c>
      <c r="CD15" s="59">
        <f ca="1">AVERAGE(OFFSET($CC$3,0,0,'Données projet'!$E$12+1,1))-AVERAGE(OFFSET($H$3,0,0,'Données projet'!$E$12+1,1))</f>
        <v>192.4785660463869</v>
      </c>
      <c r="CE15" s="59">
        <f t="shared" si="40"/>
        <v>165.11095806515362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2.85</v>
      </c>
      <c r="CT15" s="12">
        <f>IF('Données projet'!$A$140&gt;35,CT14+CS15-DB14,IF(A15&lt;'Données projet'!$A$140,$CQ$205^A15,IF(A15='Données projet'!$A$140,'Données projet'!$B$140,CT14+CS15-DB14)))</f>
        <v>11.311622768584238</v>
      </c>
      <c r="CU15" s="17">
        <f>CT15*VLOOKUP('Données projet'!$B$13,Paramètres!$A$1:$I$89,3,0)*VLOOKUP('Données projet'!$B$13,Paramètres!$A$1:$I$89,5,0)</f>
        <v>9.5289110202553626</v>
      </c>
      <c r="CV15" s="13">
        <f t="shared" si="41"/>
        <v>3.3778059754186418</v>
      </c>
      <c r="CW15" s="20">
        <f t="shared" si="13"/>
        <v>22.479198767465558</v>
      </c>
      <c r="CX15" s="59">
        <f t="shared" si="14"/>
        <v>315.81253210079888</v>
      </c>
      <c r="CY15" s="59">
        <f ca="1">AVERAGE(OFFSET($CX$3,0,0,'Données projet'!$E$13+1,1))-AVERAGE(OFFSET($H$3,0,0,'Données projet'!$E$13+1,1))</f>
        <v>247.67539667223065</v>
      </c>
      <c r="CZ15" s="59">
        <f t="shared" si="42"/>
        <v>174.54442616983778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2.9235042735042733</v>
      </c>
      <c r="DO15" s="12">
        <f>IF('Données projet'!$A$166&gt;35,DO14+DN15-DW14,IF(A15&lt;'Données projet'!$A$166,$DL$205^A15,IF(A15='Données projet'!$A$166,'Données projet'!$B$166,DO14+DN15-DW14)))</f>
        <v>5.9870101592612031</v>
      </c>
      <c r="DP15" s="17">
        <f>DO15*VLOOKUP('Données projet'!$B$14,Paramètres!$A$1:$I$89,3,0)*VLOOKUP('Données projet'!$B$14,Paramètres!$A$1:$I$89,5,0)</f>
        <v>5.977430943006385</v>
      </c>
      <c r="DQ15" s="13">
        <f t="shared" si="43"/>
        <v>2.2370739295552551</v>
      </c>
      <c r="DR15" s="20">
        <f t="shared" si="16"/>
        <v>14.306929319711523</v>
      </c>
      <c r="DS15" s="59">
        <f t="shared" si="17"/>
        <v>307.64026265304483</v>
      </c>
      <c r="DT15" s="59">
        <f ca="1">AVERAGE(OFFSET($DS$3,0,0,'Données projet'!$E$14+1,1))-AVERAGE(OFFSET($H$3,0,0,'Données projet'!$E$14+1,1))</f>
        <v>245.06609107649069</v>
      </c>
      <c r="DU15" s="59">
        <f t="shared" si="44"/>
        <v>156.24531945456499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1.2727507793416999</v>
      </c>
      <c r="EJ15" s="12">
        <f>IF('Données projet'!$A$192&gt;35,EJ14+EI15-ER14,IF(A15&lt;'Données projet'!$A$192,$EG$205^A15,IF(A15='Données projet'!$A$192,'Données projet'!$B$192,EJ14+EI15-ER14)))</f>
        <v>8.1762132464649078</v>
      </c>
      <c r="EK15" s="17">
        <f>EJ15*VLOOKUP('Données projet'!$B$15,Paramètres!$A$1:$I$89,3,0)*VLOOKUP('Données projet'!$B$15,Paramètres!$A$1:$I$89,5,0)</f>
        <v>8.9284248651396787</v>
      </c>
      <c r="EL15" s="13">
        <f t="shared" si="45"/>
        <v>3.1890161660357879</v>
      </c>
      <c r="EM15" s="20">
        <f t="shared" si="19"/>
        <v>21.104543129297269</v>
      </c>
      <c r="EN15" s="59">
        <f t="shared" si="20"/>
        <v>314.43787646263058</v>
      </c>
      <c r="EO15" s="59">
        <f ca="1">AVERAGE(OFFSET($EN$3,0,0,'Données projet'!$E$15+1,1))-AVERAGE(OFFSET($H$3,0,0,'Données projet'!$E$15+1,1))</f>
        <v>173.63857221119594</v>
      </c>
      <c r="EP15" s="59">
        <f t="shared" si="46"/>
        <v>52.373745617370105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18.911538461538463</v>
      </c>
      <c r="N16" s="13">
        <f>IF('Données projet'!$A$36&gt;35,N15+M16-V15,IF(A16&lt;'Données projet'!$A$36,$K$205^A16,IF(A16='Données projet'!$A$36,'Données projet'!$B$36,N15+M16-V15)))</f>
        <v>94.419230769230779</v>
      </c>
      <c r="O16" s="13">
        <f>N16*VLOOKUP('Données projet'!$B$9,Paramètres!$A$1:$I$89,3,0)*VLOOKUP('Données projet'!$B$9,Paramètres!$A$1:$I$89,5,0)</f>
        <v>56.462700000000012</v>
      </c>
      <c r="P16" s="13">
        <f t="shared" si="33"/>
        <v>16.27079044207688</v>
      </c>
      <c r="Q16" s="20">
        <f t="shared" si="2"/>
        <v>126.6774958532839</v>
      </c>
      <c r="R16" s="59">
        <f t="shared" si="0"/>
        <v>420.01082918661723</v>
      </c>
      <c r="S16" s="59">
        <f ca="1">AVERAGE(OFFSET($R$3,0,0,'Données projet'!$E$9+1,1))-AVERAGE(OFFSET($H$3,0,0,'Données projet'!$E$9+1,1))</f>
        <v>199.58634493109349</v>
      </c>
      <c r="T16" s="59">
        <f t="shared" si="34"/>
        <v>288.66487031729008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6.25</v>
      </c>
      <c r="AI16" s="13">
        <f>IF('Données projet'!$A$62&gt;35,AI15+AH16-AQ15,IF(A16&lt;'Données projet'!$A$62,$AF$205^A16,IF(A16='Données projet'!$A$62,'Données projet'!$B$62,AI15+AH16-AQ15)))</f>
        <v>23.0670208647647</v>
      </c>
      <c r="AJ16" s="13">
        <f>AI16*VLOOKUP('Données projet'!$B$10,Paramètres!$A$1:$I$89,3,0)*VLOOKUP('Données projet'!$B$10,Paramètres!$A$1:$I$89,5,0)</f>
        <v>13.794078477129291</v>
      </c>
      <c r="AK16" s="13">
        <f t="shared" si="35"/>
        <v>4.6836510167277572</v>
      </c>
      <c r="AL16" s="20">
        <f t="shared" si="4"/>
        <v>32.182045535134357</v>
      </c>
      <c r="AM16" s="59">
        <f t="shared" si="5"/>
        <v>325.51537886846768</v>
      </c>
      <c r="AN16" s="59">
        <f ca="1">AVERAGE(OFFSET($AM$3,0,0,'Données projet'!$E$10+1,1))-AVERAGE(OFFSET($H$3,0,0,'Données projet'!$E$10+1,1))</f>
        <v>395.40396173178527</v>
      </c>
      <c r="AO16" s="59">
        <f t="shared" si="36"/>
        <v>304.68075128568756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28.660000000000004</v>
      </c>
      <c r="BD16" s="12">
        <f>IF('Données projet'!$A$88&gt;35,BD15+BC16-BL15,IF(A16&lt;'Données projet'!$A$88,$BA$205^A16,IF(A16='Données projet'!$A$88,'Données projet'!$B$88,BD15+BC16-BL15)))</f>
        <v>105.38</v>
      </c>
      <c r="BE16" s="13">
        <f>BD16*VLOOKUP('Données projet'!$B$11,Paramètres!$A$1:$I$89,3,0)*VLOOKUP('Données projet'!$B$11,Paramètres!$A$1:$I$89,5,0)</f>
        <v>92.059968000000012</v>
      </c>
      <c r="BF16" s="13">
        <f t="shared" si="37"/>
        <v>25.061383428216413</v>
      </c>
      <c r="BG16" s="20">
        <f t="shared" si="7"/>
        <v>203.98635373747695</v>
      </c>
      <c r="BH16" s="59">
        <f t="shared" si="8"/>
        <v>497.31968707081023</v>
      </c>
      <c r="BI16" s="59">
        <f ca="1">AVERAGE(OFFSET($BH$3,0,0,'Données projet'!$E$11+1,1))-AVERAGE(OFFSET($H$3,0,0,'Données projet'!$E$11+1,1))</f>
        <v>249.21292089724221</v>
      </c>
      <c r="BJ16" s="59">
        <f t="shared" si="38"/>
        <v>640.80644476065254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40.955562155841093</v>
      </c>
      <c r="BR16" s="21">
        <f>EXP(-LN(2)/2)*BR15+(1-EXP(-LN(2)/2))/(LN(2)/2)*BL16*BO16*VLOOKUP('Données projet'!$B$11,Paramètres!$A$1:$I$89,3,0)*0.475*44/12</f>
        <v>25.441116619320084</v>
      </c>
      <c r="BS16" s="22">
        <f t="shared" si="9"/>
        <v>66.396678775161178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3.45</v>
      </c>
      <c r="BY16" s="12">
        <f>IF('Données projet'!$A$114&gt;35,BY15+BX16-CG15,IF(A16&lt;'Données projet'!$A$114,$BV$205^A16,IF(A16='Données projet'!$A$114,'Données projet'!$B$114,BY15+BX16-CG15)))</f>
        <v>15.676601149300728</v>
      </c>
      <c r="BZ16" s="13">
        <f>BY16*VLOOKUP('Données projet'!$B$12,Paramètres!$A$1:$I$89,3,0)*VLOOKUP('Données projet'!$B$12,Paramètres!$A$1:$I$89,5,0)</f>
        <v>12.71685885231275</v>
      </c>
      <c r="CA16" s="13">
        <f t="shared" si="39"/>
        <v>4.3589521456795781</v>
      </c>
      <c r="CB16" s="20">
        <f t="shared" si="10"/>
        <v>29.740370821503301</v>
      </c>
      <c r="CC16" s="59">
        <f t="shared" si="11"/>
        <v>323.07370415483661</v>
      </c>
      <c r="CD16" s="59">
        <f ca="1">AVERAGE(OFFSET($CC$3,0,0,'Données projet'!$E$12+1,1))-AVERAGE(OFFSET($H$3,0,0,'Données projet'!$E$12+1,1))</f>
        <v>192.4785660463869</v>
      </c>
      <c r="CE16" s="59">
        <f t="shared" si="40"/>
        <v>165.11095806515362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2.85</v>
      </c>
      <c r="CT16" s="12">
        <f>IF('Données projet'!$A$140&gt;35,CT15+CS16-DB15,IF(A16&lt;'Données projet'!$A$140,$CQ$205^A16,IF(A16='Données projet'!$A$140,'Données projet'!$B$140,CT15+CS16-DB15)))</f>
        <v>13.845819197850375</v>
      </c>
      <c r="CU16" s="17">
        <f>CT16*VLOOKUP('Données projet'!$B$13,Paramètres!$A$1:$I$89,3,0)*VLOOKUP('Données projet'!$B$13,Paramètres!$A$1:$I$89,5,0)</f>
        <v>11.663718092269157</v>
      </c>
      <c r="CV16" s="13">
        <f t="shared" si="41"/>
        <v>4.0383992331689829</v>
      </c>
      <c r="CW16" s="20">
        <f t="shared" si="13"/>
        <v>27.347854341804759</v>
      </c>
      <c r="CX16" s="59">
        <f t="shared" si="14"/>
        <v>320.68118767513806</v>
      </c>
      <c r="CY16" s="59">
        <f ca="1">AVERAGE(OFFSET($CX$3,0,0,'Données projet'!$E$13+1,1))-AVERAGE(OFFSET($H$3,0,0,'Données projet'!$E$13+1,1))</f>
        <v>247.67539667223065</v>
      </c>
      <c r="CZ16" s="59">
        <f t="shared" si="42"/>
        <v>174.54442616983778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2.9235042735042733</v>
      </c>
      <c r="DO16" s="12">
        <f>IF('Données projet'!$A$166&gt;35,DO15+DN16-DW15,IF(A16&lt;'Données projet'!$A$166,$DL$205^A16,IF(A16='Données projet'!$A$166,'Données projet'!$B$166,DO15+DN16-DW15)))</f>
        <v>6.9498830208148057</v>
      </c>
      <c r="DP16" s="17">
        <f>DO16*VLOOKUP('Données projet'!$B$14,Paramètres!$A$1:$I$89,3,0)*VLOOKUP('Données projet'!$B$14,Paramètres!$A$1:$I$89,5,0)</f>
        <v>6.938763207981502</v>
      </c>
      <c r="DQ16" s="13">
        <f t="shared" si="43"/>
        <v>2.552165885983134</v>
      </c>
      <c r="DR16" s="20">
        <f t="shared" si="16"/>
        <v>16.530034838655073</v>
      </c>
      <c r="DS16" s="59">
        <f t="shared" si="17"/>
        <v>309.86336817198838</v>
      </c>
      <c r="DT16" s="59">
        <f ca="1">AVERAGE(OFFSET($DS$3,0,0,'Données projet'!$E$14+1,1))-AVERAGE(OFFSET($H$3,0,0,'Données projet'!$E$14+1,1))</f>
        <v>245.06609107649069</v>
      </c>
      <c r="DU16" s="59">
        <f t="shared" si="44"/>
        <v>156.24531945456499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1.2727507793416999</v>
      </c>
      <c r="EJ16" s="12">
        <f>IF('Données projet'!$A$192&gt;35,EJ15+EI16-ER15,IF(A16&lt;'Données projet'!$A$192,$EG$205^A16,IF(A16='Données projet'!$A$192,'Données projet'!$B$192,EJ15+EI16-ER15)))</f>
        <v>9.4489640258066068</v>
      </c>
      <c r="EK16" s="17">
        <f>EJ16*VLOOKUP('Données projet'!$B$15,Paramètres!$A$1:$I$89,3,0)*VLOOKUP('Données projet'!$B$15,Paramètres!$A$1:$I$89,5,0)</f>
        <v>10.318268716180814</v>
      </c>
      <c r="EL16" s="13">
        <f t="shared" si="45"/>
        <v>3.623890473424443</v>
      </c>
      <c r="EM16" s="20">
        <f t="shared" si="19"/>
        <v>24.28259392189582</v>
      </c>
      <c r="EN16" s="59">
        <f t="shared" si="20"/>
        <v>317.61592725522911</v>
      </c>
      <c r="EO16" s="59">
        <f ca="1">AVERAGE(OFFSET($EN$3,0,0,'Données projet'!$E$15+1,1))-AVERAGE(OFFSET($H$3,0,0,'Données projet'!$E$15+1,1))</f>
        <v>173.63857221119594</v>
      </c>
      <c r="EP16" s="59">
        <f t="shared" si="46"/>
        <v>52.373745617370105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113.33076923076923</v>
      </c>
      <c r="L17" s="12">
        <f>VLOOKUP(A17,'Données projet'!$A$35:$I$55,9,0)</f>
        <v>18.911538461538463</v>
      </c>
      <c r="M17" s="12">
        <f t="array" ref="M17">INDEX(L:L,MIN(IF(ISNUMBER(L17:L213),ROW(L17:L213),"")))</f>
        <v>18.911538461538463</v>
      </c>
      <c r="N17" s="13">
        <f>IF('Données projet'!$A$36&gt;35,N16+M17-V16,IF(A17&lt;'Données projet'!$A$36,$K$205^A17,IF(A17='Données projet'!$A$36,'Données projet'!$B$36,N16+M17-V16)))</f>
        <v>113.33076923076925</v>
      </c>
      <c r="O17" s="13">
        <f>N17*VLOOKUP('Données projet'!$B$9,Paramètres!$A$1:$I$89,3,0)*VLOOKUP('Données projet'!$B$9,Paramètres!$A$1:$I$89,5,0)</f>
        <v>67.771800000000013</v>
      </c>
      <c r="P17" s="13">
        <f t="shared" si="33"/>
        <v>19.119079515297894</v>
      </c>
      <c r="Q17" s="20">
        <f t="shared" si="2"/>
        <v>151.33494848914387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199.58634493109349</v>
      </c>
      <c r="T17" s="59">
        <f t="shared" si="34"/>
        <v>288.66487031729008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6.3948424700437583</v>
      </c>
      <c r="AB17" s="21">
        <f>EXP(-LN(2)/2)*AB16+(1-EXP(-LN(2)/2))/(LN(2)/2)*V17*Y17*VLOOKUP('Données projet'!$B$9,Paramètres!$A$1:$I$89,3,0)*0.475*44/12</f>
        <v>12.176931913437635</v>
      </c>
      <c r="AC17" s="22">
        <f t="shared" si="3"/>
        <v>18.571774383481394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6.25</v>
      </c>
      <c r="AI17" s="13">
        <f>IF('Données projet'!$A$62&gt;35,AI16+AH17-AQ16,IF(A17&lt;'Données projet'!$A$62,$AF$205^A17,IF(A17='Données projet'!$A$62,'Données projet'!$B$62,AI16+AH17-AQ16)))</f>
        <v>29.365473577200465</v>
      </c>
      <c r="AJ17" s="13">
        <f>AI17*VLOOKUP('Données projet'!$B$10,Paramètres!$A$1:$I$89,3,0)*VLOOKUP('Données projet'!$B$10,Paramètres!$A$1:$I$89,5,0)</f>
        <v>17.560553199165881</v>
      </c>
      <c r="AK17" s="13">
        <f t="shared" si="35"/>
        <v>5.7973031685393916</v>
      </c>
      <c r="AL17" s="20">
        <f t="shared" si="4"/>
        <v>40.681599840420013</v>
      </c>
      <c r="AM17" s="59">
        <f t="shared" si="5"/>
        <v>334.01493317375332</v>
      </c>
      <c r="AN17" s="59">
        <f ca="1">AVERAGE(OFFSET($AM$3,0,0,'Données projet'!$E$10+1,1))-AVERAGE(OFFSET($H$3,0,0,'Données projet'!$E$10+1,1))</f>
        <v>395.40396173178527</v>
      </c>
      <c r="AO17" s="59">
        <f t="shared" si="36"/>
        <v>304.68075128568756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28.660000000000004</v>
      </c>
      <c r="BD17" s="12">
        <f>IF('Données projet'!$A$88&gt;35,BD16+BC17-BL16,IF(A17&lt;'Données projet'!$A$88,$BA$205^A17,IF(A17='Données projet'!$A$88,'Données projet'!$B$88,BD16+BC17-BL16)))</f>
        <v>134.04</v>
      </c>
      <c r="BE17" s="13">
        <f>BD17*VLOOKUP('Données projet'!$B$11,Paramètres!$A$1:$I$89,3,0)*VLOOKUP('Données projet'!$B$11,Paramètres!$A$1:$I$89,5,0)</f>
        <v>117.09734399999999</v>
      </c>
      <c r="BF17" s="13">
        <f t="shared" si="37"/>
        <v>30.9970406905197</v>
      </c>
      <c r="BG17" s="20">
        <f t="shared" si="7"/>
        <v>257.93105333598845</v>
      </c>
      <c r="BH17" s="59">
        <f t="shared" si="8"/>
        <v>551.26438666932177</v>
      </c>
      <c r="BI17" s="59">
        <f ca="1">AVERAGE(OFFSET($BH$3,0,0,'Données projet'!$E$11+1,1))-AVERAGE(OFFSET($H$3,0,0,'Données projet'!$E$11+1,1))</f>
        <v>249.21292089724221</v>
      </c>
      <c r="BJ17" s="59">
        <f t="shared" si="38"/>
        <v>640.80644476065254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39.835630154930207</v>
      </c>
      <c r="BR17" s="21">
        <f>EXP(-LN(2)/2)*BR16+(1-EXP(-LN(2)/2))/(LN(2)/2)*BL17*BO17*VLOOKUP('Données projet'!$B$11,Paramètres!$A$1:$I$89,3,0)*0.475*44/12</f>
        <v>17.989586082479004</v>
      </c>
      <c r="BS17" s="22">
        <f t="shared" si="9"/>
        <v>57.825216237409208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3.45</v>
      </c>
      <c r="BY17" s="12">
        <f>IF('Données projet'!$A$114&gt;35,BY16+BX17-CG16,IF(A17&lt;'Données projet'!$A$114,$BV$205^A17,IF(A17='Données projet'!$A$114,'Données projet'!$B$114,BY16+BX17-CG16)))</f>
        <v>19.372887813476268</v>
      </c>
      <c r="BZ17" s="13">
        <f>BY17*VLOOKUP('Données projet'!$B$12,Paramètres!$A$1:$I$89,3,0)*VLOOKUP('Données projet'!$B$12,Paramètres!$A$1:$I$89,5,0)</f>
        <v>15.715286594291952</v>
      </c>
      <c r="CA17" s="13">
        <f t="shared" si="39"/>
        <v>5.2556018158314108</v>
      </c>
      <c r="CB17" s="20">
        <f t="shared" si="10"/>
        <v>36.524297314298188</v>
      </c>
      <c r="CC17" s="59">
        <f t="shared" si="11"/>
        <v>329.85763064763148</v>
      </c>
      <c r="CD17" s="59">
        <f ca="1">AVERAGE(OFFSET($CC$3,0,0,'Données projet'!$E$12+1,1))-AVERAGE(OFFSET($H$3,0,0,'Données projet'!$E$12+1,1))</f>
        <v>192.4785660463869</v>
      </c>
      <c r="CE17" s="59">
        <f t="shared" si="40"/>
        <v>165.11095806515362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2.85</v>
      </c>
      <c r="CT17" s="12">
        <f>IF('Données projet'!$A$140&gt;35,CT16+CS17-DB16,IF(A17&lt;'Données projet'!$A$140,$CQ$205^A17,IF(A17='Données projet'!$A$140,'Données projet'!$B$140,CT16+CS17-DB16)))</f>
        <v>16.94776365704034</v>
      </c>
      <c r="CU17" s="17">
        <f>CT17*VLOOKUP('Données projet'!$B$13,Paramètres!$A$1:$I$89,3,0)*VLOOKUP('Données projet'!$B$13,Paramètres!$A$1:$I$89,5,0)</f>
        <v>14.276796104690785</v>
      </c>
      <c r="CV17" s="13">
        <f t="shared" si="41"/>
        <v>4.8281838818283696</v>
      </c>
      <c r="CW17" s="20">
        <f t="shared" si="13"/>
        <v>33.274506809854188</v>
      </c>
      <c r="CX17" s="59">
        <f t="shared" si="14"/>
        <v>326.6078401431875</v>
      </c>
      <c r="CY17" s="59">
        <f ca="1">AVERAGE(OFFSET($CX$3,0,0,'Données projet'!$E$13+1,1))-AVERAGE(OFFSET($H$3,0,0,'Données projet'!$E$13+1,1))</f>
        <v>247.67539667223065</v>
      </c>
      <c r="CZ17" s="59">
        <f t="shared" si="42"/>
        <v>174.54442616983778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2.9235042735042733</v>
      </c>
      <c r="DO17" s="12">
        <f>IF('Données projet'!$A$166&gt;35,DO16+DN17-DW16,IF(A17&lt;'Données projet'!$A$166,$DL$205^A17,IF(A17='Données projet'!$A$166,'Données projet'!$B$166,DO16+DN17-DW16)))</f>
        <v>8.0676118326430668</v>
      </c>
      <c r="DP17" s="17">
        <f>DO17*VLOOKUP('Données projet'!$B$14,Paramètres!$A$1:$I$89,3,0)*VLOOKUP('Données projet'!$B$14,Paramètres!$A$1:$I$89,5,0)</f>
        <v>8.0547036537108383</v>
      </c>
      <c r="DQ17" s="13">
        <f t="shared" si="43"/>
        <v>2.9116385576363202</v>
      </c>
      <c r="DR17" s="20">
        <f t="shared" si="16"/>
        <v>19.099712684762967</v>
      </c>
      <c r="DS17" s="59">
        <f t="shared" si="17"/>
        <v>312.43304601809626</v>
      </c>
      <c r="DT17" s="59">
        <f ca="1">AVERAGE(OFFSET($DS$3,0,0,'Données projet'!$E$14+1,1))-AVERAGE(OFFSET($H$3,0,0,'Données projet'!$E$14+1,1))</f>
        <v>245.06609107649069</v>
      </c>
      <c r="DU17" s="59">
        <f t="shared" si="44"/>
        <v>156.24531945456499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1.2727507793416999</v>
      </c>
      <c r="EJ17" s="12">
        <f>IF('Données projet'!$A$192&gt;35,EJ16+EI17-ER16,IF(A17&lt;'Données projet'!$A$192,$EG$205^A17,IF(A17='Données projet'!$A$192,'Données projet'!$B$192,EJ16+EI17-ER16)))</f>
        <v>10.721714805148306</v>
      </c>
      <c r="EK17" s="17">
        <f>EJ17*VLOOKUP('Données projet'!$B$15,Paramètres!$A$1:$I$89,3,0)*VLOOKUP('Données projet'!$B$15,Paramètres!$A$1:$I$89,5,0)</f>
        <v>11.708112567221949</v>
      </c>
      <c r="EL17" s="13">
        <f t="shared" si="45"/>
        <v>4.0519780142816355</v>
      </c>
      <c r="EM17" s="20">
        <f t="shared" si="19"/>
        <v>27.448824429452078</v>
      </c>
      <c r="EN17" s="59">
        <f t="shared" si="20"/>
        <v>320.7821577627854</v>
      </c>
      <c r="EO17" s="59">
        <f ca="1">AVERAGE(OFFSET($EN$3,0,0,'Données projet'!$E$15+1,1))-AVERAGE(OFFSET($H$3,0,0,'Données projet'!$E$15+1,1))</f>
        <v>173.63857221119594</v>
      </c>
      <c r="EP17" s="59">
        <f t="shared" si="46"/>
        <v>52.373745617370105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95.809230769230794</v>
      </c>
      <c r="O18" s="13">
        <f>N18*VLOOKUP('Données projet'!$B$9,Paramètres!$A$1:$I$89,3,0)*VLOOKUP('Données projet'!$B$9,Paramètres!$A$1:$I$89,5,0)</f>
        <v>57.293920000000014</v>
      </c>
      <c r="P18" s="13">
        <f t="shared" si="33"/>
        <v>16.482260295625579</v>
      </c>
      <c r="Q18" s="20">
        <f t="shared" si="2"/>
        <v>128.49351401488124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199.58634493109349</v>
      </c>
      <c r="T18" s="59">
        <f t="shared" si="34"/>
        <v>288.66487031729008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6.2199751664102614</v>
      </c>
      <c r="AB18" s="21">
        <f>EXP(-LN(2)/2)*AB17+(1-EXP(-LN(2)/2))/(LN(2)/2)*V18*Y18*VLOOKUP('Données projet'!$B$9,Paramètres!$A$1:$I$89,3,0)*0.475*44/12</f>
        <v>8.610391130038634</v>
      </c>
      <c r="AC18" s="22">
        <f t="shared" si="3"/>
        <v>14.830366296448895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6.25</v>
      </c>
      <c r="AI18" s="13">
        <f>IF('Données projet'!$A$62&gt;35,AI17+AH18-AQ17,IF(A18&lt;'Données projet'!$A$62,$AF$205^A18,IF(A18='Données projet'!$A$62,'Données projet'!$B$62,AI17+AH18-AQ17)))</f>
        <v>37.383719530530506</v>
      </c>
      <c r="AJ18" s="13">
        <f>AI18*VLOOKUP('Données projet'!$B$10,Paramètres!$A$1:$I$89,3,0)*VLOOKUP('Données projet'!$B$10,Paramètres!$A$1:$I$89,5,0)</f>
        <v>22.355464279257241</v>
      </c>
      <c r="AK18" s="13">
        <f t="shared" si="35"/>
        <v>7.1757532548694662</v>
      </c>
      <c r="AL18" s="20">
        <f t="shared" si="4"/>
        <v>51.433537205270682</v>
      </c>
      <c r="AM18" s="59">
        <f t="shared" si="5"/>
        <v>344.766870538604</v>
      </c>
      <c r="AN18" s="59">
        <f ca="1">AVERAGE(OFFSET($AM$3,0,0,'Données projet'!$E$10+1,1))-AVERAGE(OFFSET($H$3,0,0,'Données projet'!$E$10+1,1))</f>
        <v>395.40396173178527</v>
      </c>
      <c r="AO18" s="59">
        <f t="shared" si="36"/>
        <v>304.68075128568756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28.660000000000004</v>
      </c>
      <c r="BD18" s="12">
        <f>IF('Données projet'!$A$88&gt;35,BD17+BC18-BL17,IF(A18&lt;'Données projet'!$A$88,$BA$205^A18,IF(A18='Données projet'!$A$88,'Données projet'!$B$88,BD17+BC18-BL17)))</f>
        <v>162.69999999999999</v>
      </c>
      <c r="BE18" s="13">
        <f>BD18*VLOOKUP('Données projet'!$B$11,Paramètres!$A$1:$I$89,3,0)*VLOOKUP('Données projet'!$B$11,Paramètres!$A$1:$I$89,5,0)</f>
        <v>142.13472000000002</v>
      </c>
      <c r="BF18" s="13">
        <f t="shared" si="37"/>
        <v>36.785608327627429</v>
      </c>
      <c r="BG18" s="20">
        <f t="shared" si="7"/>
        <v>311.61957183728441</v>
      </c>
      <c r="BH18" s="59">
        <f t="shared" si="8"/>
        <v>604.95290517061767</v>
      </c>
      <c r="BI18" s="59">
        <f ca="1">AVERAGE(OFFSET($BH$3,0,0,'Données projet'!$E$11+1,1))-AVERAGE(OFFSET($H$3,0,0,'Données projet'!$E$11+1,1))</f>
        <v>249.21292089724221</v>
      </c>
      <c r="BJ18" s="59">
        <f t="shared" si="38"/>
        <v>640.80644476065254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38.7463227534789</v>
      </c>
      <c r="BR18" s="21">
        <f>EXP(-LN(2)/2)*BR17+(1-EXP(-LN(2)/2))/(LN(2)/2)*BL18*BO18*VLOOKUP('Données projet'!$B$11,Paramètres!$A$1:$I$89,3,0)*0.475*44/12</f>
        <v>12.720558309660042</v>
      </c>
      <c r="BS18" s="22">
        <f t="shared" si="9"/>
        <v>51.466881063138942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3.45</v>
      </c>
      <c r="BY18" s="12">
        <f>IF('Données projet'!$A$114&gt;35,BY17+BX18-CG17,IF(A18&lt;'Données projet'!$A$114,$BV$205^A18,IF(A18='Données projet'!$A$114,'Données projet'!$B$114,BY17+BX18-CG17)))</f>
        <v>23.940698539126789</v>
      </c>
      <c r="BZ18" s="13">
        <f>BY18*VLOOKUP('Données projet'!$B$12,Paramètres!$A$1:$I$89,3,0)*VLOOKUP('Données projet'!$B$12,Paramètres!$A$1:$I$89,5,0)</f>
        <v>19.420694654939652</v>
      </c>
      <c r="CA18" s="13">
        <f t="shared" si="39"/>
        <v>6.3366950412492162</v>
      </c>
      <c r="CB18" s="20">
        <f t="shared" si="10"/>
        <v>44.860787054195605</v>
      </c>
      <c r="CC18" s="59">
        <f t="shared" si="11"/>
        <v>338.19412038752893</v>
      </c>
      <c r="CD18" s="59">
        <f ca="1">AVERAGE(OFFSET($CC$3,0,0,'Données projet'!$E$12+1,1))-AVERAGE(OFFSET($H$3,0,0,'Données projet'!$E$12+1,1))</f>
        <v>192.4785660463869</v>
      </c>
      <c r="CE18" s="59">
        <f t="shared" si="40"/>
        <v>165.11095806515362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2.85</v>
      </c>
      <c r="CT18" s="12">
        <f>IF('Données projet'!$A$140&gt;35,CT17+CS18-DB17,IF(A18&lt;'Données projet'!$A$140,$CQ$205^A18,IF(A18='Données projet'!$A$140,'Données projet'!$B$140,CT17+CS18-DB17)))</f>
        <v>20.744651426583019</v>
      </c>
      <c r="CU18" s="17">
        <f>CT18*VLOOKUP('Données projet'!$B$13,Paramètres!$A$1:$I$89,3,0)*VLOOKUP('Données projet'!$B$13,Paramètres!$A$1:$I$89,5,0)</f>
        <v>17.475294361753537</v>
      </c>
      <c r="CV18" s="13">
        <f t="shared" si="41"/>
        <v>5.7724257189041044</v>
      </c>
      <c r="CW18" s="20">
        <f t="shared" si="13"/>
        <v>40.489779140478731</v>
      </c>
      <c r="CX18" s="59">
        <f t="shared" si="14"/>
        <v>333.82311247381205</v>
      </c>
      <c r="CY18" s="59">
        <f ca="1">AVERAGE(OFFSET($CX$3,0,0,'Données projet'!$E$13+1,1))-AVERAGE(OFFSET($H$3,0,0,'Données projet'!$E$13+1,1))</f>
        <v>247.67539667223065</v>
      </c>
      <c r="CZ18" s="59">
        <f t="shared" si="42"/>
        <v>174.54442616983778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2.9235042735042733</v>
      </c>
      <c r="DO18" s="12">
        <f>IF('Données projet'!$A$166&gt;35,DO17+DN18-DW17,IF(A18&lt;'Données projet'!$A$166,$DL$205^A18,IF(A18='Données projet'!$A$166,'Données projet'!$B$166,DO17+DN18-DW17)))</f>
        <v>9.3651016121091022</v>
      </c>
      <c r="DP18" s="17">
        <f>DO18*VLOOKUP('Données projet'!$B$14,Paramètres!$A$1:$I$89,3,0)*VLOOKUP('Données projet'!$B$14,Paramètres!$A$1:$I$89,5,0)</f>
        <v>9.3501174495297281</v>
      </c>
      <c r="DQ18" s="13">
        <f t="shared" si="43"/>
        <v>3.3217429701082271</v>
      </c>
      <c r="DR18" s="20">
        <f t="shared" si="16"/>
        <v>22.070156897536105</v>
      </c>
      <c r="DS18" s="59">
        <f t="shared" si="17"/>
        <v>315.40349023086941</v>
      </c>
      <c r="DT18" s="59">
        <f ca="1">AVERAGE(OFFSET($DS$3,0,0,'Données projet'!$E$14+1,1))-AVERAGE(OFFSET($H$3,0,0,'Données projet'!$E$14+1,1))</f>
        <v>245.06609107649069</v>
      </c>
      <c r="DU18" s="59">
        <f t="shared" si="44"/>
        <v>156.24531945456499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1.2727507793416999</v>
      </c>
      <c r="EJ18" s="12">
        <f>IF('Données projet'!$A$192&gt;35,EJ17+EI18-ER17,IF(A18&lt;'Données projet'!$A$192,$EG$205^A18,IF(A18='Données projet'!$A$192,'Données projet'!$B$192,EJ17+EI18-ER17)))</f>
        <v>11.994465584490005</v>
      </c>
      <c r="EK18" s="17">
        <f>EJ18*VLOOKUP('Données projet'!$B$15,Paramètres!$A$1:$I$89,3,0)*VLOOKUP('Données projet'!$B$15,Paramètres!$A$1:$I$89,5,0)</f>
        <v>13.097956418263085</v>
      </c>
      <c r="EL18" s="13">
        <f t="shared" si="45"/>
        <v>4.474176513619482</v>
      </c>
      <c r="EM18" s="20">
        <f t="shared" si="19"/>
        <v>30.604798189695472</v>
      </c>
      <c r="EN18" s="59">
        <f t="shared" si="20"/>
        <v>323.9381315230288</v>
      </c>
      <c r="EO18" s="59">
        <f ca="1">AVERAGE(OFFSET($EN$3,0,0,'Données projet'!$E$15+1,1))-AVERAGE(OFFSET($H$3,0,0,'Données projet'!$E$15+1,1))</f>
        <v>173.63857221119594</v>
      </c>
      <c r="EP18" s="59">
        <f t="shared" si="46"/>
        <v>52.373745617370105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114.2569230769231</v>
      </c>
      <c r="O19" s="13">
        <f>N19*VLOOKUP('Données projet'!$B$9,Paramètres!$A$1:$I$89,3,0)*VLOOKUP('Données projet'!$B$9,Paramètres!$A$1:$I$89,5,0)</f>
        <v>68.325640000000021</v>
      </c>
      <c r="P19" s="13">
        <f t="shared" si="33"/>
        <v>19.257070909644309</v>
      </c>
      <c r="Q19" s="20">
        <f t="shared" si="2"/>
        <v>152.53988816763055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199.58634493109349</v>
      </c>
      <c r="T19" s="59">
        <f t="shared" si="34"/>
        <v>288.66487031729008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6.0498896183904947</v>
      </c>
      <c r="AB19" s="21">
        <f>EXP(-LN(2)/2)*AB18+(1-EXP(-LN(2)/2))/(LN(2)/2)*V19*Y19*VLOOKUP('Données projet'!$B$9,Paramètres!$A$1:$I$89,3,0)*0.475*44/12</f>
        <v>6.0884659567188182</v>
      </c>
      <c r="AC19" s="22">
        <f t="shared" si="3"/>
        <v>12.138355575109312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6.25</v>
      </c>
      <c r="AI19" s="13">
        <f>IF('Données projet'!$A$62&gt;35,AI18+AH19-AQ18,IF(A19&lt;'Données projet'!$A$62,$AF$205^A19,IF(A19='Données projet'!$A$62,'Données projet'!$B$62,AI18+AH19-AQ18)))</f>
        <v>47.591348467896943</v>
      </c>
      <c r="AJ19" s="13">
        <f>AI19*VLOOKUP('Données projet'!$B$10,Paramètres!$A$1:$I$89,3,0)*VLOOKUP('Données projet'!$B$10,Paramètres!$A$1:$I$89,5,0)</f>
        <v>28.459626383802373</v>
      </c>
      <c r="AK19" s="13">
        <f t="shared" si="35"/>
        <v>8.8819634367582676</v>
      </c>
      <c r="AL19" s="20">
        <f t="shared" si="4"/>
        <v>65.03660227080978</v>
      </c>
      <c r="AM19" s="59">
        <f t="shared" si="5"/>
        <v>358.36993560414311</v>
      </c>
      <c r="AN19" s="59">
        <f ca="1">AVERAGE(OFFSET($AM$3,0,0,'Données projet'!$E$10+1,1))-AVERAGE(OFFSET($H$3,0,0,'Données projet'!$E$10+1,1))</f>
        <v>395.40396173178527</v>
      </c>
      <c r="AO19" s="59">
        <f t="shared" si="36"/>
        <v>304.68075128568756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28.660000000000004</v>
      </c>
      <c r="BD19" s="12">
        <f>IF('Données projet'!$A$88&gt;35,BD18+BC19-BL18,IF(A19&lt;'Données projet'!$A$88,$BA$205^A19,IF(A19='Données projet'!$A$88,'Données projet'!$B$88,BD18+BC19-BL18)))</f>
        <v>191.35999999999999</v>
      </c>
      <c r="BE19" s="13">
        <f>BD19*VLOOKUP('Données projet'!$B$11,Paramètres!$A$1:$I$89,3,0)*VLOOKUP('Données projet'!$B$11,Paramètres!$A$1:$I$89,5,0)</f>
        <v>167.17209600000001</v>
      </c>
      <c r="BF19" s="13">
        <f t="shared" si="37"/>
        <v>42.456050153347398</v>
      </c>
      <c r="BG19" s="20">
        <f t="shared" si="7"/>
        <v>365.10235455041339</v>
      </c>
      <c r="BH19" s="59">
        <f t="shared" si="8"/>
        <v>658.43568788374671</v>
      </c>
      <c r="BI19" s="59">
        <f ca="1">AVERAGE(OFFSET($BH$3,0,0,'Données projet'!$E$11+1,1))-AVERAGE(OFFSET($H$3,0,0,'Données projet'!$E$11+1,1))</f>
        <v>249.21292089724221</v>
      </c>
      <c r="BJ19" s="59">
        <f t="shared" si="38"/>
        <v>640.80644476065254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37.686802520204459</v>
      </c>
      <c r="BR19" s="21">
        <f>EXP(-LN(2)/2)*BR18+(1-EXP(-LN(2)/2))/(LN(2)/2)*BL19*BO19*VLOOKUP('Données projet'!$B$11,Paramètres!$A$1:$I$89,3,0)*0.475*44/12</f>
        <v>8.9947930412395021</v>
      </c>
      <c r="BS19" s="22">
        <f t="shared" si="9"/>
        <v>46.681595561443963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3.45</v>
      </c>
      <c r="BY19" s="12">
        <f>IF('Données projet'!$A$114&gt;35,BY18+BX19-CG18,IF(A19&lt;'Données projet'!$A$114,$BV$205^A19,IF(A19='Données projet'!$A$114,'Données projet'!$B$114,BY18+BX19-CG18)))</f>
        <v>29.585524474190425</v>
      </c>
      <c r="BZ19" s="13">
        <f>BY19*VLOOKUP('Données projet'!$B$12,Paramètres!$A$1:$I$89,3,0)*VLOOKUP('Données projet'!$B$12,Paramètres!$A$1:$I$89,5,0)</f>
        <v>23.999777453463274</v>
      </c>
      <c r="CA19" s="13">
        <f t="shared" si="39"/>
        <v>7.6401724203758565</v>
      </c>
      <c r="CB19" s="20">
        <f t="shared" si="10"/>
        <v>55.106246030269809</v>
      </c>
      <c r="CC19" s="59">
        <f t="shared" si="11"/>
        <v>348.43957936360312</v>
      </c>
      <c r="CD19" s="59">
        <f ca="1">AVERAGE(OFFSET($CC$3,0,0,'Données projet'!$E$12+1,1))-AVERAGE(OFFSET($H$3,0,0,'Données projet'!$E$12+1,1))</f>
        <v>192.4785660463869</v>
      </c>
      <c r="CE19" s="59">
        <f t="shared" si="40"/>
        <v>165.11095806515362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2.85</v>
      </c>
      <c r="CT19" s="12">
        <f>IF('Données projet'!$A$140&gt;35,CT18+CS19-DB18,IF(A19&lt;'Données projet'!$A$140,$CQ$205^A19,IF(A19='Données projet'!$A$140,'Données projet'!$B$140,CT18+CS19-DB18)))</f>
        <v>25.392173948075062</v>
      </c>
      <c r="CU19" s="17">
        <f>CT19*VLOOKUP('Données projet'!$B$13,Paramètres!$A$1:$I$89,3,0)*VLOOKUP('Données projet'!$B$13,Paramètres!$A$1:$I$89,5,0)</f>
        <v>21.390367333858435</v>
      </c>
      <c r="CV19" s="13">
        <f t="shared" si="41"/>
        <v>6.9013317420809139</v>
      </c>
      <c r="CW19" s="20">
        <f t="shared" si="13"/>
        <v>49.274709223927694</v>
      </c>
      <c r="CX19" s="59">
        <f t="shared" si="14"/>
        <v>342.608042557261</v>
      </c>
      <c r="CY19" s="59">
        <f ca="1">AVERAGE(OFFSET($CX$3,0,0,'Données projet'!$E$13+1,1))-AVERAGE(OFFSET($H$3,0,0,'Données projet'!$E$13+1,1))</f>
        <v>247.67539667223065</v>
      </c>
      <c r="CZ19" s="59">
        <f t="shared" si="42"/>
        <v>174.54442616983778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2.9235042735042733</v>
      </c>
      <c r="DO19" s="12">
        <f>IF('Données projet'!$A$166&gt;35,DO18+DN19-DW18,IF(A19&lt;'Données projet'!$A$166,$DL$205^A19,IF(A19='Données projet'!$A$166,'Données projet'!$B$166,DO18+DN19-DW18)))</f>
        <v>10.87126277571476</v>
      </c>
      <c r="DP19" s="17">
        <f>DO19*VLOOKUP('Données projet'!$B$14,Paramètres!$A$1:$I$89,3,0)*VLOOKUP('Données projet'!$B$14,Paramètres!$A$1:$I$89,5,0)</f>
        <v>10.853868755273616</v>
      </c>
      <c r="DQ19" s="13">
        <f t="shared" si="43"/>
        <v>3.7896106062082286</v>
      </c>
      <c r="DR19" s="20">
        <f t="shared" si="16"/>
        <v>25.50405988791421</v>
      </c>
      <c r="DS19" s="59">
        <f t="shared" si="17"/>
        <v>318.83739322124751</v>
      </c>
      <c r="DT19" s="59">
        <f ca="1">AVERAGE(OFFSET($DS$3,0,0,'Données projet'!$E$14+1,1))-AVERAGE(OFFSET($H$3,0,0,'Données projet'!$E$14+1,1))</f>
        <v>245.06609107649069</v>
      </c>
      <c r="DU19" s="59">
        <f t="shared" si="44"/>
        <v>156.24531945456499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1.2727507793416999</v>
      </c>
      <c r="EJ19" s="12">
        <f>IF('Données projet'!$A$192&gt;35,EJ18+EI19-ER18,IF(A19&lt;'Données projet'!$A$192,$EG$205^A19,IF(A19='Données projet'!$A$192,'Données projet'!$B$192,EJ18+EI19-ER18)))</f>
        <v>13.267216363831704</v>
      </c>
      <c r="EK19" s="17">
        <f>EJ19*VLOOKUP('Données projet'!$B$15,Paramètres!$A$1:$I$89,3,0)*VLOOKUP('Données projet'!$B$15,Paramètres!$A$1:$I$89,5,0)</f>
        <v>14.48780026930422</v>
      </c>
      <c r="EL19" s="13">
        <f t="shared" si="45"/>
        <v>4.8911820748152621</v>
      </c>
      <c r="EM19" s="20">
        <f t="shared" si="19"/>
        <v>33.751727582674768</v>
      </c>
      <c r="EN19" s="59">
        <f t="shared" si="20"/>
        <v>327.0850609160081</v>
      </c>
      <c r="EO19" s="59">
        <f ca="1">AVERAGE(OFFSET($EN$3,0,0,'Données projet'!$E$15+1,1))-AVERAGE(OFFSET($H$3,0,0,'Données projet'!$E$15+1,1))</f>
        <v>173.63857221119594</v>
      </c>
      <c r="EP19" s="59">
        <f t="shared" si="46"/>
        <v>52.373745617370105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132.70461538461541</v>
      </c>
      <c r="O20" s="13">
        <f>N20*VLOOKUP('Données projet'!$B$9,Paramètres!$A$1:$I$89,3,0)*VLOOKUP('Données projet'!$B$9,Paramètres!$A$1:$I$89,5,0)</f>
        <v>79.357360000000028</v>
      </c>
      <c r="P20" s="13">
        <f t="shared" si="33"/>
        <v>21.979981626269119</v>
      </c>
      <c r="Q20" s="20">
        <f t="shared" si="2"/>
        <v>176.49586999908544</v>
      </c>
      <c r="R20" s="59">
        <f t="shared" si="0"/>
        <v>469.82920333241873</v>
      </c>
      <c r="S20" s="59">
        <f ca="1">AVERAGE(OFFSET($R$3,0,0,'Données projet'!$E$9+1,1))-AVERAGE(OFFSET($H$3,0,0,'Données projet'!$E$9+1,1))</f>
        <v>199.58634493109349</v>
      </c>
      <c r="T20" s="59">
        <f t="shared" si="34"/>
        <v>288.66487031729008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5.8844550686257389</v>
      </c>
      <c r="AB20" s="21">
        <f>EXP(-LN(2)/2)*AB19+(1-EXP(-LN(2)/2))/(LN(2)/2)*V20*Y20*VLOOKUP('Données projet'!$B$9,Paramètres!$A$1:$I$89,3,0)*0.475*44/12</f>
        <v>4.305195565019317</v>
      </c>
      <c r="AC20" s="22">
        <f t="shared" si="3"/>
        <v>10.189650633645055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6.25</v>
      </c>
      <c r="AI20" s="13">
        <f>IF('Données projet'!$A$62&gt;35,AI19+AH20-AQ19,IF(A20&lt;'Données projet'!$A$62,$AF$205^A20,IF(A20='Données projet'!$A$62,'Données projet'!$B$62,AI19+AH20-AQ19)))</f>
        <v>60.586171666066313</v>
      </c>
      <c r="AJ20" s="13">
        <f>AI20*VLOOKUP('Données projet'!$B$10,Paramètres!$A$1:$I$89,3,0)*VLOOKUP('Données projet'!$B$10,Paramètres!$A$1:$I$89,5,0)</f>
        <v>36.230530656307657</v>
      </c>
      <c r="AK20" s="13">
        <f t="shared" si="35"/>
        <v>10.99386666317943</v>
      </c>
      <c r="AL20" s="20">
        <f t="shared" si="4"/>
        <v>82.249158664773347</v>
      </c>
      <c r="AM20" s="59">
        <f t="shared" si="5"/>
        <v>375.58249199810666</v>
      </c>
      <c r="AN20" s="59">
        <f ca="1">AVERAGE(OFFSET($AM$3,0,0,'Données projet'!$E$10+1,1))-AVERAGE(OFFSET($H$3,0,0,'Données projet'!$E$10+1,1))</f>
        <v>395.40396173178527</v>
      </c>
      <c r="AO20" s="59">
        <f t="shared" si="36"/>
        <v>304.68075128568756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28.660000000000004</v>
      </c>
      <c r="BD20" s="12">
        <f>IF('Données projet'!$A$88&gt;35,BD19+BC20-BL19,IF(A20&lt;'Données projet'!$A$88,$BA$205^A20,IF(A20='Données projet'!$A$88,'Données projet'!$B$88,BD19+BC20-BL19)))</f>
        <v>220.01999999999998</v>
      </c>
      <c r="BE20" s="13">
        <f>BD20*VLOOKUP('Données projet'!$B$11,Paramètres!$A$1:$I$89,3,0)*VLOOKUP('Données projet'!$B$11,Paramètres!$A$1:$I$89,5,0)</f>
        <v>192.20947200000001</v>
      </c>
      <c r="BF20" s="13">
        <f t="shared" si="37"/>
        <v>48.028106558463321</v>
      </c>
      <c r="BG20" s="20">
        <f t="shared" si="7"/>
        <v>418.41378265599025</v>
      </c>
      <c r="BH20" s="59">
        <f t="shared" si="8"/>
        <v>711.74711598932356</v>
      </c>
      <c r="BI20" s="59">
        <f ca="1">AVERAGE(OFFSET($BH$3,0,0,'Données projet'!$E$11+1,1))-AVERAGE(OFFSET($H$3,0,0,'Données projet'!$E$11+1,1))</f>
        <v>249.21292089724221</v>
      </c>
      <c r="BJ20" s="59">
        <f t="shared" si="38"/>
        <v>640.80644476065254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36.656254923426658</v>
      </c>
      <c r="BR20" s="21">
        <f>EXP(-LN(2)/2)*BR19+(1-EXP(-LN(2)/2))/(LN(2)/2)*BL20*BO20*VLOOKUP('Données projet'!$B$11,Paramètres!$A$1:$I$89,3,0)*0.475*44/12</f>
        <v>6.360279154830021</v>
      </c>
      <c r="BS20" s="22">
        <f t="shared" si="9"/>
        <v>43.016534078256683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3.45</v>
      </c>
      <c r="BY20" s="12">
        <f>IF('Données projet'!$A$114&gt;35,BY19+BX20-CG19,IF(A20&lt;'Données projet'!$A$114,$BV$205^A20,IF(A20='Données projet'!$A$114,'Données projet'!$B$114,BY19+BX20-CG19)))</f>
        <v>36.561308225087672</v>
      </c>
      <c r="BZ20" s="13">
        <f>BY20*VLOOKUP('Données projet'!$B$12,Paramètres!$A$1:$I$89,3,0)*VLOOKUP('Données projet'!$B$12,Paramètres!$A$1:$I$89,5,0)</f>
        <v>29.658533232191125</v>
      </c>
      <c r="CA20" s="13">
        <f t="shared" si="39"/>
        <v>9.2117790477675214</v>
      </c>
      <c r="CB20" s="20">
        <f t="shared" si="10"/>
        <v>67.699127220927977</v>
      </c>
      <c r="CC20" s="59">
        <f t="shared" si="11"/>
        <v>361.03246055426132</v>
      </c>
      <c r="CD20" s="59">
        <f ca="1">AVERAGE(OFFSET($CC$3,0,0,'Données projet'!$E$12+1,1))-AVERAGE(OFFSET($H$3,0,0,'Données projet'!$E$12+1,1))</f>
        <v>192.4785660463869</v>
      </c>
      <c r="CE20" s="59">
        <f t="shared" si="40"/>
        <v>165.11095806515362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2.85</v>
      </c>
      <c r="CT20" s="12">
        <f>IF('Données projet'!$A$140&gt;35,CT19+CS20-DB19,IF(A20&lt;'Données projet'!$A$140,$CQ$205^A20,IF(A20='Données projet'!$A$140,'Données projet'!$B$140,CT19+CS20-DB19)))</f>
        <v>31.080902954246678</v>
      </c>
      <c r="CU20" s="17">
        <f>CT20*VLOOKUP('Données projet'!$B$13,Paramètres!$A$1:$I$89,3,0)*VLOOKUP('Données projet'!$B$13,Paramètres!$A$1:$I$89,5,0)</f>
        <v>26.182552648657406</v>
      </c>
      <c r="CV20" s="13">
        <f t="shared" si="41"/>
        <v>8.2510164935125143</v>
      </c>
      <c r="CW20" s="20">
        <f t="shared" si="13"/>
        <v>59.971799589279279</v>
      </c>
      <c r="CX20" s="59">
        <f t="shared" si="14"/>
        <v>353.30513292261259</v>
      </c>
      <c r="CY20" s="59">
        <f ca="1">AVERAGE(OFFSET($CX$3,0,0,'Données projet'!$E$13+1,1))-AVERAGE(OFFSET($H$3,0,0,'Données projet'!$E$13+1,1))</f>
        <v>247.67539667223065</v>
      </c>
      <c r="CZ20" s="59">
        <f t="shared" si="42"/>
        <v>174.54442616983778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2.9235042735042733</v>
      </c>
      <c r="DO20" s="12">
        <f>IF('Données projet'!$A$166&gt;35,DO19+DN20-DW19,IF(A20&lt;'Données projet'!$A$166,$DL$205^A20,IF(A20='Données projet'!$A$166,'Données projet'!$B$166,DO19+DN20-DW19)))</f>
        <v>12.619655315413629</v>
      </c>
      <c r="DP20" s="17">
        <f>DO20*VLOOKUP('Données projet'!$B$14,Paramètres!$A$1:$I$89,3,0)*VLOOKUP('Données projet'!$B$14,Paramètres!$A$1:$I$89,5,0)</f>
        <v>12.59946386690897</v>
      </c>
      <c r="DQ20" s="13">
        <f t="shared" si="43"/>
        <v>4.3233774183973033</v>
      </c>
      <c r="DR20" s="20">
        <f t="shared" si="16"/>
        <v>29.473948571908423</v>
      </c>
      <c r="DS20" s="59">
        <f t="shared" si="17"/>
        <v>322.80728190524172</v>
      </c>
      <c r="DT20" s="59">
        <f ca="1">AVERAGE(OFFSET($DS$3,0,0,'Données projet'!$E$14+1,1))-AVERAGE(OFFSET($H$3,0,0,'Données projet'!$E$14+1,1))</f>
        <v>245.06609107649069</v>
      </c>
      <c r="DU20" s="59">
        <f t="shared" si="44"/>
        <v>156.24531945456499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1.2727507793416999</v>
      </c>
      <c r="EJ20" s="12">
        <f>IF('Données projet'!$A$192&gt;35,EJ19+EI20-ER19,IF(A20&lt;'Données projet'!$A$192,$EG$205^A20,IF(A20='Données projet'!$A$192,'Données projet'!$B$192,EJ19+EI20-ER19)))</f>
        <v>14.539967143173403</v>
      </c>
      <c r="EK20" s="17">
        <f>EJ20*VLOOKUP('Données projet'!$B$15,Paramètres!$A$1:$I$89,3,0)*VLOOKUP('Données projet'!$B$15,Paramètres!$A$1:$I$89,5,0)</f>
        <v>15.877644120345353</v>
      </c>
      <c r="EL20" s="13">
        <f t="shared" si="45"/>
        <v>5.3035495480219979</v>
      </c>
      <c r="EM20" s="20">
        <f t="shared" si="19"/>
        <v>36.890578972406466</v>
      </c>
      <c r="EN20" s="59">
        <f t="shared" si="20"/>
        <v>330.22391230573976</v>
      </c>
      <c r="EO20" s="59">
        <f ca="1">AVERAGE(OFFSET($EN$3,0,0,'Données projet'!$E$15+1,1))-AVERAGE(OFFSET($H$3,0,0,'Données projet'!$E$15+1,1))</f>
        <v>173.63857221119594</v>
      </c>
      <c r="EP20" s="59">
        <f t="shared" si="46"/>
        <v>52.373745617370105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151.15230769230772</v>
      </c>
      <c r="O21" s="13">
        <f>N21*VLOOKUP('Données projet'!$B$9,Paramètres!$A$1:$I$89,3,0)*VLOOKUP('Données projet'!$B$9,Paramètres!$A$1:$I$89,5,0)</f>
        <v>90.389080000000021</v>
      </c>
      <c r="P21" s="13">
        <f t="shared" si="33"/>
        <v>24.659038148983246</v>
      </c>
      <c r="Q21" s="20">
        <f t="shared" si="2"/>
        <v>200.37547244281248</v>
      </c>
      <c r="R21" s="59">
        <f t="shared" si="0"/>
        <v>493.70880577614582</v>
      </c>
      <c r="S21" s="59">
        <f ca="1">AVERAGE(OFFSET($R$3,0,0,'Données projet'!$E$9+1,1))-AVERAGE(OFFSET($H$3,0,0,'Données projet'!$E$9+1,1))</f>
        <v>199.58634493109349</v>
      </c>
      <c r="T21" s="59">
        <f t="shared" si="34"/>
        <v>288.66487031729008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5.7235443353241253</v>
      </c>
      <c r="AB21" s="21">
        <f>EXP(-LN(2)/2)*AB20+(1-EXP(-LN(2)/2))/(LN(2)/2)*V21*Y21*VLOOKUP('Données projet'!$B$9,Paramètres!$A$1:$I$89,3,0)*0.475*44/12</f>
        <v>3.0442329783594091</v>
      </c>
      <c r="AC21" s="22">
        <f t="shared" si="3"/>
        <v>8.7677773136835349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6.25</v>
      </c>
      <c r="AI21" s="13">
        <f>IF('Données projet'!$A$62&gt;35,AI20+AH21-AQ20,IF(A21&lt;'Données projet'!$A$62,$AF$205^A21,IF(A21='Données projet'!$A$62,'Données projet'!$B$62,AI20+AH21-AQ20)))</f>
        <v>77.129232840001166</v>
      </c>
      <c r="AJ21" s="13">
        <f>AI21*VLOOKUP('Données projet'!$B$10,Paramètres!$A$1:$I$89,3,0)*VLOOKUP('Données projet'!$B$10,Paramètres!$A$1:$I$89,5,0)</f>
        <v>46.1232812383207</v>
      </c>
      <c r="AK21" s="13">
        <f t="shared" si="35"/>
        <v>13.607926340651694</v>
      </c>
      <c r="AL21" s="20">
        <f t="shared" si="4"/>
        <v>104.03185320004359</v>
      </c>
      <c r="AM21" s="59">
        <f t="shared" si="5"/>
        <v>397.36518653337691</v>
      </c>
      <c r="AN21" s="59">
        <f ca="1">AVERAGE(OFFSET($AM$3,0,0,'Données projet'!$E$10+1,1))-AVERAGE(OFFSET($H$3,0,0,'Données projet'!$E$10+1,1))</f>
        <v>395.40396173178527</v>
      </c>
      <c r="AO21" s="59">
        <f t="shared" si="36"/>
        <v>304.68075128568756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28.660000000000004</v>
      </c>
      <c r="BD21" s="12">
        <f>IF('Données projet'!$A$88&gt;35,BD20+BC21-BL20,IF(A21&lt;'Données projet'!$A$88,$BA$205^A21,IF(A21='Données projet'!$A$88,'Données projet'!$B$88,BD20+BC21-BL20)))</f>
        <v>248.67999999999998</v>
      </c>
      <c r="BE21" s="13">
        <f>BD21*VLOOKUP('Données projet'!$B$11,Paramètres!$A$1:$I$89,3,0)*VLOOKUP('Données projet'!$B$11,Paramètres!$A$1:$I$89,5,0)</f>
        <v>217.246848</v>
      </c>
      <c r="BF21" s="13">
        <f t="shared" si="37"/>
        <v>53.516063869702947</v>
      </c>
      <c r="BG21" s="20">
        <f t="shared" si="7"/>
        <v>471.57873817306591</v>
      </c>
      <c r="BH21" s="59">
        <f t="shared" si="8"/>
        <v>764.91207150639923</v>
      </c>
      <c r="BI21" s="59">
        <f ca="1">AVERAGE(OFFSET($BH$3,0,0,'Données projet'!$E$11+1,1))-AVERAGE(OFFSET($H$3,0,0,'Données projet'!$E$11+1,1))</f>
        <v>249.21292089724221</v>
      </c>
      <c r="BJ21" s="59">
        <f t="shared" si="38"/>
        <v>640.80644476065254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35.653887704876887</v>
      </c>
      <c r="BR21" s="21">
        <f>EXP(-LN(2)/2)*BR20+(1-EXP(-LN(2)/2))/(LN(2)/2)*BL21*BO21*VLOOKUP('Données projet'!$B$11,Paramètres!$A$1:$I$89,3,0)*0.475*44/12</f>
        <v>4.497396520619751</v>
      </c>
      <c r="BS21" s="22">
        <f t="shared" si="9"/>
        <v>40.151284225496639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3.45</v>
      </c>
      <c r="BY21" s="12">
        <f>IF('Données projet'!$A$114&gt;35,BY20+BX21-CG20,IF(A21&lt;'Données projet'!$A$114,$BV$205^A21,IF(A21='Données projet'!$A$114,'Données projet'!$B$114,BY20+BX21-CG20)))</f>
        <v>45.181867919765558</v>
      </c>
      <c r="BZ21" s="13">
        <f>BY21*VLOOKUP('Données projet'!$B$12,Paramètres!$A$1:$I$89,3,0)*VLOOKUP('Données projet'!$B$12,Paramètres!$A$1:$I$89,5,0)</f>
        <v>36.65153125651382</v>
      </c>
      <c r="CA21" s="13">
        <f t="shared" si="39"/>
        <v>11.106669922602888</v>
      </c>
      <c r="CB21" s="20">
        <f t="shared" si="10"/>
        <v>83.178867053628267</v>
      </c>
      <c r="CC21" s="59">
        <f t="shared" si="11"/>
        <v>376.51220038696158</v>
      </c>
      <c r="CD21" s="59">
        <f ca="1">AVERAGE(OFFSET($CC$3,0,0,'Données projet'!$E$12+1,1))-AVERAGE(OFFSET($H$3,0,0,'Données projet'!$E$12+1,1))</f>
        <v>192.4785660463869</v>
      </c>
      <c r="CE21" s="59">
        <f t="shared" si="40"/>
        <v>165.11095806515362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2.85</v>
      </c>
      <c r="CT21" s="12">
        <f>IF('Données projet'!$A$140&gt;35,CT20+CS21-DB20,IF(A21&lt;'Données projet'!$A$140,$CQ$205^A21,IF(A21='Données projet'!$A$140,'Données projet'!$B$140,CT20+CS21-DB20)))</f>
        <v>38.044104865803838</v>
      </c>
      <c r="CU21" s="17">
        <f>CT21*VLOOKUP('Données projet'!$B$13,Paramètres!$A$1:$I$89,3,0)*VLOOKUP('Données projet'!$B$13,Paramètres!$A$1:$I$89,5,0)</f>
        <v>32.048353938953156</v>
      </c>
      <c r="CV21" s="13">
        <f t="shared" si="41"/>
        <v>9.8646573908484534</v>
      </c>
      <c r="CW21" s="20">
        <f t="shared" si="13"/>
        <v>72.998494732737797</v>
      </c>
      <c r="CX21" s="59">
        <f t="shared" si="14"/>
        <v>366.33182806607113</v>
      </c>
      <c r="CY21" s="59">
        <f ca="1">AVERAGE(OFFSET($CX$3,0,0,'Données projet'!$E$13+1,1))-AVERAGE(OFFSET($H$3,0,0,'Données projet'!$E$13+1,1))</f>
        <v>247.67539667223065</v>
      </c>
      <c r="CZ21" s="59">
        <f t="shared" si="42"/>
        <v>174.54442616983778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2.9235042735042733</v>
      </c>
      <c r="DO21" s="12">
        <f>IF('Données projet'!$A$166&gt;35,DO20+DN21-DW20,IF(A21&lt;'Données projet'!$A$166,$DL$205^A21,IF(A21='Données projet'!$A$166,'Données projet'!$B$166,DO20+DN21-DW20)))</f>
        <v>14.649236575865659</v>
      </c>
      <c r="DP21" s="17">
        <f>DO21*VLOOKUP('Données projet'!$B$14,Paramètres!$A$1:$I$89,3,0)*VLOOKUP('Données projet'!$B$14,Paramètres!$A$1:$I$89,5,0)</f>
        <v>14.625797797344275</v>
      </c>
      <c r="DQ21" s="13">
        <f t="shared" si="43"/>
        <v>4.9323253083804239</v>
      </c>
      <c r="DR21" s="20">
        <f t="shared" si="16"/>
        <v>34.063731075803851</v>
      </c>
      <c r="DS21" s="59">
        <f t="shared" si="17"/>
        <v>327.39706440913716</v>
      </c>
      <c r="DT21" s="59">
        <f ca="1">AVERAGE(OFFSET($DS$3,0,0,'Données projet'!$E$14+1,1))-AVERAGE(OFFSET($H$3,0,0,'Données projet'!$E$14+1,1))</f>
        <v>245.06609107649069</v>
      </c>
      <c r="DU21" s="59">
        <f t="shared" si="44"/>
        <v>156.24531945456499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1.2727507793416999</v>
      </c>
      <c r="EJ21" s="12">
        <f>IF('Données projet'!$A$192&gt;35,EJ20+EI21-ER20,IF(A21&lt;'Données projet'!$A$192,$EG$205^A21,IF(A21='Données projet'!$A$192,'Données projet'!$B$192,EJ20+EI21-ER20)))</f>
        <v>15.812717922515102</v>
      </c>
      <c r="EK21" s="17">
        <f>EJ21*VLOOKUP('Données projet'!$B$15,Paramètres!$A$1:$I$89,3,0)*VLOOKUP('Données projet'!$B$15,Paramètres!$A$1:$I$89,5,0)</f>
        <v>17.26748797138649</v>
      </c>
      <c r="EL21" s="13">
        <f t="shared" si="45"/>
        <v>5.7117310900848208</v>
      </c>
      <c r="EM21" s="20">
        <f t="shared" si="19"/>
        <v>40.022139865395864</v>
      </c>
      <c r="EN21" s="59">
        <f t="shared" si="20"/>
        <v>333.35547319872916</v>
      </c>
      <c r="EO21" s="59">
        <f ca="1">AVERAGE(OFFSET($EN$3,0,0,'Données projet'!$E$15+1,1))-AVERAGE(OFFSET($H$3,0,0,'Données projet'!$E$15+1,1))</f>
        <v>173.63857221119594</v>
      </c>
      <c r="EP21" s="59">
        <f t="shared" si="46"/>
        <v>52.373745617370105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169.60000000000002</v>
      </c>
      <c r="O22" s="13">
        <f>N22*VLOOKUP('Données projet'!$B$9,Paramètres!$A$1:$I$89,3,0)*VLOOKUP('Données projet'!$B$9,Paramètres!$A$1:$I$89,5,0)</f>
        <v>101.42080000000003</v>
      </c>
      <c r="P22" s="13">
        <f t="shared" si="33"/>
        <v>27.300205128881199</v>
      </c>
      <c r="Q22" s="20">
        <f t="shared" si="2"/>
        <v>224.18908393280142</v>
      </c>
      <c r="R22" s="59">
        <f t="shared" si="0"/>
        <v>517.52241726613477</v>
      </c>
      <c r="S22" s="59">
        <f ca="1">AVERAGE(OFFSET($R$3,0,0,'Données projet'!$E$9+1,1))-AVERAGE(OFFSET($H$3,0,0,'Données projet'!$E$9+1,1))</f>
        <v>199.58634493109349</v>
      </c>
      <c r="T22" s="59">
        <f t="shared" si="34"/>
        <v>288.66487031729008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4.5000000000000005E-2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0.45</v>
      </c>
      <c r="Z22" s="21">
        <f>EXP(-LN(2)/35)*Z21+(1-EXP(-LN(2)/35))/(LN(2)/35)*V22*W22*VLOOKUP('Données projet'!$B$9,Paramètres!$A$1:$I$89,3,0)*0.475*44/12</f>
        <v>1.9600865361659794</v>
      </c>
      <c r="AA22" s="21">
        <f>EXP(-LN(2)/25)*AA21+(1-EXP(-LN(2)/25))/(LN(2)/25)*Calculateur!V22*Calculateur!X22*VLOOKUP('Données projet'!$B$9,Paramètres!$A$1:$I$89,3,0)*0.475*44/12</f>
        <v>14.352693893283643</v>
      </c>
      <c r="AB22" s="21">
        <f>EXP(-LN(2)/2)*AB21+(1-EXP(-LN(2)/2))/(LN(2)/2)*V22*Y22*VLOOKUP('Données projet'!$B$9,Paramètres!$A$1:$I$89,3,0)*0.475*44/12</f>
        <v>18.88207725177956</v>
      </c>
      <c r="AC22" s="22">
        <f t="shared" si="3"/>
        <v>35.19485768122918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6.25</v>
      </c>
      <c r="AI22" s="13">
        <f>IF('Données projet'!$A$62&gt;35,AI21+AH22-AQ21,IF(A22&lt;'Données projet'!$A$62,$AF$205^A22,IF(A22='Données projet'!$A$62,'Données projet'!$B$62,AI21+AH22-AQ21)))</f>
        <v>98.189378778970493</v>
      </c>
      <c r="AJ22" s="13">
        <f>AI22*VLOOKUP('Données projet'!$B$10,Paramètres!$A$1:$I$89,3,0)*VLOOKUP('Données projet'!$B$10,Paramètres!$A$1:$I$89,5,0)</f>
        <v>58.717248509824358</v>
      </c>
      <c r="AK22" s="13">
        <f t="shared" si="35"/>
        <v>16.843542401036295</v>
      </c>
      <c r="AL22" s="20">
        <f t="shared" si="4"/>
        <v>131.60171083641561</v>
      </c>
      <c r="AM22" s="59">
        <f t="shared" si="5"/>
        <v>424.93504416974895</v>
      </c>
      <c r="AN22" s="59">
        <f ca="1">AVERAGE(OFFSET($AM$3,0,0,'Données projet'!$E$10+1,1))-AVERAGE(OFFSET($H$3,0,0,'Données projet'!$E$10+1,1))</f>
        <v>395.40396173178527</v>
      </c>
      <c r="AO22" s="59">
        <f t="shared" si="36"/>
        <v>304.68075128568756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28.660000000000004</v>
      </c>
      <c r="BD22" s="12">
        <f>IF('Données projet'!$A$88&gt;35,BD21+BC22-BL21,IF(A22&lt;'Données projet'!$A$88,$BA$205^A22,IF(A22='Données projet'!$A$88,'Données projet'!$B$88,BD21+BC22-BL21)))</f>
        <v>277.33999999999997</v>
      </c>
      <c r="BE22" s="13">
        <f>BD22*VLOOKUP('Données projet'!$B$11,Paramètres!$A$1:$I$89,3,0)*VLOOKUP('Données projet'!$B$11,Paramètres!$A$1:$I$89,5,0)</f>
        <v>242.28422399999999</v>
      </c>
      <c r="BF22" s="13">
        <f t="shared" si="37"/>
        <v>58.930721129826068</v>
      </c>
      <c r="BG22" s="20">
        <f t="shared" si="7"/>
        <v>524.616029434447</v>
      </c>
      <c r="BH22" s="59">
        <f t="shared" si="8"/>
        <v>817.94936276778026</v>
      </c>
      <c r="BI22" s="59">
        <f ca="1">AVERAGE(OFFSET($BH$3,0,0,'Données projet'!$E$11+1,1))-AVERAGE(OFFSET($H$3,0,0,'Données projet'!$E$11+1,1))</f>
        <v>249.21292089724221</v>
      </c>
      <c r="BJ22" s="59">
        <f t="shared" si="38"/>
        <v>640.80644476065254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34.678930270630559</v>
      </c>
      <c r="BR22" s="21">
        <f>EXP(-LN(2)/2)*BR21+(1-EXP(-LN(2)/2))/(LN(2)/2)*BL22*BO22*VLOOKUP('Données projet'!$B$11,Paramètres!$A$1:$I$89,3,0)*0.475*44/12</f>
        <v>3.1801395774150105</v>
      </c>
      <c r="BS22" s="22">
        <f t="shared" si="9"/>
        <v>37.859069848045571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3.45</v>
      </c>
      <c r="BY22" s="12">
        <f>IF('Données projet'!$A$114&gt;35,BY21+BX22-CG21,IF(A22&lt;'Données projet'!$A$114,$BV$205^A22,IF(A22='Données projet'!$A$114,'Données projet'!$B$114,BY21+BX22-CG21)))</f>
        <v>55.835014878334412</v>
      </c>
      <c r="BZ22" s="13">
        <f>BY22*VLOOKUP('Données projet'!$B$12,Paramètres!$A$1:$I$89,3,0)*VLOOKUP('Données projet'!$B$12,Paramètres!$A$1:$I$89,5,0)</f>
        <v>45.293364069304879</v>
      </c>
      <c r="CA22" s="13">
        <f t="shared" si="39"/>
        <v>13.391345594589314</v>
      </c>
      <c r="CB22" s="20">
        <f t="shared" si="10"/>
        <v>102.20920266461572</v>
      </c>
      <c r="CC22" s="59">
        <f t="shared" si="11"/>
        <v>395.54253599794902</v>
      </c>
      <c r="CD22" s="59">
        <f ca="1">AVERAGE(OFFSET($CC$3,0,0,'Données projet'!$E$12+1,1))-AVERAGE(OFFSET($H$3,0,0,'Données projet'!$E$12+1,1))</f>
        <v>192.4785660463869</v>
      </c>
      <c r="CE22" s="59">
        <f t="shared" si="40"/>
        <v>165.11095806515362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2.85</v>
      </c>
      <c r="CT22" s="12">
        <f>IF('Données projet'!$A$140&gt;35,CT21+CS22-DB21,IF(A22&lt;'Données projet'!$A$140,$CQ$205^A22,IF(A22='Données projet'!$A$140,'Données projet'!$B$140,CT21+CS22-DB21)))</f>
        <v>46.567305884609858</v>
      </c>
      <c r="CU22" s="17">
        <f>CT22*VLOOKUP('Données projet'!$B$13,Paramètres!$A$1:$I$89,3,0)*VLOOKUP('Données projet'!$B$13,Paramètres!$A$1:$I$89,5,0)</f>
        <v>39.228298477195352</v>
      </c>
      <c r="CV22" s="13">
        <f t="shared" si="41"/>
        <v>11.793876004893901</v>
      </c>
      <c r="CW22" s="20">
        <f t="shared" si="13"/>
        <v>88.863620556305435</v>
      </c>
      <c r="CX22" s="59">
        <f t="shared" si="14"/>
        <v>382.19695388963873</v>
      </c>
      <c r="CY22" s="59">
        <f ca="1">AVERAGE(OFFSET($CX$3,0,0,'Données projet'!$E$13+1,1))-AVERAGE(OFFSET($H$3,0,0,'Données projet'!$E$13+1,1))</f>
        <v>247.67539667223065</v>
      </c>
      <c r="CZ22" s="59">
        <f t="shared" si="42"/>
        <v>174.54442616983778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2.9235042735042733</v>
      </c>
      <c r="DO22" s="12">
        <f>IF('Données projet'!$A$166&gt;35,DO21+DN22-DW21,IF(A22&lt;'Données projet'!$A$166,$DL$205^A22,IF(A22='Données projet'!$A$166,'Données projet'!$B$166,DO21+DN22-DW21)))</f>
        <v>17.005229294461625</v>
      </c>
      <c r="DP22" s="17">
        <f>DO22*VLOOKUP('Données projet'!$B$14,Paramètres!$A$1:$I$89,3,0)*VLOOKUP('Données projet'!$B$14,Paramètres!$A$1:$I$89,5,0)</f>
        <v>16.978020927590485</v>
      </c>
      <c r="DQ22" s="13">
        <f t="shared" si="43"/>
        <v>5.6270435341054474</v>
      </c>
      <c r="DR22" s="20">
        <f t="shared" si="16"/>
        <v>39.370487270787081</v>
      </c>
      <c r="DS22" s="59">
        <f t="shared" si="17"/>
        <v>332.70382060412038</v>
      </c>
      <c r="DT22" s="59">
        <f ca="1">AVERAGE(OFFSET($DS$3,0,0,'Données projet'!$E$14+1,1))-AVERAGE(OFFSET($H$3,0,0,'Données projet'!$E$14+1,1))</f>
        <v>245.06609107649069</v>
      </c>
      <c r="DU22" s="59">
        <f t="shared" si="44"/>
        <v>156.24531945456499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1.2727507793416999</v>
      </c>
      <c r="EJ22" s="12">
        <f>IF('Données projet'!$A$192&gt;35,EJ21+EI22-ER21,IF(A22&lt;'Données projet'!$A$192,$EG$205^A22,IF(A22='Données projet'!$A$192,'Données projet'!$B$192,EJ21+EI22-ER21)))</f>
        <v>17.085468701856801</v>
      </c>
      <c r="EK22" s="17">
        <f>EJ22*VLOOKUP('Données projet'!$B$15,Paramètres!$A$1:$I$89,3,0)*VLOOKUP('Données projet'!$B$15,Paramètres!$A$1:$I$89,5,0)</f>
        <v>18.657331822427626</v>
      </c>
      <c r="EL22" s="13">
        <f t="shared" si="45"/>
        <v>6.1161019273972235</v>
      </c>
      <c r="EM22" s="20">
        <f t="shared" si="19"/>
        <v>43.14706378094494</v>
      </c>
      <c r="EN22" s="59">
        <f t="shared" si="20"/>
        <v>336.48039711427828</v>
      </c>
      <c r="EO22" s="59">
        <f ca="1">AVERAGE(OFFSET($EN$3,0,0,'Données projet'!$E$15+1,1))-AVERAGE(OFFSET($H$3,0,0,'Données projet'!$E$15+1,1))</f>
        <v>173.63857221119594</v>
      </c>
      <c r="EP22" s="59">
        <f t="shared" si="46"/>
        <v>52.373745617370105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132.21282051282054</v>
      </c>
      <c r="O23" s="13">
        <f>N23*VLOOKUP('Données projet'!$B$9,Paramètres!$A$1:$I$89,3,0)*VLOOKUP('Données projet'!$B$9,Paramètres!$A$1:$I$89,5,0)</f>
        <v>79.063266666666692</v>
      </c>
      <c r="P23" s="13">
        <f t="shared" si="33"/>
        <v>21.907991192432455</v>
      </c>
      <c r="Q23" s="20">
        <f t="shared" si="2"/>
        <v>175.85827410459771</v>
      </c>
      <c r="R23" s="59">
        <f t="shared" si="0"/>
        <v>469.191607437931</v>
      </c>
      <c r="S23" s="59">
        <f ca="1">AVERAGE(OFFSET($R$3,0,0,'Données projet'!$E$9+1,1))-AVERAGE(OFFSET($H$3,0,0,'Données projet'!$E$9+1,1))</f>
        <v>199.58634493109349</v>
      </c>
      <c r="T23" s="59">
        <f t="shared" si="34"/>
        <v>288.66487031729008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1.9216504347265024</v>
      </c>
      <c r="AA23" s="21">
        <f>EXP(-LN(2)/25)*AA22+(1-EXP(-LN(2)/25))/(LN(2)/25)*Calculateur!V23*Calculateur!X23*VLOOKUP('Données projet'!$B$9,Paramètres!$A$1:$I$89,3,0)*0.475*44/12</f>
        <v>13.960218723996434</v>
      </c>
      <c r="AB23" s="21">
        <f>EXP(-LN(2)/2)*AB22+(1-EXP(-LN(2)/2))/(LN(2)/2)*V23*Y23*VLOOKUP('Données projet'!$B$9,Paramètres!$A$1:$I$89,3,0)*0.475*44/12</f>
        <v>13.351644867621577</v>
      </c>
      <c r="AC23" s="22">
        <f t="shared" si="3"/>
        <v>29.233514026344512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125</v>
      </c>
      <c r="AG23" s="12">
        <f>VLOOKUP(A23,'Données projet'!$A$61:$I$81,9,0)</f>
        <v>6.25</v>
      </c>
      <c r="AH23" s="12">
        <f t="array" ref="AH23">INDEX(AG:AG,MIN(IF(ISNUMBER(AG23:AG219),ROW(AG23:AG219),"")))</f>
        <v>6.25</v>
      </c>
      <c r="AI23" s="13">
        <f>IF('Données projet'!$A$62&gt;35,AI22+AH23-AQ22,IF(A23&lt;'Données projet'!$A$62,$AF$205^A23,IF(A23='Données projet'!$A$62,'Données projet'!$B$62,AI22+AH23-AQ22)))</f>
        <v>125</v>
      </c>
      <c r="AJ23" s="13">
        <f>AI23*VLOOKUP('Données projet'!$B$10,Paramètres!$A$1:$I$89,3,0)*VLOOKUP('Données projet'!$B$10,Paramètres!$A$1:$I$89,5,0)</f>
        <v>74.75</v>
      </c>
      <c r="AK23" s="13">
        <f t="shared" si="35"/>
        <v>20.848505019312213</v>
      </c>
      <c r="AL23" s="20">
        <f t="shared" si="4"/>
        <v>166.50072957530207</v>
      </c>
      <c r="AM23" s="59">
        <f t="shared" si="5"/>
        <v>459.83406290863536</v>
      </c>
      <c r="AN23" s="59">
        <f ca="1">AVERAGE(OFFSET($AM$3,0,0,'Données projet'!$E$10+1,1))-AVERAGE(OFFSET($H$3,0,0,'Données projet'!$E$10+1,1))</f>
        <v>395.40396173178527</v>
      </c>
      <c r="AO23" s="59">
        <f t="shared" si="36"/>
        <v>304.68075128568756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6.9336722247908176</v>
      </c>
      <c r="AW23" s="21">
        <f>EXP(-LN(2)/2)*AW22+(1-EXP(-LN(2)/2))/(LN(2)/2)*AQ23*AT23*VLOOKUP('Données projet'!$B$10,Paramètres!$A$1:$I$89,3,0)*0.475*44/12</f>
        <v>13.202960821456118</v>
      </c>
      <c r="AX23" s="21">
        <f t="shared" si="6"/>
        <v>20.136633046246935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306</v>
      </c>
      <c r="BB23" s="12">
        <f>VLOOKUP(A23,'Données projet'!$A$87:$I$107,9,0)</f>
        <v>28.660000000000004</v>
      </c>
      <c r="BC23" s="12">
        <f t="array" ref="BC23">INDEX(BB:BB,MIN(IF(ISNUMBER(BB23:BB219),ROW(BB23:BB219),"")))</f>
        <v>28.660000000000004</v>
      </c>
      <c r="BD23" s="12">
        <f>IF('Données projet'!$A$88&gt;35,BD22+BC23-BL22,IF(A23&lt;'Données projet'!$A$88,$BA$205^A23,IF(A23='Données projet'!$A$88,'Données projet'!$B$88,BD22+BC23-BL22)))</f>
        <v>306</v>
      </c>
      <c r="BE23" s="13">
        <f>BD23*VLOOKUP('Données projet'!$B$11,Paramètres!$A$1:$I$89,3,0)*VLOOKUP('Données projet'!$B$11,Paramètres!$A$1:$I$89,5,0)</f>
        <v>267.32160000000005</v>
      </c>
      <c r="BF23" s="13">
        <f t="shared" si="37"/>
        <v>64.280515815446378</v>
      </c>
      <c r="BG23" s="20">
        <f t="shared" si="7"/>
        <v>577.54035171190253</v>
      </c>
      <c r="BH23" s="59">
        <f t="shared" si="8"/>
        <v>870.87368504523579</v>
      </c>
      <c r="BI23" s="59">
        <f ca="1">AVERAGE(OFFSET($BH$3,0,0,'Données projet'!$E$11+1,1))-AVERAGE(OFFSET($H$3,0,0,'Données projet'!$E$11+1,1))</f>
        <v>249.21292089724221</v>
      </c>
      <c r="BJ23" s="59">
        <f t="shared" si="38"/>
        <v>640.80644476065254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275.40000000000003</v>
      </c>
      <c r="BM23" s="16">
        <f>IF(ISNA(VLOOKUP(A23,'Données projet'!$A$87:$I$107,5,0)),0%,VLOOKUP(A23,'Données projet'!$A$87:$I$107,5,0)*VLOOKUP('Données projet'!$B$11,Paramètres!$A$1:$I$89,7,0))</f>
        <v>0.21200000000000002</v>
      </c>
      <c r="BN23" s="16">
        <f>IF(ISNA(VLOOKUP(A23,'Données projet'!$A$87:$I$107,6,0)),0%,VLOOKUP(A23,'Données projet'!$A$87:$I$107,6,0)*VLOOKUP('Données projet'!$B$11,Paramètres!$A$1:$I$89,7,0))</f>
        <v>0.159</v>
      </c>
      <c r="BO23" s="16">
        <f>IF(ISNA(VLOOKUP(A23,'Données projet'!$A$87:$I$107,7,0)),0%,VLOOKUP(A23,'Données projet'!$A$87:$I$107,7,0))</f>
        <v>0.3</v>
      </c>
      <c r="BP23" s="21">
        <f>EXP(-LN(2)/35)*BP22+(1-EXP(-LN(2)/35))/(LN(2)/35)*BL23*BM23*VLOOKUP('Données projet'!$B$11,Paramètres!$A$1:$I$89,3,0)*0.475*44/12</f>
        <v>56.384473904265043</v>
      </c>
      <c r="BQ23" s="21">
        <f>EXP(-LN(2)/25)*BQ22+(1-EXP(-LN(2)/25))/(LN(2)/25)*Calculateur!BL23*Calculateur!BN23*VLOOKUP('Données projet'!$B$11,Paramètres!$A$1:$I$89,3,0)*0.475*44/12</f>
        <v>75.852483158445779</v>
      </c>
      <c r="BR23" s="21">
        <f>EXP(-LN(2)/2)*BR22+(1-EXP(-LN(2)/2))/(LN(2)/2)*BL23*BO23*VLOOKUP('Données projet'!$B$11,Paramètres!$A$1:$I$89,3,0)*0.475*44/12</f>
        <v>70.349481863261346</v>
      </c>
      <c r="BS23" s="22">
        <f t="shared" si="9"/>
        <v>202.58643892597217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69</v>
      </c>
      <c r="BW23" s="12">
        <f>VLOOKUP(A23,'Données projet'!$A$113:$I$133,9,0)</f>
        <v>3.45</v>
      </c>
      <c r="BX23" s="12">
        <f t="array" ref="BX23">INDEX(BW:BW,MIN(IF(ISNUMBER(BW23:BW219),ROW(BW23:BW219),"")))</f>
        <v>3.45</v>
      </c>
      <c r="BY23" s="12">
        <f>IF('Données projet'!$A$114&gt;35,BY22+BX23-CG22,IF(A23&lt;'Données projet'!$A$114,$BV$205^A23,IF(A23='Données projet'!$A$114,'Données projet'!$B$114,BY22+BX23-CG22)))</f>
        <v>69</v>
      </c>
      <c r="BZ23" s="13">
        <f>BY23*VLOOKUP('Données projet'!$B$12,Paramètres!$A$1:$I$89,3,0)*VLOOKUP('Données projet'!$B$12,Paramètres!$A$1:$I$89,5,0)</f>
        <v>55.972800000000007</v>
      </c>
      <c r="CA23" s="13">
        <f t="shared" si="39"/>
        <v>16.145985978099571</v>
      </c>
      <c r="CB23" s="20">
        <f t="shared" si="10"/>
        <v>125.60688557852342</v>
      </c>
      <c r="CC23" s="59">
        <f t="shared" si="11"/>
        <v>418.94021891185673</v>
      </c>
      <c r="CD23" s="59">
        <f ca="1">AVERAGE(OFFSET($CC$3,0,0,'Données projet'!$E$12+1,1))-AVERAGE(OFFSET($H$3,0,0,'Données projet'!$E$12+1,1))</f>
        <v>192.4785660463869</v>
      </c>
      <c r="CE23" s="59">
        <f t="shared" si="40"/>
        <v>165.11095806515362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1.4403280466956767</v>
      </c>
      <c r="CM23" s="21">
        <f>EXP(-LN(2)/2)*CM22+(1-EXP(-LN(2)/2))/(LN(2)/2)*CG23*CJ23*VLOOKUP('Données projet'!$B$12,Paramètres!$A$1:$I$89,3,0)*0.475*44/12</f>
        <v>2.8702088742295913</v>
      </c>
      <c r="CN23" s="22">
        <f t="shared" si="12"/>
        <v>4.3105369209252675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2.85</v>
      </c>
      <c r="CS23" s="12">
        <f t="array" ref="CS23">INDEX(CR:CR,MIN(IF(ISNUMBER(CR23:CR219),ROW(CR23:CR219),"")))</f>
        <v>2.85</v>
      </c>
      <c r="CT23" s="12">
        <f>IF('Données projet'!$A$140&gt;35,CT22+CS23-DB22,IF(A23&lt;'Données projet'!$A$140,$CQ$205^A23,IF(A23='Données projet'!$A$140,'Données projet'!$B$140,CT22+CS23-DB22)))</f>
        <v>57</v>
      </c>
      <c r="CU23" s="17">
        <f>CT23*VLOOKUP('Données projet'!$B$13,Paramètres!$A$1:$I$89,3,0)*VLOOKUP('Données projet'!$B$13,Paramètres!$A$1:$I$89,5,0)</f>
        <v>48.016800000000003</v>
      </c>
      <c r="CV23" s="13">
        <f t="shared" si="41"/>
        <v>14.10038947200055</v>
      </c>
      <c r="CW23" s="20">
        <f t="shared" si="13"/>
        <v>108.18743833040098</v>
      </c>
      <c r="CX23" s="59">
        <f t="shared" si="14"/>
        <v>401.52077166373431</v>
      </c>
      <c r="CY23" s="59">
        <f ca="1">AVERAGE(OFFSET($CX$3,0,0,'Données projet'!$E$13+1,1))-AVERAGE(OFFSET($H$3,0,0,'Données projet'!$E$13+1,1))</f>
        <v>247.67539667223065</v>
      </c>
      <c r="CZ23" s="59">
        <f t="shared" si="42"/>
        <v>174.54442616983778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11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1.0968652047913232</v>
      </c>
      <c r="DH23" s="21">
        <f>EXP(-LN(2)/2)*DH22+(1-EXP(-LN(2)/2))/(LN(2)/2)*DB23*DE23*VLOOKUP('Données projet'!$B$13,Paramètres!$A$1:$I$89,3,0)*0.475*44/12</f>
        <v>2.1857744503748422</v>
      </c>
      <c r="DI23" s="22">
        <f t="shared" si="15"/>
        <v>3.2826396551661654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2.9235042735042733</v>
      </c>
      <c r="DO23" s="12">
        <f>IF('Données projet'!$A$166&gt;35,DO22+DN23-DW22,IF(A23&lt;'Données projet'!$A$166,$DL$205^A23,IF(A23='Données projet'!$A$166,'Données projet'!$B$166,DO22+DN23-DW22)))</f>
        <v>19.740129245617538</v>
      </c>
      <c r="DP23" s="17">
        <f>DO23*VLOOKUP('Données projet'!$B$14,Paramètres!$A$1:$I$89,3,0)*VLOOKUP('Données projet'!$B$14,Paramètres!$A$1:$I$89,5,0)</f>
        <v>19.70854503882455</v>
      </c>
      <c r="DQ23" s="13">
        <f t="shared" si="43"/>
        <v>6.4196128509445325</v>
      </c>
      <c r="DR23" s="20">
        <f t="shared" si="16"/>
        <v>45.506541658014477</v>
      </c>
      <c r="DS23" s="59">
        <f t="shared" si="17"/>
        <v>338.83987499134781</v>
      </c>
      <c r="DT23" s="59">
        <f ca="1">AVERAGE(OFFSET($DS$3,0,0,'Données projet'!$E$14+1,1))-AVERAGE(OFFSET($H$3,0,0,'Données projet'!$E$14+1,1))</f>
        <v>245.06609107649069</v>
      </c>
      <c r="DU23" s="59">
        <f t="shared" si="44"/>
        <v>156.24531945456499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18.358219481198507</v>
      </c>
      <c r="EH23" s="12">
        <f>VLOOKUP(A23,'Données projet'!$A$191:$I$211,9,0)</f>
        <v>1.2727507793416999</v>
      </c>
      <c r="EI23" s="12">
        <f t="array" ref="EI23">INDEX(EH:EH,MIN(IF(ISNUMBER(EH23:EH219),ROW(EH23:EH219),"")))</f>
        <v>1.2727507793416999</v>
      </c>
      <c r="EJ23" s="12">
        <f>IF('Données projet'!$A$192&gt;35,EJ22+EI23-ER22,IF(A23&lt;'Données projet'!$A$192,$EG$205^A23,IF(A23='Données projet'!$A$192,'Données projet'!$B$192,EJ22+EI23-ER22)))</f>
        <v>18.3582194811985</v>
      </c>
      <c r="EK23" s="17">
        <f>EJ23*VLOOKUP('Données projet'!$B$15,Paramètres!$A$1:$I$89,3,0)*VLOOKUP('Données projet'!$B$15,Paramètres!$A$1:$I$89,5,0)</f>
        <v>20.047175673468761</v>
      </c>
      <c r="EL23" s="13">
        <f t="shared" si="45"/>
        <v>6.5169782108444219</v>
      </c>
      <c r="EM23" s="20">
        <f t="shared" si="19"/>
        <v>46.265901348512124</v>
      </c>
      <c r="EN23" s="59">
        <f t="shared" si="20"/>
        <v>339.59923468184542</v>
      </c>
      <c r="EO23" s="59">
        <f ca="1">AVERAGE(OFFSET($EN$3,0,0,'Données projet'!$E$15+1,1))-AVERAGE(OFFSET($H$3,0,0,'Données projet'!$E$15+1,1))</f>
        <v>173.63857221119594</v>
      </c>
      <c r="EP23" s="59">
        <f t="shared" si="46"/>
        <v>52.373745617370105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149.73333333333335</v>
      </c>
      <c r="O24" s="13">
        <f>N24*VLOOKUP('Données projet'!$B$9,Paramètres!$A$1:$I$89,3,0)*VLOOKUP('Données projet'!$B$9,Paramètres!$A$1:$I$89,5,0)</f>
        <v>89.540533333333343</v>
      </c>
      <c r="P24" s="13">
        <f t="shared" si="33"/>
        <v>24.454379710376543</v>
      </c>
      <c r="Q24" s="20">
        <f t="shared" si="2"/>
        <v>198.54114021779469</v>
      </c>
      <c r="R24" s="59">
        <f t="shared" si="0"/>
        <v>491.87447355112801</v>
      </c>
      <c r="S24" s="59">
        <f ca="1">AVERAGE(OFFSET($R$3,0,0,'Données projet'!$E$9+1,1))-AVERAGE(OFFSET($H$3,0,0,'Données projet'!$E$9+1,1))</f>
        <v>199.58634493109349</v>
      </c>
      <c r="T24" s="59">
        <f t="shared" si="34"/>
        <v>288.66487031729008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1.8839680417925466</v>
      </c>
      <c r="AA24" s="21">
        <f>EXP(-LN(2)/25)*AA23+(1-EXP(-LN(2)/25))/(LN(2)/25)*Calculateur!V24*Calculateur!X24*VLOOKUP('Données projet'!$B$9,Paramètres!$A$1:$I$89,3,0)*0.475*44/12</f>
        <v>13.578475808852755</v>
      </c>
      <c r="AB24" s="21">
        <f>EXP(-LN(2)/2)*AB23+(1-EXP(-LN(2)/2))/(LN(2)/2)*V24*Y24*VLOOKUP('Données projet'!$B$9,Paramètres!$A$1:$I$89,3,0)*0.475*44/12</f>
        <v>9.4410386258897816</v>
      </c>
      <c r="AC24" s="22">
        <f t="shared" si="3"/>
        <v>24.903482476535082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17.600000000000001</v>
      </c>
      <c r="AI24" s="13">
        <f>IF('Données projet'!$A$62&gt;35,AI23+AH24-AQ23,IF(A24&lt;'Données projet'!$A$62,$AF$205^A24,IF(A24='Données projet'!$A$62,'Données projet'!$B$62,AI23+AH24-AQ23)))</f>
        <v>103.6</v>
      </c>
      <c r="AJ24" s="13">
        <f>AI24*VLOOKUP('Données projet'!$B$10,Paramètres!$A$1:$I$89,3,0)*VLOOKUP('Données projet'!$B$10,Paramètres!$A$1:$I$89,5,0)</f>
        <v>61.952800000000003</v>
      </c>
      <c r="AK24" s="13">
        <f t="shared" si="35"/>
        <v>17.661074028031649</v>
      </c>
      <c r="AL24" s="20">
        <f t="shared" si="4"/>
        <v>138.66083059882178</v>
      </c>
      <c r="AM24" s="59">
        <f t="shared" si="5"/>
        <v>431.99416393215506</v>
      </c>
      <c r="AN24" s="59">
        <f ca="1">AVERAGE(OFFSET($AM$3,0,0,'Données projet'!$E$10+1,1))-AVERAGE(OFFSET($H$3,0,0,'Données projet'!$E$10+1,1))</f>
        <v>395.40396173178527</v>
      </c>
      <c r="AO24" s="59">
        <f t="shared" si="36"/>
        <v>304.68075128568756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6.7440705931779377</v>
      </c>
      <c r="AW24" s="21">
        <f>EXP(-LN(2)/2)*AW23+(1-EXP(-LN(2)/2))/(LN(2)/2)*AQ24*AT24*VLOOKUP('Données projet'!$B$10,Paramètres!$A$1:$I$89,3,0)*0.475*44/12</f>
        <v>9.3359031285919318</v>
      </c>
      <c r="AX24" s="21">
        <f t="shared" si="6"/>
        <v>16.079973721769868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33.040000000000006</v>
      </c>
      <c r="BD24" s="12">
        <f>IF('Données projet'!$A$88&gt;35,BD23+BC24-BL23,IF(A24&lt;'Données projet'!$A$88,$BA$205^A24,IF(A24='Données projet'!$A$88,'Données projet'!$B$88,BD23+BC24-BL23)))</f>
        <v>63.639999999999986</v>
      </c>
      <c r="BE24" s="13">
        <f>BD24*VLOOKUP('Données projet'!$B$11,Paramètres!$A$1:$I$89,3,0)*VLOOKUP('Données projet'!$B$11,Paramètres!$A$1:$I$89,5,0)</f>
        <v>55.595903999999997</v>
      </c>
      <c r="BF24" s="13">
        <f t="shared" si="37"/>
        <v>16.049883327690651</v>
      </c>
      <c r="BG24" s="20">
        <f t="shared" si="7"/>
        <v>124.78307959572787</v>
      </c>
      <c r="BH24" s="59">
        <f t="shared" si="8"/>
        <v>418.1164129290612</v>
      </c>
      <c r="BI24" s="59">
        <f ca="1">AVERAGE(OFFSET($BH$3,0,0,'Données projet'!$E$11+1,1))-AVERAGE(OFFSET($H$3,0,0,'Données projet'!$E$11+1,1))</f>
        <v>249.21292089724221</v>
      </c>
      <c r="BJ24" s="59">
        <f t="shared" si="38"/>
        <v>640.80644476065254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55.278808762135647</v>
      </c>
      <c r="BQ24" s="21">
        <f>EXP(-LN(2)/25)*BQ23+(1-EXP(-LN(2)/25))/(LN(2)/25)*Calculateur!BL24*Calculateur!BN24*VLOOKUP('Données projet'!$B$11,Paramètres!$A$1:$I$89,3,0)*0.475*44/12</f>
        <v>73.778293017569354</v>
      </c>
      <c r="BR24" s="21">
        <f>EXP(-LN(2)/2)*BR23+(1-EXP(-LN(2)/2))/(LN(2)/2)*BL24*BO24*VLOOKUP('Données projet'!$B$11,Paramètres!$A$1:$I$89,3,0)*0.475*44/12</f>
        <v>49.744595678472137</v>
      </c>
      <c r="BS24" s="22">
        <f t="shared" si="9"/>
        <v>178.80169745817713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5.9</v>
      </c>
      <c r="BY24" s="12">
        <f>IF('Données projet'!$A$114&gt;35,BY23+BX24-CG23,IF(A24&lt;'Données projet'!$A$114,$BV$205^A24,IF(A24='Données projet'!$A$114,'Données projet'!$B$114,BY23+BX24-CG23)))</f>
        <v>59.900000000000006</v>
      </c>
      <c r="BZ24" s="13">
        <f>BY24*VLOOKUP('Données projet'!$B$12,Paramètres!$A$1:$I$89,3,0)*VLOOKUP('Données projet'!$B$12,Paramètres!$A$1:$I$89,5,0)</f>
        <v>48.590880000000006</v>
      </c>
      <c r="CA24" s="13">
        <f t="shared" si="39"/>
        <v>14.249245030442918</v>
      </c>
      <c r="CB24" s="20">
        <f t="shared" si="10"/>
        <v>109.44655109468808</v>
      </c>
      <c r="CC24" s="59">
        <f t="shared" si="11"/>
        <v>402.77988442802138</v>
      </c>
      <c r="CD24" s="59">
        <f ca="1">AVERAGE(OFFSET($CC$3,0,0,'Données projet'!$E$12+1,1))-AVERAGE(OFFSET($H$3,0,0,'Données projet'!$E$12+1,1))</f>
        <v>192.4785660463869</v>
      </c>
      <c r="CE24" s="59">
        <f t="shared" si="40"/>
        <v>165.11095806515362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1.4009422005152234</v>
      </c>
      <c r="CM24" s="21">
        <f>EXP(-LN(2)/2)*CM23+(1-EXP(-LN(2)/2))/(LN(2)/2)*CG24*CJ24*VLOOKUP('Données projet'!$B$12,Paramètres!$A$1:$I$89,3,0)*0.475*44/12</f>
        <v>2.0295441583895508</v>
      </c>
      <c r="CN24" s="22">
        <f t="shared" si="12"/>
        <v>3.4304863589047745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6.8</v>
      </c>
      <c r="CT24" s="12">
        <f>IF('Données projet'!$A$140&gt;35,CT23+CS24-DB23,IF(A24&lt;'Données projet'!$A$140,$CQ$205^A24,IF(A24='Données projet'!$A$140,'Données projet'!$B$140,CT23+CS24-DB23)))</f>
        <v>52.8</v>
      </c>
      <c r="CU24" s="17">
        <f>CT24*VLOOKUP('Données projet'!$B$13,Paramètres!$A$1:$I$89,3,0)*VLOOKUP('Données projet'!$B$13,Paramètres!$A$1:$I$89,5,0)</f>
        <v>44.478720000000003</v>
      </c>
      <c r="CV24" s="13">
        <f t="shared" si="41"/>
        <v>13.178300916389837</v>
      </c>
      <c r="CW24" s="20">
        <f t="shared" si="13"/>
        <v>100.41931142937896</v>
      </c>
      <c r="CX24" s="59">
        <f t="shared" si="14"/>
        <v>393.75264476271229</v>
      </c>
      <c r="CY24" s="59">
        <f ca="1">AVERAGE(OFFSET($CX$3,0,0,'Données projet'!$E$13+1,1))-AVERAGE(OFFSET($H$3,0,0,'Données projet'!$E$13+1,1))</f>
        <v>247.67539667223065</v>
      </c>
      <c r="CZ24" s="59">
        <f t="shared" si="42"/>
        <v>174.54442616983778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1.0668713680846702</v>
      </c>
      <c r="DH24" s="21">
        <f>EXP(-LN(2)/2)*DH23+(1-EXP(-LN(2)/2))/(LN(2)/2)*DB24*DE24*VLOOKUP('Données projet'!$B$13,Paramètres!$A$1:$I$89,3,0)*0.475*44/12</f>
        <v>1.5455759360043497</v>
      </c>
      <c r="DI24" s="22">
        <f t="shared" si="15"/>
        <v>2.6124473040890202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2.9235042735042733</v>
      </c>
      <c r="DO24" s="12">
        <f>IF('Données projet'!$A$166&gt;35,DO23+DN24-DW23,IF(A24&lt;'Données projet'!$A$166,$DL$205^A24,IF(A24='Données projet'!$A$166,'Données projet'!$B$166,DO23+DN24-DW23)))</f>
        <v>22.91487494147438</v>
      </c>
      <c r="DP24" s="17">
        <f>DO24*VLOOKUP('Données projet'!$B$14,Paramètres!$A$1:$I$89,3,0)*VLOOKUP('Données projet'!$B$14,Paramètres!$A$1:$I$89,5,0)</f>
        <v>22.878211141568023</v>
      </c>
      <c r="DQ24" s="13">
        <f t="shared" si="43"/>
        <v>7.3238155891686576</v>
      </c>
      <c r="DR24" s="20">
        <f t="shared" si="16"/>
        <v>52.601863222699713</v>
      </c>
      <c r="DS24" s="59">
        <f t="shared" si="17"/>
        <v>345.93519655603302</v>
      </c>
      <c r="DT24" s="59">
        <f ca="1">AVERAGE(OFFSET($DS$3,0,0,'Données projet'!$E$14+1,1))-AVERAGE(OFFSET($H$3,0,0,'Données projet'!$E$14+1,1))</f>
        <v>245.06609107649069</v>
      </c>
      <c r="DU24" s="59">
        <f t="shared" si="44"/>
        <v>156.24531945456499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1.8202290328267554</v>
      </c>
      <c r="EJ24" s="12">
        <f>IF('Données projet'!$A$192&gt;35,EJ23+EI24-ER23,IF(A24&lt;'Données projet'!$A$192,$EG$205^A24,IF(A24='Données projet'!$A$192,'Données projet'!$B$192,EJ23+EI24-ER23)))</f>
        <v>20.178448514025256</v>
      </c>
      <c r="EK24" s="17">
        <f>EJ24*VLOOKUP('Données projet'!$B$15,Paramètres!$A$1:$I$89,3,0)*VLOOKUP('Données projet'!$B$15,Paramètres!$A$1:$I$89,5,0)</f>
        <v>22.034865777315577</v>
      </c>
      <c r="EL24" s="13">
        <f t="shared" si="45"/>
        <v>7.0847482502287376</v>
      </c>
      <c r="EM24" s="20">
        <f t="shared" si="19"/>
        <v>50.716661097973009</v>
      </c>
      <c r="EN24" s="59">
        <f t="shared" si="20"/>
        <v>344.04999443130635</v>
      </c>
      <c r="EO24" s="59">
        <f ca="1">AVERAGE(OFFSET($EN$3,0,0,'Données projet'!$E$15+1,1))-AVERAGE(OFFSET($H$3,0,0,'Données projet'!$E$15+1,1))</f>
        <v>173.63857221119594</v>
      </c>
      <c r="EP24" s="59">
        <f t="shared" si="46"/>
        <v>52.373745617370105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167.25384615384615</v>
      </c>
      <c r="O25" s="13">
        <f>N25*VLOOKUP('Données projet'!$B$9,Paramètres!$A$1:$I$89,3,0)*VLOOKUP('Données projet'!$B$9,Paramètres!$A$1:$I$89,5,0)</f>
        <v>100.01780000000001</v>
      </c>
      <c r="P25" s="13">
        <f t="shared" si="33"/>
        <v>26.966238108966941</v>
      </c>
      <c r="Q25" s="20">
        <f t="shared" si="2"/>
        <v>221.16386637311743</v>
      </c>
      <c r="R25" s="59">
        <f t="shared" si="0"/>
        <v>514.49719970645071</v>
      </c>
      <c r="S25" s="59">
        <f ca="1">AVERAGE(OFFSET($R$3,0,0,'Données projet'!$E$9+1,1))-AVERAGE(OFFSET($H$3,0,0,'Données projet'!$E$9+1,1))</f>
        <v>199.58634493109349</v>
      </c>
      <c r="T25" s="59">
        <f t="shared" si="34"/>
        <v>288.66487031729008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1.8470245776000354</v>
      </c>
      <c r="AA25" s="21">
        <f>EXP(-LN(2)/25)*AA24+(1-EXP(-LN(2)/25))/(LN(2)/25)*Calculateur!V25*Calculateur!X25*VLOOKUP('Données projet'!$B$9,Paramètres!$A$1:$I$89,3,0)*0.475*44/12</f>
        <v>13.207171673798667</v>
      </c>
      <c r="AB25" s="21">
        <f>EXP(-LN(2)/2)*AB24+(1-EXP(-LN(2)/2))/(LN(2)/2)*V25*Y25*VLOOKUP('Données projet'!$B$9,Paramètres!$A$1:$I$89,3,0)*0.475*44/12</f>
        <v>6.6758224338107892</v>
      </c>
      <c r="AC25" s="22">
        <f t="shared" si="3"/>
        <v>21.73001868520949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17.600000000000001</v>
      </c>
      <c r="AI25" s="13">
        <f>IF('Données projet'!$A$62&gt;35,AI24+AH25-AQ24,IF(A25&lt;'Données projet'!$A$62,$AF$205^A25,IF(A25='Données projet'!$A$62,'Données projet'!$B$62,AI24+AH25-AQ24)))</f>
        <v>121.19999999999999</v>
      </c>
      <c r="AJ25" s="13">
        <f>AI25*VLOOKUP('Données projet'!$B$10,Paramètres!$A$1:$I$89,3,0)*VLOOKUP('Données projet'!$B$10,Paramètres!$A$1:$I$89,5,0)</f>
        <v>72.477599999999995</v>
      </c>
      <c r="AK25" s="13">
        <f t="shared" si="35"/>
        <v>20.287481925986448</v>
      </c>
      <c r="AL25" s="20">
        <f t="shared" si="4"/>
        <v>161.56585102109304</v>
      </c>
      <c r="AM25" s="59">
        <f t="shared" si="5"/>
        <v>454.89918435442632</v>
      </c>
      <c r="AN25" s="59">
        <f ca="1">AVERAGE(OFFSET($AM$3,0,0,'Données projet'!$E$10+1,1))-AVERAGE(OFFSET($H$3,0,0,'Données projet'!$E$10+1,1))</f>
        <v>395.40396173178527</v>
      </c>
      <c r="AO25" s="59">
        <f t="shared" si="36"/>
        <v>304.68075128568756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6.559653628152228</v>
      </c>
      <c r="AW25" s="21">
        <f>EXP(-LN(2)/2)*AW24+(1-EXP(-LN(2)/2))/(LN(2)/2)*AQ25*AT25*VLOOKUP('Données projet'!$B$10,Paramètres!$A$1:$I$89,3,0)*0.475*44/12</f>
        <v>6.60148041072806</v>
      </c>
      <c r="AX25" s="21">
        <f t="shared" si="6"/>
        <v>13.161134038880288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33.040000000000006</v>
      </c>
      <c r="BD25" s="12">
        <f>IF('Données projet'!$A$88&gt;35,BD24+BC25-BL24,IF(A25&lt;'Données projet'!$A$88,$BA$205^A25,IF(A25='Données projet'!$A$88,'Données projet'!$B$88,BD24+BC25-BL24)))</f>
        <v>96.679999999999993</v>
      </c>
      <c r="BE25" s="13">
        <f>BD25*VLOOKUP('Données projet'!$B$11,Paramètres!$A$1:$I$89,3,0)*VLOOKUP('Données projet'!$B$11,Paramètres!$A$1:$I$89,5,0)</f>
        <v>84.459648000000001</v>
      </c>
      <c r="BF25" s="13">
        <f t="shared" si="37"/>
        <v>23.224124835718403</v>
      </c>
      <c r="BG25" s="20">
        <f t="shared" si="7"/>
        <v>187.54923768887622</v>
      </c>
      <c r="BH25" s="59">
        <f t="shared" si="8"/>
        <v>480.8825710222095</v>
      </c>
      <c r="BI25" s="59">
        <f ca="1">AVERAGE(OFFSET($BH$3,0,0,'Données projet'!$E$11+1,1))-AVERAGE(OFFSET($H$3,0,0,'Données projet'!$E$11+1,1))</f>
        <v>249.21292089724221</v>
      </c>
      <c r="BJ25" s="59">
        <f t="shared" si="38"/>
        <v>640.80644476065254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54.194825039054258</v>
      </c>
      <c r="BQ25" s="21">
        <f>EXP(-LN(2)/25)*BQ24+(1-EXP(-LN(2)/25))/(LN(2)/25)*Calculateur!BL25*Calculateur!BN25*VLOOKUP('Données projet'!$B$11,Paramètres!$A$1:$I$89,3,0)*0.475*44/12</f>
        <v>71.760821715172113</v>
      </c>
      <c r="BR25" s="21">
        <f>EXP(-LN(2)/2)*BR24+(1-EXP(-LN(2)/2))/(LN(2)/2)*BL25*BO25*VLOOKUP('Données projet'!$B$11,Paramètres!$A$1:$I$89,3,0)*0.475*44/12</f>
        <v>35.17474093163068</v>
      </c>
      <c r="BS25" s="22">
        <f t="shared" si="9"/>
        <v>161.13038768585704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5.9</v>
      </c>
      <c r="BY25" s="12">
        <f>IF('Données projet'!$A$114&gt;35,BY24+BX25-CG24,IF(A25&lt;'Données projet'!$A$114,$BV$205^A25,IF(A25='Données projet'!$A$114,'Données projet'!$B$114,BY24+BX25-CG24)))</f>
        <v>65.800000000000011</v>
      </c>
      <c r="BZ25" s="13">
        <f>BY25*VLOOKUP('Données projet'!$B$12,Paramètres!$A$1:$I$89,3,0)*VLOOKUP('Données projet'!$B$12,Paramètres!$A$1:$I$89,5,0)</f>
        <v>53.376960000000011</v>
      </c>
      <c r="CA25" s="13">
        <f t="shared" si="39"/>
        <v>15.48252942274674</v>
      </c>
      <c r="CB25" s="20">
        <f t="shared" si="10"/>
        <v>119.9302774112839</v>
      </c>
      <c r="CC25" s="59">
        <f t="shared" si="11"/>
        <v>413.26361074461721</v>
      </c>
      <c r="CD25" s="59">
        <f ca="1">AVERAGE(OFFSET($CC$3,0,0,'Données projet'!$E$12+1,1))-AVERAGE(OFFSET($H$3,0,0,'Données projet'!$E$12+1,1))</f>
        <v>192.4785660463869</v>
      </c>
      <c r="CE25" s="59">
        <f t="shared" si="40"/>
        <v>165.11095806515362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1.3626333623697862</v>
      </c>
      <c r="CM25" s="21">
        <f>EXP(-LN(2)/2)*CM24+(1-EXP(-LN(2)/2))/(LN(2)/2)*CG25*CJ25*VLOOKUP('Données projet'!$B$12,Paramètres!$A$1:$I$89,3,0)*0.475*44/12</f>
        <v>1.4351044371147961</v>
      </c>
      <c r="CN25" s="22">
        <f t="shared" si="12"/>
        <v>2.7977377994845822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6.8</v>
      </c>
      <c r="CT25" s="12">
        <f>IF('Données projet'!$A$140&gt;35,CT24+CS25-DB24,IF(A25&lt;'Données projet'!$A$140,$CQ$205^A25,IF(A25='Données projet'!$A$140,'Données projet'!$B$140,CT24+CS25-DB24)))</f>
        <v>59.599999999999994</v>
      </c>
      <c r="CU25" s="17">
        <f>CT25*VLOOKUP('Données projet'!$B$13,Paramètres!$A$1:$I$89,3,0)*VLOOKUP('Données projet'!$B$13,Paramètres!$A$1:$I$89,5,0)</f>
        <v>50.207039999999999</v>
      </c>
      <c r="CV25" s="13">
        <f t="shared" si="41"/>
        <v>14.667215780386758</v>
      </c>
      <c r="CW25" s="20">
        <f t="shared" si="13"/>
        <v>112.98932881750693</v>
      </c>
      <c r="CX25" s="59">
        <f t="shared" si="14"/>
        <v>406.32266215084024</v>
      </c>
      <c r="CY25" s="59">
        <f ca="1">AVERAGE(OFFSET($CX$3,0,0,'Données projet'!$E$13+1,1))-AVERAGE(OFFSET($H$3,0,0,'Données projet'!$E$13+1,1))</f>
        <v>247.67539667223065</v>
      </c>
      <c r="CZ25" s="59">
        <f t="shared" si="42"/>
        <v>174.54442616983778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1.0376977144200681</v>
      </c>
      <c r="DH25" s="21">
        <f>EXP(-LN(2)/2)*DH24+(1-EXP(-LN(2)/2))/(LN(2)/2)*DB25*DE25*VLOOKUP('Données projet'!$B$13,Paramètres!$A$1:$I$89,3,0)*0.475*44/12</f>
        <v>1.0928872251874211</v>
      </c>
      <c r="DI25" s="22">
        <f t="shared" si="15"/>
        <v>2.1305849396074894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2.9235042735042733</v>
      </c>
      <c r="DO25" s="12">
        <f>IF('Données projet'!$A$166&gt;35,DO24+DN25-DW24,IF(A25&lt;'Données projet'!$A$166,$DL$205^A25,IF(A25='Données projet'!$A$166,'Données projet'!$B$166,DO24+DN25-DW24)))</f>
        <v>26.600205452048144</v>
      </c>
      <c r="DP25" s="17">
        <f>DO25*VLOOKUP('Données projet'!$B$14,Paramètres!$A$1:$I$89,3,0)*VLOOKUP('Données projet'!$B$14,Paramètres!$A$1:$I$89,5,0)</f>
        <v>26.557645123324868</v>
      </c>
      <c r="DQ25" s="13">
        <f t="shared" si="43"/>
        <v>8.3553753208432084</v>
      </c>
      <c r="DR25" s="20">
        <f t="shared" si="16"/>
        <v>60.806843940259398</v>
      </c>
      <c r="DS25" s="59">
        <f t="shared" si="17"/>
        <v>354.14017727359271</v>
      </c>
      <c r="DT25" s="59">
        <f ca="1">AVERAGE(OFFSET($DS$3,0,0,'Données projet'!$E$14+1,1))-AVERAGE(OFFSET($H$3,0,0,'Données projet'!$E$14+1,1))</f>
        <v>245.06609107649069</v>
      </c>
      <c r="DU25" s="59">
        <f t="shared" si="44"/>
        <v>156.24531945456499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1.8202290328267554</v>
      </c>
      <c r="EJ25" s="12">
        <f>IF('Données projet'!$A$192&gt;35,EJ24+EI25-ER24,IF(A25&lt;'Données projet'!$A$192,$EG$205^A25,IF(A25='Données projet'!$A$192,'Données projet'!$B$192,EJ24+EI25-ER24)))</f>
        <v>21.998677546852011</v>
      </c>
      <c r="EK25" s="17">
        <f>EJ25*VLOOKUP('Données projet'!$B$15,Paramètres!$A$1:$I$89,3,0)*VLOOKUP('Données projet'!$B$15,Paramètres!$A$1:$I$89,5,0)</f>
        <v>24.022555881162397</v>
      </c>
      <c r="EL25" s="13">
        <f t="shared" si="45"/>
        <v>7.6465793715400521</v>
      </c>
      <c r="EM25" s="20">
        <f t="shared" si="19"/>
        <v>55.157077231790105</v>
      </c>
      <c r="EN25" s="59">
        <f t="shared" si="20"/>
        <v>348.4904105651234</v>
      </c>
      <c r="EO25" s="59">
        <f ca="1">AVERAGE(OFFSET($EN$3,0,0,'Données projet'!$E$15+1,1))-AVERAGE(OFFSET($H$3,0,0,'Données projet'!$E$15+1,1))</f>
        <v>173.63857221119594</v>
      </c>
      <c r="EP25" s="59">
        <f t="shared" si="46"/>
        <v>52.373745617370105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184.77435897435896</v>
      </c>
      <c r="O26" s="13">
        <f>N26*VLOOKUP('Données projet'!$B$9,Paramètres!$A$1:$I$89,3,0)*VLOOKUP('Données projet'!$B$9,Paramètres!$A$1:$I$89,5,0)</f>
        <v>110.49506666666666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199.58634493109349</v>
      </c>
      <c r="T26" s="59">
        <f t="shared" si="34"/>
        <v>288.66487031729008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1.810805552207051</v>
      </c>
      <c r="AA26" s="21">
        <f>EXP(-LN(2)/25)*AA25+(1-EXP(-LN(2)/25))/(LN(2)/25)*Calculateur!V26*Calculateur!X26*VLOOKUP('Données projet'!$B$9,Paramètres!$A$1:$I$89,3,0)*0.475*44/12</f>
        <v>12.84602086984367</v>
      </c>
      <c r="AB26" s="21">
        <f>EXP(-LN(2)/2)*AB25+(1-EXP(-LN(2)/2))/(LN(2)/2)*V26*Y26*VLOOKUP('Données projet'!$B$9,Paramètres!$A$1:$I$89,3,0)*0.475*44/12</f>
        <v>4.7205193129448908</v>
      </c>
      <c r="AC26" s="22">
        <f t="shared" si="3"/>
        <v>19.377345734995611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17.600000000000001</v>
      </c>
      <c r="AI26" s="13">
        <f>IF('Données projet'!$A$62&gt;35,AI25+AH26-AQ25,IF(A26&lt;'Données projet'!$A$62,$AF$205^A26,IF(A26='Données projet'!$A$62,'Données projet'!$B$62,AI25+AH26-AQ25)))</f>
        <v>138.79999999999998</v>
      </c>
      <c r="AJ26" s="13">
        <f>AI26*VLOOKUP('Données projet'!$B$10,Paramètres!$A$1:$I$89,3,0)*VLOOKUP('Données projet'!$B$10,Paramètres!$A$1:$I$89,5,0)</f>
        <v>83.002399999999994</v>
      </c>
      <c r="AK26" s="13">
        <f t="shared" si="35"/>
        <v>22.869705036637765</v>
      </c>
      <c r="AL26" s="20">
        <f t="shared" si="4"/>
        <v>184.39391627214411</v>
      </c>
      <c r="AM26" s="59">
        <f t="shared" si="5"/>
        <v>477.72724960547743</v>
      </c>
      <c r="AN26" s="59">
        <f ca="1">AVERAGE(OFFSET($AM$3,0,0,'Données projet'!$E$10+1,1))-AVERAGE(OFFSET($H$3,0,0,'Données projet'!$E$10+1,1))</f>
        <v>395.40396173178527</v>
      </c>
      <c r="AO26" s="59">
        <f t="shared" si="36"/>
        <v>304.68075128568756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6.380279554733213</v>
      </c>
      <c r="AW26" s="21">
        <f>EXP(-LN(2)/2)*AW25+(1-EXP(-LN(2)/2))/(LN(2)/2)*AQ26*AT26*VLOOKUP('Données projet'!$B$10,Paramètres!$A$1:$I$89,3,0)*0.475*44/12</f>
        <v>4.6679515642959668</v>
      </c>
      <c r="AX26" s="21">
        <f t="shared" si="6"/>
        <v>11.048231119029179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33.040000000000006</v>
      </c>
      <c r="BD26" s="12">
        <f>IF('Données projet'!$A$88&gt;35,BD25+BC26-BL25,IF(A26&lt;'Données projet'!$A$88,$BA$205^A26,IF(A26='Données projet'!$A$88,'Données projet'!$B$88,BD25+BC26-BL25)))</f>
        <v>129.72</v>
      </c>
      <c r="BE26" s="13">
        <f>BD26*VLOOKUP('Données projet'!$B$11,Paramètres!$A$1:$I$89,3,0)*VLOOKUP('Données projet'!$B$11,Paramètres!$A$1:$I$89,5,0)</f>
        <v>113.32339200000001</v>
      </c>
      <c r="BF26" s="13">
        <f t="shared" si="37"/>
        <v>30.112640047532484</v>
      </c>
      <c r="BG26" s="20">
        <f t="shared" si="7"/>
        <v>249.8177558161191</v>
      </c>
      <c r="BH26" s="59">
        <f t="shared" si="8"/>
        <v>543.15108914945245</v>
      </c>
      <c r="BI26" s="59">
        <f ca="1">AVERAGE(OFFSET($BH$3,0,0,'Données projet'!$E$11+1,1))-AVERAGE(OFFSET($H$3,0,0,'Données projet'!$E$11+1,1))</f>
        <v>249.21292089724221</v>
      </c>
      <c r="BJ26" s="59">
        <f t="shared" si="38"/>
        <v>640.80644476065254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53.132097575617713</v>
      </c>
      <c r="BQ26" s="21">
        <f>EXP(-LN(2)/25)*BQ25+(1-EXP(-LN(2)/25))/(LN(2)/25)*Calculateur!BL26*Calculateur!BN26*VLOOKUP('Données projet'!$B$11,Paramètres!$A$1:$I$89,3,0)*0.475*44/12</f>
        <v>69.798518271633128</v>
      </c>
      <c r="BR26" s="21">
        <f>EXP(-LN(2)/2)*BR25+(1-EXP(-LN(2)/2))/(LN(2)/2)*BL26*BO26*VLOOKUP('Données projet'!$B$11,Paramètres!$A$1:$I$89,3,0)*0.475*44/12</f>
        <v>24.872297839236072</v>
      </c>
      <c r="BS26" s="22">
        <f t="shared" si="9"/>
        <v>147.8029136864869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5.9</v>
      </c>
      <c r="BY26" s="12">
        <f>IF('Données projet'!$A$114&gt;35,BY25+BX26-CG25,IF(A26&lt;'Données projet'!$A$114,$BV$205^A26,IF(A26='Données projet'!$A$114,'Données projet'!$B$114,BY25+BX26-CG25)))</f>
        <v>71.700000000000017</v>
      </c>
      <c r="BZ26" s="13">
        <f>BY26*VLOOKUP('Données projet'!$B$12,Paramètres!$A$1:$I$89,3,0)*VLOOKUP('Données projet'!$B$12,Paramètres!$A$1:$I$89,5,0)</f>
        <v>58.163040000000024</v>
      </c>
      <c r="CA26" s="13">
        <f t="shared" si="39"/>
        <v>16.702990740570257</v>
      </c>
      <c r="CB26" s="20">
        <f t="shared" si="10"/>
        <v>130.39167020649325</v>
      </c>
      <c r="CC26" s="59">
        <f t="shared" si="11"/>
        <v>423.72500353982656</v>
      </c>
      <c r="CD26" s="59">
        <f ca="1">AVERAGE(OFFSET($CC$3,0,0,'Données projet'!$E$12+1,1))-AVERAGE(OFFSET($H$3,0,0,'Données projet'!$E$12+1,1))</f>
        <v>192.4785660463869</v>
      </c>
      <c r="CE26" s="59">
        <f t="shared" si="40"/>
        <v>165.11095806515362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1.3253720814180101</v>
      </c>
      <c r="CM26" s="21">
        <f>EXP(-LN(2)/2)*CM25+(1-EXP(-LN(2)/2))/(LN(2)/2)*CG26*CJ26*VLOOKUP('Données projet'!$B$12,Paramètres!$A$1:$I$89,3,0)*0.475*44/12</f>
        <v>1.0147720791947756</v>
      </c>
      <c r="CN26" s="22">
        <f t="shared" si="12"/>
        <v>2.3401441606127857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6.8</v>
      </c>
      <c r="CT26" s="12">
        <f>IF('Données projet'!$A$140&gt;35,CT25+CS26-DB25,IF(A26&lt;'Données projet'!$A$140,$CQ$205^A26,IF(A26='Données projet'!$A$140,'Données projet'!$B$140,CT25+CS26-DB25)))</f>
        <v>66.399999999999991</v>
      </c>
      <c r="CU26" s="17">
        <f>CT26*VLOOKUP('Données projet'!$B$13,Paramètres!$A$1:$I$89,3,0)*VLOOKUP('Données projet'!$B$13,Paramètres!$A$1:$I$89,5,0)</f>
        <v>55.935359999999996</v>
      </c>
      <c r="CV26" s="13">
        <f t="shared" si="41"/>
        <v>16.136442734792755</v>
      </c>
      <c r="CW26" s="20">
        <f t="shared" si="13"/>
        <v>125.52505642976405</v>
      </c>
      <c r="CX26" s="59">
        <f t="shared" si="14"/>
        <v>418.85838976309736</v>
      </c>
      <c r="CY26" s="59">
        <f ca="1">AVERAGE(OFFSET($CX$3,0,0,'Données projet'!$E$13+1,1))-AVERAGE(OFFSET($H$3,0,0,'Données projet'!$E$13+1,1))</f>
        <v>247.67539667223065</v>
      </c>
      <c r="CZ26" s="59">
        <f t="shared" si="42"/>
        <v>174.54442616983778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1.0093218158491002</v>
      </c>
      <c r="DH26" s="21">
        <f>EXP(-LN(2)/2)*DH25+(1-EXP(-LN(2)/2))/(LN(2)/2)*DB26*DE26*VLOOKUP('Données projet'!$B$13,Paramètres!$A$1:$I$89,3,0)*0.475*44/12</f>
        <v>0.77278796800217486</v>
      </c>
      <c r="DI26" s="22">
        <f t="shared" si="15"/>
        <v>1.7821097838512752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2.9235042735042733</v>
      </c>
      <c r="DO26" s="12">
        <f>IF('Données projet'!$A$166&gt;35,DO25+DN26-DW25,IF(A26&lt;'Données projet'!$A$166,$DL$205^A26,IF(A26='Données projet'!$A$166,'Données projet'!$B$166,DO25+DN26-DW25)))</f>
        <v>30.878236599516239</v>
      </c>
      <c r="DP26" s="17">
        <f>DO26*VLOOKUP('Données projet'!$B$14,Paramètres!$A$1:$I$89,3,0)*VLOOKUP('Données projet'!$B$14,Paramètres!$A$1:$I$89,5,0)</f>
        <v>30.828831420957016</v>
      </c>
      <c r="DQ26" s="13">
        <f t="shared" si="43"/>
        <v>9.5322302838158048</v>
      </c>
      <c r="DR26" s="20">
        <f t="shared" si="16"/>
        <v>70.295515802479329</v>
      </c>
      <c r="DS26" s="59">
        <f t="shared" si="17"/>
        <v>363.62884913581263</v>
      </c>
      <c r="DT26" s="59">
        <f ca="1">AVERAGE(OFFSET($DS$3,0,0,'Données projet'!$E$14+1,1))-AVERAGE(OFFSET($H$3,0,0,'Données projet'!$E$14+1,1))</f>
        <v>245.06609107649069</v>
      </c>
      <c r="DU26" s="59">
        <f t="shared" si="44"/>
        <v>156.24531945456499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1.8202290328267554</v>
      </c>
      <c r="EJ26" s="12">
        <f>IF('Données projet'!$A$192&gt;35,EJ25+EI26-ER25,IF(A26&lt;'Données projet'!$A$192,$EG$205^A26,IF(A26='Données projet'!$A$192,'Données projet'!$B$192,EJ25+EI26-ER25)))</f>
        <v>23.818906579678767</v>
      </c>
      <c r="EK26" s="17">
        <f>EJ26*VLOOKUP('Données projet'!$B$15,Paramètres!$A$1:$I$89,3,0)*VLOOKUP('Données projet'!$B$15,Paramètres!$A$1:$I$89,5,0)</f>
        <v>26.010245985009213</v>
      </c>
      <c r="EL26" s="13">
        <f t="shared" si="45"/>
        <v>8.2030188443069285</v>
      </c>
      <c r="EM26" s="20">
        <f t="shared" si="19"/>
        <v>59.588102911058947</v>
      </c>
      <c r="EN26" s="59">
        <f t="shared" si="20"/>
        <v>352.92143624439228</v>
      </c>
      <c r="EO26" s="59">
        <f ca="1">AVERAGE(OFFSET($EN$3,0,0,'Données projet'!$E$15+1,1))-AVERAGE(OFFSET($H$3,0,0,'Données projet'!$E$15+1,1))</f>
        <v>173.63857221119594</v>
      </c>
      <c r="EP26" s="59">
        <f t="shared" si="46"/>
        <v>52.373745617370105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202.29487179487177</v>
      </c>
      <c r="O27" s="13">
        <f>N27*VLOOKUP('Données projet'!$B$9,Paramètres!$A$1:$I$89,3,0)*VLOOKUP('Données projet'!$B$9,Paramètres!$A$1:$I$89,5,0)</f>
        <v>120.97233333333334</v>
      </c>
      <c r="P27" s="13">
        <f t="shared" si="33"/>
        <v>31.901673452036796</v>
      </c>
      <c r="Q27" s="20">
        <f t="shared" si="2"/>
        <v>266.25556181785299</v>
      </c>
      <c r="R27" s="59">
        <f t="shared" si="0"/>
        <v>559.58889515118631</v>
      </c>
      <c r="S27" s="59">
        <f ca="1">AVERAGE(OFFSET($R$3,0,0,'Données projet'!$E$9+1,1))-AVERAGE(OFFSET($H$3,0,0,'Données projet'!$E$9+1,1))</f>
        <v>199.58634493109349</v>
      </c>
      <c r="T27" s="59">
        <f t="shared" si="34"/>
        <v>288.66487031729008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1.7752967598105989</v>
      </c>
      <c r="AA27" s="21">
        <f>EXP(-LN(2)/25)*AA26+(1-EXP(-LN(2)/25))/(LN(2)/25)*Calculateur!V27*Calculateur!X27*VLOOKUP('Données projet'!$B$9,Paramètres!$A$1:$I$89,3,0)*0.475*44/12</f>
        <v>12.494745753614918</v>
      </c>
      <c r="AB27" s="21">
        <f>EXP(-LN(2)/2)*AB26+(1-EXP(-LN(2)/2))/(LN(2)/2)*V27*Y27*VLOOKUP('Données projet'!$B$9,Paramètres!$A$1:$I$89,3,0)*0.475*44/12</f>
        <v>3.3379112169053946</v>
      </c>
      <c r="AC27" s="22">
        <f t="shared" si="3"/>
        <v>17.607953730330912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17.600000000000001</v>
      </c>
      <c r="AI27" s="13">
        <f>IF('Données projet'!$A$62&gt;35,AI26+AH27-AQ26,IF(A27&lt;'Données projet'!$A$62,$AF$205^A27,IF(A27='Données projet'!$A$62,'Données projet'!$B$62,AI26+AH27-AQ26)))</f>
        <v>156.39999999999998</v>
      </c>
      <c r="AJ27" s="13">
        <f>AI27*VLOOKUP('Données projet'!$B$10,Paramètres!$A$1:$I$89,3,0)*VLOOKUP('Données projet'!$B$10,Paramètres!$A$1:$I$89,5,0)</f>
        <v>93.527199999999993</v>
      </c>
      <c r="AK27" s="13">
        <f t="shared" si="35"/>
        <v>25.413988099106522</v>
      </c>
      <c r="AL27" s="20">
        <f t="shared" si="4"/>
        <v>207.15590260594385</v>
      </c>
      <c r="AM27" s="59">
        <f t="shared" si="5"/>
        <v>500.48923593927714</v>
      </c>
      <c r="AN27" s="59">
        <f ca="1">AVERAGE(OFFSET($AM$3,0,0,'Données projet'!$E$10+1,1))-AVERAGE(OFFSET($H$3,0,0,'Données projet'!$E$10+1,1))</f>
        <v>395.40396173178527</v>
      </c>
      <c r="AO27" s="59">
        <f t="shared" si="36"/>
        <v>304.68075128568756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6.2058104747847134</v>
      </c>
      <c r="AW27" s="21">
        <f>EXP(-LN(2)/2)*AW26+(1-EXP(-LN(2)/2))/(LN(2)/2)*AQ27*AT27*VLOOKUP('Données projet'!$B$10,Paramètres!$A$1:$I$89,3,0)*0.475*44/12</f>
        <v>3.3007402053640305</v>
      </c>
      <c r="AX27" s="21">
        <f t="shared" si="6"/>
        <v>9.5065506801487434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33.040000000000006</v>
      </c>
      <c r="BD27" s="12">
        <f>IF('Données projet'!$A$88&gt;35,BD26+BC27-BL26,IF(A27&lt;'Données projet'!$A$88,$BA$205^A27,IF(A27='Données projet'!$A$88,'Données projet'!$B$88,BD26+BC27-BL26)))</f>
        <v>162.76</v>
      </c>
      <c r="BE27" s="13">
        <f>BD27*VLOOKUP('Données projet'!$B$11,Paramètres!$A$1:$I$89,3,0)*VLOOKUP('Données projet'!$B$11,Paramètres!$A$1:$I$89,5,0)</f>
        <v>142.18713600000001</v>
      </c>
      <c r="BF27" s="13">
        <f t="shared" si="37"/>
        <v>36.797594707218728</v>
      </c>
      <c r="BG27" s="20">
        <f t="shared" si="7"/>
        <v>311.73173931507262</v>
      </c>
      <c r="BH27" s="59">
        <f t="shared" si="8"/>
        <v>605.06507264840593</v>
      </c>
      <c r="BI27" s="59">
        <f ca="1">AVERAGE(OFFSET($BH$3,0,0,'Données projet'!$E$11+1,1))-AVERAGE(OFFSET($H$3,0,0,'Données projet'!$E$11+1,1))</f>
        <v>249.21292089724221</v>
      </c>
      <c r="BJ27" s="59">
        <f t="shared" si="38"/>
        <v>640.80644476065254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52.090209549539409</v>
      </c>
      <c r="BQ27" s="21">
        <f>EXP(-LN(2)/25)*BQ26+(1-EXP(-LN(2)/25))/(LN(2)/25)*Calculateur!BL27*Calculateur!BN27*VLOOKUP('Données projet'!$B$11,Paramètres!$A$1:$I$89,3,0)*0.475*44/12</f>
        <v>67.889874118950772</v>
      </c>
      <c r="BR27" s="21">
        <f>EXP(-LN(2)/2)*BR26+(1-EXP(-LN(2)/2))/(LN(2)/2)*BL27*BO27*VLOOKUP('Données projet'!$B$11,Paramètres!$A$1:$I$89,3,0)*0.475*44/12</f>
        <v>17.58737046581534</v>
      </c>
      <c r="BS27" s="22">
        <f t="shared" si="9"/>
        <v>137.56745413430554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5.9</v>
      </c>
      <c r="BY27" s="12">
        <f>IF('Données projet'!$A$114&gt;35,BY26+BX27-CG26,IF(A27&lt;'Données projet'!$A$114,$BV$205^A27,IF(A27='Données projet'!$A$114,'Données projet'!$B$114,BY26+BX27-CG26)))</f>
        <v>77.600000000000023</v>
      </c>
      <c r="BZ27" s="13">
        <f>BY27*VLOOKUP('Données projet'!$B$12,Paramètres!$A$1:$I$89,3,0)*VLOOKUP('Données projet'!$B$12,Paramètres!$A$1:$I$89,5,0)</f>
        <v>62.949120000000022</v>
      </c>
      <c r="CA27" s="13">
        <f t="shared" si="39"/>
        <v>17.911804123212562</v>
      </c>
      <c r="CB27" s="20">
        <f t="shared" si="10"/>
        <v>140.83277618126189</v>
      </c>
      <c r="CC27" s="59">
        <f t="shared" si="11"/>
        <v>434.16610951459518</v>
      </c>
      <c r="CD27" s="59">
        <f ca="1">AVERAGE(OFFSET($CC$3,0,0,'Données projet'!$E$12+1,1))-AVERAGE(OFFSET($H$3,0,0,'Données projet'!$E$12+1,1))</f>
        <v>192.4785660463869</v>
      </c>
      <c r="CE27" s="59">
        <f t="shared" si="40"/>
        <v>165.11095806515362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1.289129712153346</v>
      </c>
      <c r="CM27" s="21">
        <f>EXP(-LN(2)/2)*CM26+(1-EXP(-LN(2)/2))/(LN(2)/2)*CG27*CJ27*VLOOKUP('Données projet'!$B$12,Paramètres!$A$1:$I$89,3,0)*0.475*44/12</f>
        <v>0.71755221855739815</v>
      </c>
      <c r="CN27" s="22">
        <f t="shared" si="12"/>
        <v>2.0066819307107444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6.8</v>
      </c>
      <c r="CT27" s="12">
        <f>IF('Données projet'!$A$140&gt;35,CT26+CS27-DB26,IF(A27&lt;'Données projet'!$A$140,$CQ$205^A27,IF(A27='Données projet'!$A$140,'Données projet'!$B$140,CT26+CS27-DB26)))</f>
        <v>73.199999999999989</v>
      </c>
      <c r="CU27" s="17">
        <f>CT27*VLOOKUP('Données projet'!$B$13,Paramètres!$A$1:$I$89,3,0)*VLOOKUP('Données projet'!$B$13,Paramètres!$A$1:$I$89,5,0)</f>
        <v>61.663679999999999</v>
      </c>
      <c r="CV27" s="13">
        <f t="shared" si="41"/>
        <v>17.588227616923817</v>
      </c>
      <c r="CW27" s="20">
        <f t="shared" si="13"/>
        <v>138.03040576614231</v>
      </c>
      <c r="CX27" s="59">
        <f t="shared" si="14"/>
        <v>431.36373909947565</v>
      </c>
      <c r="CY27" s="59">
        <f ca="1">AVERAGE(OFFSET($CX$3,0,0,'Données projet'!$E$13+1,1))-AVERAGE(OFFSET($H$3,0,0,'Données projet'!$E$13+1,1))</f>
        <v>247.67539667223065</v>
      </c>
      <c r="CZ27" s="59">
        <f t="shared" si="42"/>
        <v>174.54442616983778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0.98172185771677911</v>
      </c>
      <c r="DH27" s="21">
        <f>EXP(-LN(2)/2)*DH26+(1-EXP(-LN(2)/2))/(LN(2)/2)*DB27*DE27*VLOOKUP('Données projet'!$B$13,Paramètres!$A$1:$I$89,3,0)*0.475*44/12</f>
        <v>0.54644361259371055</v>
      </c>
      <c r="DI27" s="22">
        <f t="shared" si="15"/>
        <v>1.5281654703104897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2.9235042735042733</v>
      </c>
      <c r="DO27" s="12">
        <f>IF('Données projet'!$A$166&gt;35,DO26+DN27-DW26,IF(A27&lt;'Données projet'!$A$166,$DL$205^A27,IF(A27='Données projet'!$A$166,'Données projet'!$B$166,DO26+DN27-DW26)))</f>
        <v>35.844290647096855</v>
      </c>
      <c r="DP27" s="17">
        <f>DO27*VLOOKUP('Données projet'!$B$14,Paramètres!$A$1:$I$89,3,0)*VLOOKUP('Données projet'!$B$14,Paramètres!$A$1:$I$89,5,0)</f>
        <v>35.786939782061502</v>
      </c>
      <c r="DQ27" s="13">
        <f t="shared" si="43"/>
        <v>10.874845317484239</v>
      </c>
      <c r="DR27" s="20">
        <f t="shared" si="16"/>
        <v>81.269275715042156</v>
      </c>
      <c r="DS27" s="59">
        <f t="shared" si="17"/>
        <v>374.60260904837548</v>
      </c>
      <c r="DT27" s="59">
        <f ca="1">AVERAGE(OFFSET($DS$3,0,0,'Données projet'!$E$14+1,1))-AVERAGE(OFFSET($H$3,0,0,'Données projet'!$E$14+1,1))</f>
        <v>245.06609107649069</v>
      </c>
      <c r="DU27" s="59">
        <f t="shared" si="44"/>
        <v>156.24531945456499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1.8202290328267554</v>
      </c>
      <c r="EJ27" s="12">
        <f>IF('Données projet'!$A$192&gt;35,EJ26+EI27-ER26,IF(A27&lt;'Données projet'!$A$192,$EG$205^A27,IF(A27='Données projet'!$A$192,'Données projet'!$B$192,EJ26+EI27-ER26)))</f>
        <v>25.639135612505523</v>
      </c>
      <c r="EK27" s="17">
        <f>EJ27*VLOOKUP('Données projet'!$B$15,Paramètres!$A$1:$I$89,3,0)*VLOOKUP('Données projet'!$B$15,Paramètres!$A$1:$I$89,5,0)</f>
        <v>27.997936088856033</v>
      </c>
      <c r="EL27" s="13">
        <f t="shared" si="45"/>
        <v>8.7545255436302067</v>
      </c>
      <c r="EM27" s="20">
        <f t="shared" si="19"/>
        <v>64.010537343246867</v>
      </c>
      <c r="EN27" s="59">
        <f t="shared" si="20"/>
        <v>357.3438706765802</v>
      </c>
      <c r="EO27" s="59">
        <f ca="1">AVERAGE(OFFSET($EN$3,0,0,'Données projet'!$E$15+1,1))-AVERAGE(OFFSET($H$3,0,0,'Données projet'!$E$15+1,1))</f>
        <v>173.63857221119594</v>
      </c>
      <c r="EP27" s="59">
        <f t="shared" si="46"/>
        <v>52.373745617370105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219.81538461538457</v>
      </c>
      <c r="O28" s="13">
        <f>N28*VLOOKUP('Données projet'!$B$9,Paramètres!$A$1:$I$89,3,0)*VLOOKUP('Données projet'!$B$9,Paramètres!$A$1:$I$89,5,0)</f>
        <v>131.4496</v>
      </c>
      <c r="P28" s="13">
        <f t="shared" si="33"/>
        <v>34.331102847209856</v>
      </c>
      <c r="Q28" s="20">
        <f t="shared" si="2"/>
        <v>288.73472412555719</v>
      </c>
      <c r="R28" s="59">
        <f t="shared" si="0"/>
        <v>582.06805745889051</v>
      </c>
      <c r="S28" s="59">
        <f ca="1">AVERAGE(OFFSET($R$3,0,0,'Données projet'!$E$9+1,1))-AVERAGE(OFFSET($H$3,0,0,'Données projet'!$E$9+1,1))</f>
        <v>199.58634493109349</v>
      </c>
      <c r="T28" s="59">
        <f t="shared" si="34"/>
        <v>288.66487031729008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9.0000000000000011E-2</v>
      </c>
      <c r="X28" s="16">
        <f>IF(ISNA(VLOOKUP(A28,'Données projet'!$A$35:$I$55,6,0)),0%,VLOOKUP(A28,'Données projet'!$A$35:$I$55,6,0)*VLOOKUP('Données projet'!$B$9,Paramètres!$A$1:$I$89,7,0))</f>
        <v>0.18000000000000002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5.517316749838713</v>
      </c>
      <c r="AA28" s="21">
        <f>EXP(-LN(2)/25)*AA27+(1-EXP(-LN(2)/25))/(LN(2)/25)*Calculateur!V28*Calculateur!X28*VLOOKUP('Données projet'!$B$9,Paramètres!$A$1:$I$89,3,0)*0.475*44/12</f>
        <v>19.676999570146744</v>
      </c>
      <c r="AB28" s="21">
        <f>EXP(-LN(2)/2)*AB27+(1-EXP(-LN(2)/2))/(LN(2)/2)*V28*Y28*VLOOKUP('Données projet'!$B$9,Paramètres!$A$1:$I$89,3,0)*0.475*44/12</f>
        <v>16.687164835037137</v>
      </c>
      <c r="AC28" s="22">
        <f t="shared" si="3"/>
        <v>41.881481155022598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17.600000000000001</v>
      </c>
      <c r="AI28" s="13">
        <f>IF('Données projet'!$A$62&gt;35,AI27+AH28-AQ27,IF(A28&lt;'Données projet'!$A$62,$AF$205^A28,IF(A28='Données projet'!$A$62,'Données projet'!$B$62,AI27+AH28-AQ27)))</f>
        <v>173.99999999999997</v>
      </c>
      <c r="AJ28" s="13">
        <f>AI28*VLOOKUP('Données projet'!$B$10,Paramètres!$A$1:$I$89,3,0)*VLOOKUP('Données projet'!$B$10,Paramètres!$A$1:$I$89,5,0)</f>
        <v>104.05199999999999</v>
      </c>
      <c r="AK28" s="13">
        <f t="shared" si="35"/>
        <v>27.925087771564417</v>
      </c>
      <c r="AL28" s="20">
        <f t="shared" si="4"/>
        <v>229.86009453547467</v>
      </c>
      <c r="AM28" s="59">
        <f t="shared" si="5"/>
        <v>523.19342786880793</v>
      </c>
      <c r="AN28" s="59">
        <f ca="1">AVERAGE(OFFSET($AM$3,0,0,'Données projet'!$E$10+1,1))-AVERAGE(OFFSET($H$3,0,0,'Données projet'!$E$10+1,1))</f>
        <v>395.40396173178527</v>
      </c>
      <c r="AO28" s="59">
        <f t="shared" si="36"/>
        <v>304.68075128568756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6.0361122610023363</v>
      </c>
      <c r="AW28" s="21">
        <f>EXP(-LN(2)/2)*AW27+(1-EXP(-LN(2)/2))/(LN(2)/2)*AQ28*AT28*VLOOKUP('Données projet'!$B$10,Paramètres!$A$1:$I$89,3,0)*0.475*44/12</f>
        <v>2.3339757821479834</v>
      </c>
      <c r="AX28" s="21">
        <f t="shared" si="6"/>
        <v>8.3700880431503197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33.040000000000006</v>
      </c>
      <c r="BD28" s="12">
        <f>IF('Données projet'!$A$88&gt;35,BD27+BC28-BL27,IF(A28&lt;'Données projet'!$A$88,$BA$205^A28,IF(A28='Données projet'!$A$88,'Données projet'!$B$88,BD27+BC28-BL27)))</f>
        <v>195.8</v>
      </c>
      <c r="BE28" s="13">
        <f>BD28*VLOOKUP('Données projet'!$B$11,Paramètres!$A$1:$I$89,3,0)*VLOOKUP('Données projet'!$B$11,Paramètres!$A$1:$I$89,5,0)</f>
        <v>171.05088000000003</v>
      </c>
      <c r="BF28" s="13">
        <f t="shared" si="37"/>
        <v>43.325301264581704</v>
      </c>
      <c r="BG28" s="20">
        <f t="shared" si="7"/>
        <v>373.37184903581323</v>
      </c>
      <c r="BH28" s="59">
        <f t="shared" si="8"/>
        <v>666.70518236914654</v>
      </c>
      <c r="BI28" s="59">
        <f ca="1">AVERAGE(OFFSET($BH$3,0,0,'Données projet'!$E$11+1,1))-AVERAGE(OFFSET($H$3,0,0,'Données projet'!$E$11+1,1))</f>
        <v>249.21292089724221</v>
      </c>
      <c r="BJ28" s="59">
        <f t="shared" si="38"/>
        <v>640.80644476065254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51.068752312163554</v>
      </c>
      <c r="BQ28" s="21">
        <f>EXP(-LN(2)/25)*BQ27+(1-EXP(-LN(2)/25))/(LN(2)/25)*Calculateur!BL28*Calculateur!BN28*VLOOKUP('Données projet'!$B$11,Paramètres!$A$1:$I$89,3,0)*0.475*44/12</f>
        <v>66.033421940994742</v>
      </c>
      <c r="BR28" s="21">
        <f>EXP(-LN(2)/2)*BR27+(1-EXP(-LN(2)/2))/(LN(2)/2)*BL28*BO28*VLOOKUP('Données projet'!$B$11,Paramètres!$A$1:$I$89,3,0)*0.475*44/12</f>
        <v>12.436148919618036</v>
      </c>
      <c r="BS28" s="22">
        <f t="shared" si="9"/>
        <v>129.53832317277633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5.9</v>
      </c>
      <c r="BY28" s="12">
        <f>IF('Données projet'!$A$114&gt;35,BY27+BX28-CG27,IF(A28&lt;'Données projet'!$A$114,$BV$205^A28,IF(A28='Données projet'!$A$114,'Données projet'!$B$114,BY27+BX28-CG27)))</f>
        <v>83.500000000000028</v>
      </c>
      <c r="BZ28" s="13">
        <f>BY28*VLOOKUP('Données projet'!$B$12,Paramètres!$A$1:$I$89,3,0)*VLOOKUP('Données projet'!$B$12,Paramètres!$A$1:$I$89,5,0)</f>
        <v>67.73520000000002</v>
      </c>
      <c r="CA28" s="13">
        <f t="shared" si="39"/>
        <v>19.109955869759471</v>
      </c>
      <c r="CB28" s="20">
        <f t="shared" si="10"/>
        <v>151.25531313983112</v>
      </c>
      <c r="CC28" s="59">
        <f t="shared" si="11"/>
        <v>444.58864647316443</v>
      </c>
      <c r="CD28" s="59">
        <f ca="1">AVERAGE(OFFSET($CC$3,0,0,'Données projet'!$E$12+1,1))-AVERAGE(OFFSET($H$3,0,0,'Données projet'!$E$12+1,1))</f>
        <v>192.4785660463869</v>
      </c>
      <c r="CE28" s="59">
        <f t="shared" si="40"/>
        <v>165.11095806515362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1.2538783923821275</v>
      </c>
      <c r="CM28" s="21">
        <f>EXP(-LN(2)/2)*CM27+(1-EXP(-LN(2)/2))/(LN(2)/2)*CG28*CJ28*VLOOKUP('Données projet'!$B$12,Paramètres!$A$1:$I$89,3,0)*0.475*44/12</f>
        <v>0.50738603959738793</v>
      </c>
      <c r="CN28" s="22">
        <f t="shared" si="12"/>
        <v>1.7612644319795154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6.8</v>
      </c>
      <c r="CT28" s="12">
        <f>IF('Données projet'!$A$140&gt;35,CT27+CS28-DB27,IF(A28&lt;'Données projet'!$A$140,$CQ$205^A28,IF(A28='Données projet'!$A$140,'Données projet'!$B$140,CT27+CS28-DB27)))</f>
        <v>79.999999999999986</v>
      </c>
      <c r="CU28" s="17">
        <f>CT28*VLOOKUP('Données projet'!$B$13,Paramètres!$A$1:$I$89,3,0)*VLOOKUP('Données projet'!$B$13,Paramètres!$A$1:$I$89,5,0)</f>
        <v>67.391999999999996</v>
      </c>
      <c r="CV28" s="13">
        <f t="shared" si="41"/>
        <v>19.02437502991798</v>
      </c>
      <c r="CW28" s="20">
        <f t="shared" si="13"/>
        <v>150.5085198437738</v>
      </c>
      <c r="CX28" s="59">
        <f t="shared" si="14"/>
        <v>443.84185317710711</v>
      </c>
      <c r="CY28" s="59">
        <f ca="1">AVERAGE(OFFSET($CX$3,0,0,'Données projet'!$E$13+1,1))-AVERAGE(OFFSET($H$3,0,0,'Données projet'!$E$13+1,1))</f>
        <v>247.67539667223065</v>
      </c>
      <c r="CZ28" s="59">
        <f t="shared" si="42"/>
        <v>174.54442616983778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0.95487662189100508</v>
      </c>
      <c r="DH28" s="21">
        <f>EXP(-LN(2)/2)*DH27+(1-EXP(-LN(2)/2))/(LN(2)/2)*DB28*DE28*VLOOKUP('Données projet'!$B$13,Paramètres!$A$1:$I$89,3,0)*0.475*44/12</f>
        <v>0.38639398400108743</v>
      </c>
      <c r="DI28" s="22">
        <f t="shared" si="15"/>
        <v>1.3412706058920925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2.9235042735042733</v>
      </c>
      <c r="DO28" s="12">
        <f>IF('Données projet'!$A$166&gt;35,DO27+DN28-DW27,IF(A28&lt;'Données projet'!$A$166,$DL$205^A28,IF(A28='Données projet'!$A$166,'Données projet'!$B$166,DO27+DN28-DW27)))</f>
        <v>41.609020251295185</v>
      </c>
      <c r="DP28" s="17">
        <f>DO28*VLOOKUP('Données projet'!$B$14,Paramètres!$A$1:$I$89,3,0)*VLOOKUP('Données projet'!$B$14,Paramètres!$A$1:$I$89,5,0)</f>
        <v>41.542445818893114</v>
      </c>
      <c r="DQ28" s="13">
        <f t="shared" si="43"/>
        <v>12.40656773473037</v>
      </c>
      <c r="DR28" s="20">
        <f t="shared" si="16"/>
        <v>93.961198605894239</v>
      </c>
      <c r="DS28" s="59">
        <f t="shared" si="17"/>
        <v>387.29453193922757</v>
      </c>
      <c r="DT28" s="59">
        <f ca="1">AVERAGE(OFFSET($DS$3,0,0,'Données projet'!$E$14+1,1))-AVERAGE(OFFSET($H$3,0,0,'Données projet'!$E$14+1,1))</f>
        <v>245.06609107649069</v>
      </c>
      <c r="DU28" s="59">
        <f t="shared" si="44"/>
        <v>156.24531945456499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1.8202290328267554</v>
      </c>
      <c r="EJ28" s="12">
        <f>IF('Données projet'!$A$192&gt;35,EJ27+EI28-ER27,IF(A28&lt;'Données projet'!$A$192,$EG$205^A28,IF(A28='Données projet'!$A$192,'Données projet'!$B$192,EJ27+EI28-ER27)))</f>
        <v>27.459364645332279</v>
      </c>
      <c r="EK28" s="17">
        <f>EJ28*VLOOKUP('Données projet'!$B$15,Paramètres!$A$1:$I$89,3,0)*VLOOKUP('Données projet'!$B$15,Paramètres!$A$1:$I$89,5,0)</f>
        <v>29.985626192702846</v>
      </c>
      <c r="EL28" s="13">
        <f t="shared" si="45"/>
        <v>9.301489498333579</v>
      </c>
      <c r="EM28" s="20">
        <f t="shared" si="19"/>
        <v>68.425059828555106</v>
      </c>
      <c r="EN28" s="59">
        <f t="shared" si="20"/>
        <v>361.75839316188842</v>
      </c>
      <c r="EO28" s="59">
        <f ca="1">AVERAGE(OFFSET($EN$3,0,0,'Données projet'!$E$15+1,1))-AVERAGE(OFFSET($H$3,0,0,'Données projet'!$E$15+1,1))</f>
        <v>173.63857221119594</v>
      </c>
      <c r="EP28" s="59">
        <f t="shared" si="46"/>
        <v>52.373745617370105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183.42527472527468</v>
      </c>
      <c r="O29" s="13">
        <f>N29*VLOOKUP('Données projet'!$B$9,Paramètres!$A$1:$I$89,3,0)*VLOOKUP('Données projet'!$B$9,Paramètres!$A$1:$I$89,5,0)</f>
        <v>109.68831428571427</v>
      </c>
      <c r="P29" s="13">
        <f t="shared" si="33"/>
        <v>29.257536864157686</v>
      </c>
      <c r="Q29" s="20">
        <f t="shared" si="2"/>
        <v>241.99735741936033</v>
      </c>
      <c r="R29" s="59">
        <f t="shared" si="0"/>
        <v>535.33069075269361</v>
      </c>
      <c r="S29" s="59">
        <f ca="1">AVERAGE(OFFSET($R$3,0,0,'Données projet'!$E$9+1,1))-AVERAGE(OFFSET($H$3,0,0,'Données projet'!$E$9+1,1))</f>
        <v>199.58634493109349</v>
      </c>
      <c r="T29" s="59">
        <f t="shared" si="34"/>
        <v>288.66487031729008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5.4091255336053043</v>
      </c>
      <c r="AA29" s="21">
        <f>EXP(-LN(2)/25)*AA28+(1-EXP(-LN(2)/25))/(LN(2)/25)*Calculateur!V29*Calculateur!X29*VLOOKUP('Données projet'!$B$9,Paramètres!$A$1:$I$89,3,0)*0.475*44/12</f>
        <v>19.138930982132646</v>
      </c>
      <c r="AB29" s="21">
        <f>EXP(-LN(2)/2)*AB28+(1-EXP(-LN(2)/2))/(LN(2)/2)*V29*Y29*VLOOKUP('Données projet'!$B$9,Paramètres!$A$1:$I$89,3,0)*0.475*44/12</f>
        <v>11.799607413632456</v>
      </c>
      <c r="AC29" s="22">
        <f t="shared" si="3"/>
        <v>36.347663929370405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17.600000000000001</v>
      </c>
      <c r="AI29" s="13">
        <f>IF('Données projet'!$A$62&gt;35,AI28+AH29-AQ28,IF(A29&lt;'Données projet'!$A$62,$AF$205^A29,IF(A29='Données projet'!$A$62,'Données projet'!$B$62,AI28+AH29-AQ28)))</f>
        <v>191.59999999999997</v>
      </c>
      <c r="AJ29" s="13">
        <f>AI29*VLOOKUP('Données projet'!$B$10,Paramètres!$A$1:$I$89,3,0)*VLOOKUP('Données projet'!$B$10,Paramètres!$A$1:$I$89,5,0)</f>
        <v>114.57679999999998</v>
      </c>
      <c r="AK29" s="13">
        <f t="shared" si="35"/>
        <v>30.406742691182025</v>
      </c>
      <c r="AL29" s="20">
        <f t="shared" si="4"/>
        <v>252.51300352047531</v>
      </c>
      <c r="AM29" s="59">
        <f t="shared" si="5"/>
        <v>545.84633685380868</v>
      </c>
      <c r="AN29" s="59">
        <f ca="1">AVERAGE(OFFSET($AM$3,0,0,'Données projet'!$E$10+1,1))-AVERAGE(OFFSET($H$3,0,0,'Données projet'!$E$10+1,1))</f>
        <v>395.40396173178527</v>
      </c>
      <c r="AO29" s="59">
        <f t="shared" si="36"/>
        <v>304.68075128568756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5.8710544537998794</v>
      </c>
      <c r="AW29" s="21">
        <f>EXP(-LN(2)/2)*AW28+(1-EXP(-LN(2)/2))/(LN(2)/2)*AQ29*AT29*VLOOKUP('Données projet'!$B$10,Paramètres!$A$1:$I$89,3,0)*0.475*44/12</f>
        <v>1.6503701026820152</v>
      </c>
      <c r="AX29" s="21">
        <f t="shared" si="6"/>
        <v>7.5214245564818949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33.040000000000006</v>
      </c>
      <c r="BD29" s="12">
        <f>IF('Données projet'!$A$88&gt;35,BD28+BC29-BL28,IF(A29&lt;'Données projet'!$A$88,$BA$205^A29,IF(A29='Données projet'!$A$88,'Données projet'!$B$88,BD28+BC29-BL28)))</f>
        <v>228.84000000000003</v>
      </c>
      <c r="BE29" s="13">
        <f>BD29*VLOOKUP('Données projet'!$B$11,Paramètres!$A$1:$I$89,3,0)*VLOOKUP('Données projet'!$B$11,Paramètres!$A$1:$I$89,5,0)</f>
        <v>199.91462400000003</v>
      </c>
      <c r="BF29" s="13">
        <f t="shared" si="37"/>
        <v>49.725404198426318</v>
      </c>
      <c r="BG29" s="20">
        <f t="shared" si="7"/>
        <v>434.78971577892588</v>
      </c>
      <c r="BH29" s="59">
        <f t="shared" si="8"/>
        <v>728.1230491122592</v>
      </c>
      <c r="BI29" s="59">
        <f ca="1">AVERAGE(OFFSET($BH$3,0,0,'Données projet'!$E$11+1,1))-AVERAGE(OFFSET($H$3,0,0,'Données projet'!$E$11+1,1))</f>
        <v>249.21292089724221</v>
      </c>
      <c r="BJ29" s="59">
        <f t="shared" si="38"/>
        <v>640.80644476065254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50.06732522818524</v>
      </c>
      <c r="BQ29" s="21">
        <f>EXP(-LN(2)/25)*BQ28+(1-EXP(-LN(2)/25))/(LN(2)/25)*Calculateur!BL29*Calculateur!BN29*VLOOKUP('Données projet'!$B$11,Paramètres!$A$1:$I$89,3,0)*0.475*44/12</f>
        <v>64.227734545471506</v>
      </c>
      <c r="BR29" s="21">
        <f>EXP(-LN(2)/2)*BR28+(1-EXP(-LN(2)/2))/(LN(2)/2)*BL29*BO29*VLOOKUP('Données projet'!$B$11,Paramètres!$A$1:$I$89,3,0)*0.475*44/12</f>
        <v>8.79368523290767</v>
      </c>
      <c r="BS29" s="22">
        <f t="shared" si="9"/>
        <v>123.08874500656441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5.9</v>
      </c>
      <c r="BY29" s="12">
        <f>IF('Données projet'!$A$114&gt;35,BY28+BX29-CG28,IF(A29&lt;'Données projet'!$A$114,$BV$205^A29,IF(A29='Données projet'!$A$114,'Données projet'!$B$114,BY28+BX29-CG28)))</f>
        <v>89.400000000000034</v>
      </c>
      <c r="BZ29" s="13">
        <f>BY29*VLOOKUP('Données projet'!$B$12,Paramètres!$A$1:$I$89,3,0)*VLOOKUP('Données projet'!$B$12,Paramètres!$A$1:$I$89,5,0)</f>
        <v>72.521280000000033</v>
      </c>
      <c r="CA29" s="13">
        <f t="shared" si="39"/>
        <v>20.298285002427914</v>
      </c>
      <c r="CB29" s="20">
        <f t="shared" si="10"/>
        <v>161.66074237922865</v>
      </c>
      <c r="CC29" s="59">
        <f t="shared" si="11"/>
        <v>454.99407571256199</v>
      </c>
      <c r="CD29" s="59">
        <f ca="1">AVERAGE(OFFSET($CC$3,0,0,'Données projet'!$E$12+1,1))-AVERAGE(OFFSET($H$3,0,0,'Données projet'!$E$12+1,1))</f>
        <v>192.4785660463869</v>
      </c>
      <c r="CE29" s="59">
        <f t="shared" si="40"/>
        <v>165.11095806515362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1.2195910218038393</v>
      </c>
      <c r="CM29" s="21">
        <f>EXP(-LN(2)/2)*CM28+(1-EXP(-LN(2)/2))/(LN(2)/2)*CG29*CJ29*VLOOKUP('Données projet'!$B$12,Paramètres!$A$1:$I$89,3,0)*0.475*44/12</f>
        <v>0.35877610927869913</v>
      </c>
      <c r="CN29" s="22">
        <f t="shared" si="12"/>
        <v>1.5783671310825385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6.8</v>
      </c>
      <c r="CT29" s="12">
        <f>IF('Données projet'!$A$140&gt;35,CT28+CS29-DB28,IF(A29&lt;'Données projet'!$A$140,$CQ$205^A29,IF(A29='Données projet'!$A$140,'Données projet'!$B$140,CT28+CS29-DB28)))</f>
        <v>86.799999999999983</v>
      </c>
      <c r="CU29" s="17">
        <f>CT29*VLOOKUP('Données projet'!$B$13,Paramètres!$A$1:$I$89,3,0)*VLOOKUP('Données projet'!$B$13,Paramètres!$A$1:$I$89,5,0)</f>
        <v>73.120319999999992</v>
      </c>
      <c r="CV29" s="13">
        <f t="shared" si="41"/>
        <v>20.446365280074801</v>
      </c>
      <c r="CW29" s="20">
        <f t="shared" si="13"/>
        <v>162.96197686279694</v>
      </c>
      <c r="CX29" s="59">
        <f t="shared" si="14"/>
        <v>456.29531019613023</v>
      </c>
      <c r="CY29" s="59">
        <f ca="1">AVERAGE(OFFSET($CX$3,0,0,'Données projet'!$E$13+1,1))-AVERAGE(OFFSET($H$3,0,0,'Données projet'!$E$13+1,1))</f>
        <v>247.67539667223065</v>
      </c>
      <c r="CZ29" s="59">
        <f t="shared" si="42"/>
        <v>174.54442616983778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0.92876547045061641</v>
      </c>
      <c r="DH29" s="21">
        <f>EXP(-LN(2)/2)*DH28+(1-EXP(-LN(2)/2))/(LN(2)/2)*DB29*DE29*VLOOKUP('Données projet'!$B$13,Paramètres!$A$1:$I$89,3,0)*0.475*44/12</f>
        <v>0.27322180629685527</v>
      </c>
      <c r="DI29" s="22">
        <f t="shared" si="15"/>
        <v>1.2019872767474717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2.9235042735042733</v>
      </c>
      <c r="DO29" s="12">
        <f>IF('Données projet'!$A$166&gt;35,DO28+DN29-DW28,IF(A29&lt;'Données projet'!$A$166,$DL$205^A29,IF(A29='Données projet'!$A$166,'Données projet'!$B$166,DO28+DN29-DW28)))</f>
        <v>48.30087400300993</v>
      </c>
      <c r="DP29" s="17">
        <f>DO29*VLOOKUP('Données projet'!$B$14,Paramètres!$A$1:$I$89,3,0)*VLOOKUP('Données projet'!$B$14,Paramètres!$A$1:$I$89,5,0)</f>
        <v>48.223592604605116</v>
      </c>
      <c r="DQ29" s="13">
        <f t="shared" si="43"/>
        <v>14.154033318430759</v>
      </c>
      <c r="DR29" s="20">
        <f t="shared" si="16"/>
        <v>108.64103181595415</v>
      </c>
      <c r="DS29" s="59">
        <f t="shared" si="17"/>
        <v>401.97436514928745</v>
      </c>
      <c r="DT29" s="59">
        <f ca="1">AVERAGE(OFFSET($DS$3,0,0,'Données projet'!$E$14+1,1))-AVERAGE(OFFSET($H$3,0,0,'Données projet'!$E$14+1,1))</f>
        <v>245.06609107649069</v>
      </c>
      <c r="DU29" s="59">
        <f t="shared" si="44"/>
        <v>156.24531945456499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1.8202290328267554</v>
      </c>
      <c r="EJ29" s="12">
        <f>IF('Données projet'!$A$192&gt;35,EJ28+EI29-ER28,IF(A29&lt;'Données projet'!$A$192,$EG$205^A29,IF(A29='Données projet'!$A$192,'Données projet'!$B$192,EJ28+EI29-ER28)))</f>
        <v>29.279593678159035</v>
      </c>
      <c r="EK29" s="17">
        <f>EJ29*VLOOKUP('Données projet'!$B$15,Paramètres!$A$1:$I$89,3,0)*VLOOKUP('Données projet'!$B$15,Paramètres!$A$1:$I$89,5,0)</f>
        <v>31.973316296549665</v>
      </c>
      <c r="EL29" s="13">
        <f t="shared" si="45"/>
        <v>9.8442461036169302</v>
      </c>
      <c r="EM29" s="20">
        <f t="shared" si="19"/>
        <v>72.832254513623482</v>
      </c>
      <c r="EN29" s="59">
        <f t="shared" si="20"/>
        <v>366.16558784695678</v>
      </c>
      <c r="EO29" s="59">
        <f ca="1">AVERAGE(OFFSET($EN$3,0,0,'Données projet'!$E$15+1,1))-AVERAGE(OFFSET($H$3,0,0,'Données projet'!$E$15+1,1))</f>
        <v>173.63857221119594</v>
      </c>
      <c r="EP29" s="59">
        <f t="shared" si="46"/>
        <v>52.373745617370105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199.93516483516478</v>
      </c>
      <c r="O30" s="13">
        <f>N30*VLOOKUP('Données projet'!$B$9,Paramètres!$A$1:$I$89,3,0)*VLOOKUP('Données projet'!$B$9,Paramètres!$A$1:$I$89,5,0)</f>
        <v>119.56122857142856</v>
      </c>
      <c r="P30" s="13">
        <f t="shared" si="33"/>
        <v>31.572641256590096</v>
      </c>
      <c r="Q30" s="20">
        <f t="shared" si="2"/>
        <v>263.22482328379914</v>
      </c>
      <c r="R30" s="59">
        <f t="shared" si="0"/>
        <v>556.55815661713245</v>
      </c>
      <c r="S30" s="59">
        <f ca="1">AVERAGE(OFFSET($R$3,0,0,'Données projet'!$E$9+1,1))-AVERAGE(OFFSET($H$3,0,0,'Données projet'!$E$9+1,1))</f>
        <v>199.58634493109349</v>
      </c>
      <c r="T30" s="59">
        <f t="shared" si="34"/>
        <v>288.66487031729008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5.3030558811321065</v>
      </c>
      <c r="AA30" s="21">
        <f>EXP(-LN(2)/25)*AA29+(1-EXP(-LN(2)/25))/(LN(2)/25)*Calculateur!V30*Calculateur!X30*VLOOKUP('Données projet'!$B$9,Paramètres!$A$1:$I$89,3,0)*0.475*44/12</f>
        <v>18.615575907953591</v>
      </c>
      <c r="AB30" s="21">
        <f>EXP(-LN(2)/2)*AB29+(1-EXP(-LN(2)/2))/(LN(2)/2)*V30*Y30*VLOOKUP('Données projet'!$B$9,Paramètres!$A$1:$I$89,3,0)*0.475*44/12</f>
        <v>8.3435824175185704</v>
      </c>
      <c r="AC30" s="22">
        <f t="shared" si="3"/>
        <v>32.26221420660427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17.600000000000001</v>
      </c>
      <c r="AI30" s="13">
        <f>IF('Données projet'!$A$62&gt;35,AI29+AH30-AQ29,IF(A30&lt;'Données projet'!$A$62,$AF$205^A30,IF(A30='Données projet'!$A$62,'Données projet'!$B$62,AI29+AH30-AQ29)))</f>
        <v>209.19999999999996</v>
      </c>
      <c r="AJ30" s="13">
        <f>AI30*VLOOKUP('Données projet'!$B$10,Paramètres!$A$1:$I$89,3,0)*VLOOKUP('Données projet'!$B$10,Paramètres!$A$1:$I$89,5,0)</f>
        <v>125.10159999999999</v>
      </c>
      <c r="AK30" s="13">
        <f t="shared" si="35"/>
        <v>32.861965219412788</v>
      </c>
      <c r="AL30" s="20">
        <f t="shared" si="4"/>
        <v>275.11987609047725</v>
      </c>
      <c r="AM30" s="59">
        <f t="shared" si="5"/>
        <v>568.45320942381056</v>
      </c>
      <c r="AN30" s="59">
        <f ca="1">AVERAGE(OFFSET($AM$3,0,0,'Données projet'!$E$10+1,1))-AVERAGE(OFFSET($H$3,0,0,'Données projet'!$E$10+1,1))</f>
        <v>395.40396173178527</v>
      </c>
      <c r="AO30" s="59">
        <f t="shared" si="36"/>
        <v>304.68075128568756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5.7105101610153861</v>
      </c>
      <c r="AW30" s="21">
        <f>EXP(-LN(2)/2)*AW29+(1-EXP(-LN(2)/2))/(LN(2)/2)*AQ30*AT30*VLOOKUP('Données projet'!$B$10,Paramètres!$A$1:$I$89,3,0)*0.475*44/12</f>
        <v>1.1669878910739917</v>
      </c>
      <c r="AX30" s="21">
        <f t="shared" si="6"/>
        <v>6.8774980520893774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33.040000000000006</v>
      </c>
      <c r="BD30" s="12">
        <f>IF('Données projet'!$A$88&gt;35,BD29+BC30-BL29,IF(A30&lt;'Données projet'!$A$88,$BA$205^A30,IF(A30='Données projet'!$A$88,'Données projet'!$B$88,BD29+BC30-BL29)))</f>
        <v>261.88000000000005</v>
      </c>
      <c r="BE30" s="13">
        <f>BD30*VLOOKUP('Données projet'!$B$11,Paramètres!$A$1:$I$89,3,0)*VLOOKUP('Données projet'!$B$11,Paramètres!$A$1:$I$89,5,0)</f>
        <v>228.77836800000009</v>
      </c>
      <c r="BF30" s="13">
        <f t="shared" si="37"/>
        <v>56.01845431491634</v>
      </c>
      <c r="BG30" s="20">
        <f t="shared" si="7"/>
        <v>496.02113219847939</v>
      </c>
      <c r="BH30" s="59">
        <f t="shared" si="8"/>
        <v>789.35446553181271</v>
      </c>
      <c r="BI30" s="59">
        <f ca="1">AVERAGE(OFFSET($BH$3,0,0,'Données projet'!$E$11+1,1))-AVERAGE(OFFSET($H$3,0,0,'Données projet'!$E$11+1,1))</f>
        <v>249.21292089724221</v>
      </c>
      <c r="BJ30" s="59">
        <f t="shared" si="38"/>
        <v>640.80644476065254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49.085535518513531</v>
      </c>
      <c r="BQ30" s="21">
        <f>EXP(-LN(2)/25)*BQ29+(1-EXP(-LN(2)/25))/(LN(2)/25)*Calculateur!BL30*Calculateur!BN30*VLOOKUP('Données projet'!$B$11,Paramètres!$A$1:$I$89,3,0)*0.475*44/12</f>
        <v>62.471423766735825</v>
      </c>
      <c r="BR30" s="21">
        <f>EXP(-LN(2)/2)*BR29+(1-EXP(-LN(2)/2))/(LN(2)/2)*BL30*BO30*VLOOKUP('Données projet'!$B$11,Paramètres!$A$1:$I$89,3,0)*0.475*44/12</f>
        <v>6.2180744598090181</v>
      </c>
      <c r="BS30" s="22">
        <f t="shared" si="9"/>
        <v>117.77503374505837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5.9</v>
      </c>
      <c r="BY30" s="12">
        <f>IF('Données projet'!$A$114&gt;35,BY29+BX30-CG29,IF(A30&lt;'Données projet'!$A$114,$BV$205^A30,IF(A30='Données projet'!$A$114,'Données projet'!$B$114,BY29+BX30-CG29)))</f>
        <v>95.30000000000004</v>
      </c>
      <c r="BZ30" s="13">
        <f>BY30*VLOOKUP('Données projet'!$B$12,Paramètres!$A$1:$I$89,3,0)*VLOOKUP('Données projet'!$B$12,Paramètres!$A$1:$I$89,5,0)</f>
        <v>77.307360000000045</v>
      </c>
      <c r="CA30" s="13">
        <f t="shared" si="39"/>
        <v>21.477513535883457</v>
      </c>
      <c r="CB30" s="20">
        <f t="shared" si="10"/>
        <v>172.05032140833043</v>
      </c>
      <c r="CC30" s="59">
        <f t="shared" si="11"/>
        <v>465.38365474166375</v>
      </c>
      <c r="CD30" s="59">
        <f ca="1">AVERAGE(OFFSET($CC$3,0,0,'Données projet'!$E$12+1,1))-AVERAGE(OFFSET($H$3,0,0,'Données projet'!$E$12+1,1))</f>
        <v>192.4785660463869</v>
      </c>
      <c r="CE30" s="59">
        <f t="shared" si="40"/>
        <v>165.11095806515362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1.1862412411771088</v>
      </c>
      <c r="CM30" s="21">
        <f>EXP(-LN(2)/2)*CM29+(1-EXP(-LN(2)/2))/(LN(2)/2)*CG30*CJ30*VLOOKUP('Données projet'!$B$12,Paramètres!$A$1:$I$89,3,0)*0.475*44/12</f>
        <v>0.25369301979869396</v>
      </c>
      <c r="CN30" s="22">
        <f t="shared" si="12"/>
        <v>1.4399342609758028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6.8</v>
      </c>
      <c r="CT30" s="12">
        <f>IF('Données projet'!$A$140&gt;35,CT29+CS30-DB29,IF(A30&lt;'Données projet'!$A$140,$CQ$205^A30,IF(A30='Données projet'!$A$140,'Données projet'!$B$140,CT29+CS30-DB29)))</f>
        <v>93.59999999999998</v>
      </c>
      <c r="CU30" s="17">
        <f>CT30*VLOOKUP('Données projet'!$B$13,Paramètres!$A$1:$I$89,3,0)*VLOOKUP('Données projet'!$B$13,Paramètres!$A$1:$I$89,5,0)</f>
        <v>78.848639999999989</v>
      </c>
      <c r="CV30" s="13">
        <f t="shared" si="41"/>
        <v>21.855433550732144</v>
      </c>
      <c r="CW30" s="20">
        <f t="shared" si="13"/>
        <v>175.39292810085843</v>
      </c>
      <c r="CX30" s="59">
        <f t="shared" si="14"/>
        <v>468.72626143419177</v>
      </c>
      <c r="CY30" s="59">
        <f ca="1">AVERAGE(OFFSET($CX$3,0,0,'Données projet'!$E$13+1,1))-AVERAGE(OFFSET($H$3,0,0,'Données projet'!$E$13+1,1))</f>
        <v>247.67539667223065</v>
      </c>
      <c r="CZ30" s="59">
        <f t="shared" si="42"/>
        <v>174.54442616983778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0.90336832981949089</v>
      </c>
      <c r="DH30" s="21">
        <f>EXP(-LN(2)/2)*DH29+(1-EXP(-LN(2)/2))/(LN(2)/2)*DB30*DE30*VLOOKUP('Données projet'!$B$13,Paramètres!$A$1:$I$89,3,0)*0.475*44/12</f>
        <v>0.19319699200054372</v>
      </c>
      <c r="DI30" s="22">
        <f t="shared" si="15"/>
        <v>1.0965653218200346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2.9235042735042733</v>
      </c>
      <c r="DO30" s="12">
        <f>IF('Données projet'!$A$166&gt;35,DO29+DN30-DW29,IF(A30&lt;'Données projet'!$A$166,$DL$205^A30,IF(A30='Données projet'!$A$166,'Données projet'!$B$166,DO29+DN30-DW29)))</f>
        <v>56.068958494210662</v>
      </c>
      <c r="DP30" s="17">
        <f>DO30*VLOOKUP('Données projet'!$B$14,Paramètres!$A$1:$I$89,3,0)*VLOOKUP('Données projet'!$B$14,Paramètres!$A$1:$I$89,5,0)</f>
        <v>55.979248160619932</v>
      </c>
      <c r="DQ30" s="13">
        <f t="shared" si="43"/>
        <v>16.147629502592803</v>
      </c>
      <c r="DR30" s="20">
        <f t="shared" si="16"/>
        <v>125.6209785967622</v>
      </c>
      <c r="DS30" s="59">
        <f t="shared" si="17"/>
        <v>418.95431193009551</v>
      </c>
      <c r="DT30" s="59">
        <f ca="1">AVERAGE(OFFSET($DS$3,0,0,'Données projet'!$E$14+1,1))-AVERAGE(OFFSET($H$3,0,0,'Données projet'!$E$14+1,1))</f>
        <v>245.06609107649069</v>
      </c>
      <c r="DU30" s="59">
        <f t="shared" si="44"/>
        <v>156.24531945456499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1.8202290328267554</v>
      </c>
      <c r="EJ30" s="12">
        <f>IF('Données projet'!$A$192&gt;35,EJ29+EI30-ER29,IF(A30&lt;'Données projet'!$A$192,$EG$205^A30,IF(A30='Données projet'!$A$192,'Données projet'!$B$192,EJ29+EI30-ER29)))</f>
        <v>31.099822710985791</v>
      </c>
      <c r="EK30" s="17">
        <f>EJ30*VLOOKUP('Données projet'!$B$15,Paramètres!$A$1:$I$89,3,0)*VLOOKUP('Données projet'!$B$15,Paramètres!$A$1:$I$89,5,0)</f>
        <v>33.961006400396485</v>
      </c>
      <c r="EL30" s="13">
        <f t="shared" si="45"/>
        <v>10.383086696734935</v>
      </c>
      <c r="EM30" s="20">
        <f t="shared" si="19"/>
        <v>77.232628810837227</v>
      </c>
      <c r="EN30" s="59">
        <f t="shared" si="20"/>
        <v>370.56596214417056</v>
      </c>
      <c r="EO30" s="59">
        <f ca="1">AVERAGE(OFFSET($EN$3,0,0,'Données projet'!$E$15+1,1))-AVERAGE(OFFSET($H$3,0,0,'Données projet'!$E$15+1,1))</f>
        <v>173.63857221119594</v>
      </c>
      <c r="EP30" s="59">
        <f t="shared" si="46"/>
        <v>52.373745617370105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216.44505494505489</v>
      </c>
      <c r="O31" s="13">
        <f>N31*VLOOKUP('Données projet'!$B$9,Paramètres!$A$1:$I$89,3,0)*VLOOKUP('Données projet'!$B$9,Paramètres!$A$1:$I$89,5,0)</f>
        <v>129.43414285714283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199.58634493109349</v>
      </c>
      <c r="T31" s="59">
        <f t="shared" si="34"/>
        <v>288.66487031729008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5.1990661898478088</v>
      </c>
      <c r="AA31" s="21">
        <f>EXP(-LN(2)/25)*AA30+(1-EXP(-LN(2)/25))/(LN(2)/25)*Calculateur!V31*Calculateur!X31*VLOOKUP('Données projet'!$B$9,Paramètres!$A$1:$I$89,3,0)*0.475*44/12</f>
        <v>18.106532005800009</v>
      </c>
      <c r="AB31" s="21">
        <f>EXP(-LN(2)/2)*AB30+(1-EXP(-LN(2)/2))/(LN(2)/2)*V31*Y31*VLOOKUP('Données projet'!$B$9,Paramètres!$A$1:$I$89,3,0)*0.475*44/12</f>
        <v>5.899803706816229</v>
      </c>
      <c r="AC31" s="22">
        <f t="shared" si="3"/>
        <v>29.205401902464047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17.600000000000001</v>
      </c>
      <c r="AI31" s="13">
        <f>IF('Données projet'!$A$62&gt;35,AI30+AH31-AQ30,IF(A31&lt;'Données projet'!$A$62,$AF$205^A31,IF(A31='Données projet'!$A$62,'Données projet'!$B$62,AI30+AH31-AQ30)))</f>
        <v>226.79999999999995</v>
      </c>
      <c r="AJ31" s="13">
        <f>AI31*VLOOKUP('Données projet'!$B$10,Paramètres!$A$1:$I$89,3,0)*VLOOKUP('Données projet'!$B$10,Paramètres!$A$1:$I$89,5,0)</f>
        <v>135.62639999999999</v>
      </c>
      <c r="AK31" s="13">
        <f t="shared" si="35"/>
        <v>35.293231938598481</v>
      </c>
      <c r="AL31" s="20">
        <f t="shared" si="4"/>
        <v>297.6850256263923</v>
      </c>
      <c r="AM31" s="59">
        <f t="shared" si="5"/>
        <v>591.01835895972567</v>
      </c>
      <c r="AN31" s="59">
        <f ca="1">AVERAGE(OFFSET($AM$3,0,0,'Données projet'!$E$10+1,1))-AVERAGE(OFFSET($H$3,0,0,'Données projet'!$E$10+1,1))</f>
        <v>395.40396173178527</v>
      </c>
      <c r="AO31" s="59">
        <f t="shared" si="36"/>
        <v>304.68075128568756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5.554355960359743</v>
      </c>
      <c r="AW31" s="21">
        <f>EXP(-LN(2)/2)*AW30+(1-EXP(-LN(2)/2))/(LN(2)/2)*AQ31*AT31*VLOOKUP('Données projet'!$B$10,Paramètres!$A$1:$I$89,3,0)*0.475*44/12</f>
        <v>0.82518505134100761</v>
      </c>
      <c r="AX31" s="21">
        <f t="shared" si="6"/>
        <v>6.3795410117007503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33.040000000000006</v>
      </c>
      <c r="BD31" s="12">
        <f>IF('Données projet'!$A$88&gt;35,BD30+BC31-BL30,IF(A31&lt;'Données projet'!$A$88,$BA$205^A31,IF(A31='Données projet'!$A$88,'Données projet'!$B$88,BD30+BC31-BL30)))</f>
        <v>294.92000000000007</v>
      </c>
      <c r="BE31" s="13">
        <f>BD31*VLOOKUP('Données projet'!$B$11,Paramètres!$A$1:$I$89,3,0)*VLOOKUP('Données projet'!$B$11,Paramètres!$A$1:$I$89,5,0)</f>
        <v>257.64211200000011</v>
      </c>
      <c r="BF31" s="13">
        <f t="shared" si="37"/>
        <v>62.219505341625883</v>
      </c>
      <c r="BG31" s="20">
        <f t="shared" si="7"/>
        <v>557.09231686999863</v>
      </c>
      <c r="BH31" s="59">
        <f t="shared" si="8"/>
        <v>850.425650203332</v>
      </c>
      <c r="BI31" s="59">
        <f ca="1">AVERAGE(OFFSET($BH$3,0,0,'Données projet'!$E$11+1,1))-AVERAGE(OFFSET($H$3,0,0,'Données projet'!$E$11+1,1))</f>
        <v>249.21292089724221</v>
      </c>
      <c r="BJ31" s="59">
        <f t="shared" si="38"/>
        <v>640.80644476065254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48.122998106215896</v>
      </c>
      <c r="BQ31" s="21">
        <f>EXP(-LN(2)/25)*BQ30+(1-EXP(-LN(2)/25))/(LN(2)/25)*Calculateur!BL31*Calculateur!BN31*VLOOKUP('Données projet'!$B$11,Paramètres!$A$1:$I$89,3,0)*0.475*44/12</f>
        <v>60.763139398605041</v>
      </c>
      <c r="BR31" s="21">
        <f>EXP(-LN(2)/2)*BR30+(1-EXP(-LN(2)/2))/(LN(2)/2)*BL31*BO31*VLOOKUP('Données projet'!$B$11,Paramètres!$A$1:$I$89,3,0)*0.475*44/12</f>
        <v>4.396842616453835</v>
      </c>
      <c r="BS31" s="22">
        <f t="shared" si="9"/>
        <v>113.28298012127478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5.9</v>
      </c>
      <c r="BY31" s="12">
        <f>IF('Données projet'!$A$114&gt;35,BY30+BX31-CG30,IF(A31&lt;'Données projet'!$A$114,$BV$205^A31,IF(A31='Données projet'!$A$114,'Données projet'!$B$114,BY30+BX31-CG30)))</f>
        <v>101.20000000000005</v>
      </c>
      <c r="BZ31" s="13">
        <f>BY31*VLOOKUP('Données projet'!$B$12,Paramètres!$A$1:$I$89,3,0)*VLOOKUP('Données projet'!$B$12,Paramètres!$A$1:$I$89,5,0)</f>
        <v>82.093440000000044</v>
      </c>
      <c r="CA31" s="13">
        <f t="shared" si="39"/>
        <v>22.64826903293481</v>
      </c>
      <c r="CB31" s="20">
        <f t="shared" si="10"/>
        <v>182.42514323236151</v>
      </c>
      <c r="CC31" s="59">
        <f t="shared" si="11"/>
        <v>475.75847656569482</v>
      </c>
      <c r="CD31" s="59">
        <f ca="1">AVERAGE(OFFSET($CC$3,0,0,'Données projet'!$E$12+1,1))-AVERAGE(OFFSET($H$3,0,0,'Données projet'!$E$12+1,1))</f>
        <v>192.4785660463869</v>
      </c>
      <c r="CE31" s="59">
        <f t="shared" si="40"/>
        <v>165.11095806515362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1.153803412055405</v>
      </c>
      <c r="CM31" s="21">
        <f>EXP(-LN(2)/2)*CM30+(1-EXP(-LN(2)/2))/(LN(2)/2)*CG31*CJ31*VLOOKUP('Données projet'!$B$12,Paramètres!$A$1:$I$89,3,0)*0.475*44/12</f>
        <v>0.17938805463934956</v>
      </c>
      <c r="CN31" s="22">
        <f t="shared" si="12"/>
        <v>1.3331914666947546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6.8</v>
      </c>
      <c r="CT31" s="12">
        <f>IF('Données projet'!$A$140&gt;35,CT30+CS31-DB30,IF(A31&lt;'Données projet'!$A$140,$CQ$205^A31,IF(A31='Données projet'!$A$140,'Données projet'!$B$140,CT30+CS31-DB30)))</f>
        <v>100.39999999999998</v>
      </c>
      <c r="CU31" s="17">
        <f>CT31*VLOOKUP('Données projet'!$B$13,Paramètres!$A$1:$I$89,3,0)*VLOOKUP('Données projet'!$B$13,Paramètres!$A$1:$I$89,5,0)</f>
        <v>84.57696</v>
      </c>
      <c r="CV31" s="13">
        <f t="shared" si="41"/>
        <v>23.252625379447668</v>
      </c>
      <c r="CW31" s="20">
        <f t="shared" si="13"/>
        <v>187.80319453587131</v>
      </c>
      <c r="CX31" s="59">
        <f t="shared" si="14"/>
        <v>481.13652786920466</v>
      </c>
      <c r="CY31" s="59">
        <f ca="1">AVERAGE(OFFSET($CX$3,0,0,'Données projet'!$E$13+1,1))-AVERAGE(OFFSET($H$3,0,0,'Données projet'!$E$13+1,1))</f>
        <v>247.67539667223065</v>
      </c>
      <c r="CZ31" s="59">
        <f t="shared" si="42"/>
        <v>174.54442616983778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0.87866567533450113</v>
      </c>
      <c r="DH31" s="21">
        <f>EXP(-LN(2)/2)*DH30+(1-EXP(-LN(2)/2))/(LN(2)/2)*DB31*DE31*VLOOKUP('Données projet'!$B$13,Paramètres!$A$1:$I$89,3,0)*0.475*44/12</f>
        <v>0.13661090314842764</v>
      </c>
      <c r="DI31" s="22">
        <f t="shared" si="15"/>
        <v>1.0152765784829287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2.9235042735042733</v>
      </c>
      <c r="DO31" s="12">
        <f>IF('Données projet'!$A$166&gt;35,DO30+DN31-DW30,IF(A31&lt;'Données projet'!$A$166,$DL$205^A31,IF(A31='Données projet'!$A$166,'Données projet'!$B$166,DO30+DN31-DW30)))</f>
        <v>65.086360682202411</v>
      </c>
      <c r="DP31" s="17">
        <f>DO31*VLOOKUP('Données projet'!$B$14,Paramètres!$A$1:$I$89,3,0)*VLOOKUP('Données projet'!$B$14,Paramètres!$A$1:$I$89,5,0)</f>
        <v>64.982222505110897</v>
      </c>
      <c r="DQ31" s="13">
        <f t="shared" si="43"/>
        <v>18.422023792573217</v>
      </c>
      <c r="DR31" s="20">
        <f t="shared" si="16"/>
        <v>145.26239563513315</v>
      </c>
      <c r="DS31" s="59">
        <f t="shared" si="17"/>
        <v>438.59572896846646</v>
      </c>
      <c r="DT31" s="59">
        <f ca="1">AVERAGE(OFFSET($DS$3,0,0,'Données projet'!$E$14+1,1))-AVERAGE(OFFSET($H$3,0,0,'Données projet'!$E$14+1,1))</f>
        <v>245.06609107649069</v>
      </c>
      <c r="DU31" s="59">
        <f t="shared" si="44"/>
        <v>156.24531945456499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1.8202290328267554</v>
      </c>
      <c r="EJ31" s="12">
        <f>IF('Données projet'!$A$192&gt;35,EJ30+EI31-ER30,IF(A31&lt;'Données projet'!$A$192,$EG$205^A31,IF(A31='Données projet'!$A$192,'Données projet'!$B$192,EJ30+EI31-ER30)))</f>
        <v>32.920051743812543</v>
      </c>
      <c r="EK31" s="17">
        <f>EJ31*VLOOKUP('Données projet'!$B$15,Paramètres!$A$1:$I$89,3,0)*VLOOKUP('Données projet'!$B$15,Paramètres!$A$1:$I$89,5,0)</f>
        <v>35.948696504243294</v>
      </c>
      <c r="EL31" s="13">
        <f t="shared" si="45"/>
        <v>10.918266585364805</v>
      </c>
      <c r="EM31" s="20">
        <f t="shared" si="19"/>
        <v>81.626627381067422</v>
      </c>
      <c r="EN31" s="59">
        <f t="shared" si="20"/>
        <v>374.95996071440072</v>
      </c>
      <c r="EO31" s="59">
        <f ca="1">AVERAGE(OFFSET($EN$3,0,0,'Données projet'!$E$15+1,1))-AVERAGE(OFFSET($H$3,0,0,'Données projet'!$E$15+1,1))</f>
        <v>173.63857221119594</v>
      </c>
      <c r="EP31" s="59">
        <f t="shared" si="46"/>
        <v>52.373745617370105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232.954945054945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199.58634493109349</v>
      </c>
      <c r="T32" s="59">
        <f t="shared" si="34"/>
        <v>288.66487031729008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5.097115672982147</v>
      </c>
      <c r="AA32" s="21">
        <f>EXP(-LN(2)/25)*AA31+(1-EXP(-LN(2)/25))/(LN(2)/25)*Calculateur!V32*Calculateur!X32*VLOOKUP('Données projet'!$B$9,Paramètres!$A$1:$I$89,3,0)*0.475*44/12</f>
        <v>17.611407935920273</v>
      </c>
      <c r="AB32" s="21">
        <f>EXP(-LN(2)/2)*AB31+(1-EXP(-LN(2)/2))/(LN(2)/2)*V32*Y32*VLOOKUP('Données projet'!$B$9,Paramètres!$A$1:$I$89,3,0)*0.475*44/12</f>
        <v>4.1717912087592852</v>
      </c>
      <c r="AC32" s="22">
        <f t="shared" si="3"/>
        <v>26.880314817661702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17.600000000000001</v>
      </c>
      <c r="AI32" s="13">
        <f>IF('Données projet'!$A$62&gt;35,AI31+AH32-AQ31,IF(A32&lt;'Données projet'!$A$62,$AF$205^A32,IF(A32='Données projet'!$A$62,'Données projet'!$B$62,AI31+AH32-AQ31)))</f>
        <v>244.39999999999995</v>
      </c>
      <c r="AJ32" s="13">
        <f>AI32*VLOOKUP('Données projet'!$B$10,Paramètres!$A$1:$I$89,3,0)*VLOOKUP('Données projet'!$B$10,Paramètres!$A$1:$I$89,5,0)</f>
        <v>146.15119999999999</v>
      </c>
      <c r="AK32" s="13">
        <f t="shared" si="35"/>
        <v>37.702613215856474</v>
      </c>
      <c r="AL32" s="20">
        <f t="shared" si="4"/>
        <v>320.21205801761664</v>
      </c>
      <c r="AM32" s="59">
        <f t="shared" si="5"/>
        <v>613.54539135095001</v>
      </c>
      <c r="AN32" s="59">
        <f ca="1">AVERAGE(OFFSET($AM$3,0,0,'Données projet'!$E$10+1,1))-AVERAGE(OFFSET($H$3,0,0,'Données projet'!$E$10+1,1))</f>
        <v>395.40396173178527</v>
      </c>
      <c r="AO32" s="59">
        <f t="shared" si="36"/>
        <v>304.68075128568756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5.4024718045328202</v>
      </c>
      <c r="AW32" s="21">
        <f>EXP(-LN(2)/2)*AW31+(1-EXP(-LN(2)/2))/(LN(2)/2)*AQ32*AT32*VLOOKUP('Données projet'!$B$10,Paramètres!$A$1:$I$89,3,0)*0.475*44/12</f>
        <v>0.58349394553699585</v>
      </c>
      <c r="AX32" s="21">
        <f t="shared" si="6"/>
        <v>5.9859657500698162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33.040000000000006</v>
      </c>
      <c r="BD32" s="12">
        <f>IF('Données projet'!$A$88&gt;35,BD31+BC32-BL31,IF(A32&lt;'Données projet'!$A$88,$BA$205^A32,IF(A32='Données projet'!$A$88,'Données projet'!$B$88,BD31+BC32-BL31)))</f>
        <v>327.96000000000009</v>
      </c>
      <c r="BE32" s="13">
        <f>BD32*VLOOKUP('Données projet'!$B$11,Paramètres!$A$1:$I$89,3,0)*VLOOKUP('Données projet'!$B$11,Paramètres!$A$1:$I$89,5,0)</f>
        <v>286.50585600000011</v>
      </c>
      <c r="BF32" s="13">
        <f t="shared" si="37"/>
        <v>68.340039929270091</v>
      </c>
      <c r="BG32" s="20">
        <f t="shared" si="7"/>
        <v>618.02326874347898</v>
      </c>
      <c r="BH32" s="59">
        <f t="shared" si="8"/>
        <v>911.35660207681235</v>
      </c>
      <c r="BI32" s="59">
        <f ca="1">AVERAGE(OFFSET($BH$3,0,0,'Données projet'!$E$11+1,1))-AVERAGE(OFFSET($H$3,0,0,'Données projet'!$E$11+1,1))</f>
        <v>249.21292089724221</v>
      </c>
      <c r="BJ32" s="59">
        <f t="shared" si="38"/>
        <v>640.80644476065254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47.179335465483561</v>
      </c>
      <c r="BQ32" s="21">
        <f>EXP(-LN(2)/25)*BQ31+(1-EXP(-LN(2)/25))/(LN(2)/25)*Calculateur!BL32*Calculateur!BN32*VLOOKUP('Données projet'!$B$11,Paramètres!$A$1:$I$89,3,0)*0.475*44/12</f>
        <v>59.101568156355562</v>
      </c>
      <c r="BR32" s="21">
        <f>EXP(-LN(2)/2)*BR31+(1-EXP(-LN(2)/2))/(LN(2)/2)*BL32*BO32*VLOOKUP('Données projet'!$B$11,Paramètres!$A$1:$I$89,3,0)*0.475*44/12</f>
        <v>3.109037229904509</v>
      </c>
      <c r="BS32" s="22">
        <f t="shared" si="9"/>
        <v>109.38994085174363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5.9</v>
      </c>
      <c r="BY32" s="12">
        <f>IF('Données projet'!$A$114&gt;35,BY31+BX32-CG31,IF(A32&lt;'Données projet'!$A$114,$BV$205^A32,IF(A32='Données projet'!$A$114,'Données projet'!$B$114,BY31+BX32-CG31)))</f>
        <v>107.10000000000005</v>
      </c>
      <c r="BZ32" s="13">
        <f>BY32*VLOOKUP('Données projet'!$B$12,Paramètres!$A$1:$I$89,3,0)*VLOOKUP('Données projet'!$B$12,Paramètres!$A$1:$I$89,5,0)</f>
        <v>86.879520000000042</v>
      </c>
      <c r="CA32" s="13">
        <f t="shared" si="39"/>
        <v>23.811101748604674</v>
      </c>
      <c r="CB32" s="20">
        <f t="shared" si="10"/>
        <v>192.78616621215318</v>
      </c>
      <c r="CC32" s="59">
        <f t="shared" si="11"/>
        <v>486.11949954548652</v>
      </c>
      <c r="CD32" s="59">
        <f ca="1">AVERAGE(OFFSET($CC$3,0,0,'Données projet'!$E$12+1,1))-AVERAGE(OFFSET($H$3,0,0,'Données projet'!$E$12+1,1))</f>
        <v>192.4785660463869</v>
      </c>
      <c r="CE32" s="59">
        <f t="shared" si="40"/>
        <v>165.11095806515362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1.1222525970768655</v>
      </c>
      <c r="CM32" s="21">
        <f>EXP(-LN(2)/2)*CM31+(1-EXP(-LN(2)/2))/(LN(2)/2)*CG32*CJ32*VLOOKUP('Données projet'!$B$12,Paramètres!$A$1:$I$89,3,0)*0.475*44/12</f>
        <v>0.12684650989934698</v>
      </c>
      <c r="CN32" s="22">
        <f t="shared" si="12"/>
        <v>1.2490991069762125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6.8</v>
      </c>
      <c r="CT32" s="12">
        <f>IF('Données projet'!$A$140&gt;35,CT31+CS32-DB31,IF(A32&lt;'Données projet'!$A$140,$CQ$205^A32,IF(A32='Données projet'!$A$140,'Données projet'!$B$140,CT31+CS32-DB31)))</f>
        <v>107.19999999999997</v>
      </c>
      <c r="CU32" s="17">
        <f>CT32*VLOOKUP('Données projet'!$B$13,Paramètres!$A$1:$I$89,3,0)*VLOOKUP('Données projet'!$B$13,Paramètres!$A$1:$I$89,5,0)</f>
        <v>90.305279999999982</v>
      </c>
      <c r="CV32" s="13">
        <f t="shared" si="41"/>
        <v>24.638836662227757</v>
      </c>
      <c r="CW32" s="20">
        <f t="shared" si="13"/>
        <v>200.19433652004662</v>
      </c>
      <c r="CX32" s="59">
        <f t="shared" si="14"/>
        <v>493.52766985337996</v>
      </c>
      <c r="CY32" s="59">
        <f ca="1">AVERAGE(OFFSET($CX$3,0,0,'Données projet'!$E$13+1,1))-AVERAGE(OFFSET($H$3,0,0,'Données projet'!$E$13+1,1))</f>
        <v>247.67539667223065</v>
      </c>
      <c r="CZ32" s="59">
        <f t="shared" si="42"/>
        <v>174.54442616983778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0.8546385162354595</v>
      </c>
      <c r="DH32" s="21">
        <f>EXP(-LN(2)/2)*DH31+(1-EXP(-LN(2)/2))/(LN(2)/2)*DB32*DE32*VLOOKUP('Données projet'!$B$13,Paramètres!$A$1:$I$89,3,0)*0.475*44/12</f>
        <v>9.6598496000271858E-2</v>
      </c>
      <c r="DI32" s="22">
        <f t="shared" si="15"/>
        <v>0.95123701223573132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2.9235042735042733</v>
      </c>
      <c r="DO32" s="12">
        <f>IF('Données projet'!$A$166&gt;35,DO31+DN32-DW31,IF(A32&lt;'Données projet'!$A$166,$DL$205^A32,IF(A32='Données projet'!$A$166,'Données projet'!$B$166,DO31+DN32-DW31)))</f>
        <v>75.55400457975604</v>
      </c>
      <c r="DP32" s="17">
        <f>DO32*VLOOKUP('Données projet'!$B$14,Paramètres!$A$1:$I$89,3,0)*VLOOKUP('Données projet'!$B$14,Paramètres!$A$1:$I$89,5,0)</f>
        <v>75.433118172428436</v>
      </c>
      <c r="DQ32" s="13">
        <f t="shared" si="43"/>
        <v>21.016766613306388</v>
      </c>
      <c r="DR32" s="20">
        <f t="shared" si="16"/>
        <v>167.98354933515483</v>
      </c>
      <c r="DS32" s="59">
        <f t="shared" si="17"/>
        <v>461.31688266848812</v>
      </c>
      <c r="DT32" s="59">
        <f ca="1">AVERAGE(OFFSET($DS$3,0,0,'Données projet'!$E$14+1,1))-AVERAGE(OFFSET($H$3,0,0,'Données projet'!$E$14+1,1))</f>
        <v>245.06609107649069</v>
      </c>
      <c r="DU32" s="59">
        <f t="shared" si="44"/>
        <v>156.24531945456499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1.8202290328267554</v>
      </c>
      <c r="EJ32" s="12">
        <f>IF('Données projet'!$A$192&gt;35,EJ31+EI32-ER31,IF(A32&lt;'Données projet'!$A$192,$EG$205^A32,IF(A32='Données projet'!$A$192,'Données projet'!$B$192,EJ31+EI32-ER31)))</f>
        <v>34.740280776639295</v>
      </c>
      <c r="EK32" s="17">
        <f>EJ32*VLOOKUP('Données projet'!$B$15,Paramètres!$A$1:$I$89,3,0)*VLOOKUP('Données projet'!$B$15,Paramètres!$A$1:$I$89,5,0)</f>
        <v>37.93638660809011</v>
      </c>
      <c r="EL32" s="13">
        <f t="shared" si="45"/>
        <v>11.450011249461227</v>
      </c>
      <c r="EM32" s="20">
        <f t="shared" si="19"/>
        <v>86.014642935235244</v>
      </c>
      <c r="EN32" s="59">
        <f t="shared" si="20"/>
        <v>379.34797626856857</v>
      </c>
      <c r="EO32" s="59">
        <f ca="1">AVERAGE(OFFSET($EN$3,0,0,'Données projet'!$E$15+1,1))-AVERAGE(OFFSET($H$3,0,0,'Données projet'!$E$15+1,1))</f>
        <v>173.63857221119594</v>
      </c>
      <c r="EP32" s="59">
        <f t="shared" si="46"/>
        <v>52.373745617370105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249.46483516483511</v>
      </c>
      <c r="O33" s="13">
        <f>N33*VLOOKUP('Données projet'!$B$9,Paramètres!$A$1:$I$89,3,0)*VLOOKUP('Données projet'!$B$9,Paramètres!$A$1:$I$89,5,0)</f>
        <v>149.17997142857141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199.58634493109349</v>
      </c>
      <c r="T33" s="59">
        <f t="shared" si="34"/>
        <v>288.66487031729008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4.9971643435685458</v>
      </c>
      <c r="AA33" s="21">
        <f>EXP(-LN(2)/25)*AA32+(1-EXP(-LN(2)/25))/(LN(2)/25)*Calculateur!V33*Calculateur!X33*VLOOKUP('Données projet'!$B$9,Paramètres!$A$1:$I$89,3,0)*0.475*44/12</f>
        <v>17.129823059768842</v>
      </c>
      <c r="AB33" s="21">
        <f>EXP(-LN(2)/2)*AB32+(1-EXP(-LN(2)/2))/(LN(2)/2)*V33*Y33*VLOOKUP('Données projet'!$B$9,Paramètres!$A$1:$I$89,3,0)*0.475*44/12</f>
        <v>2.9499018534081145</v>
      </c>
      <c r="AC33" s="22">
        <f t="shared" si="3"/>
        <v>25.076889256745503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262</v>
      </c>
      <c r="AG33" s="12">
        <f>VLOOKUP(A33,'Données projet'!$A$61:$I$81,9,0)</f>
        <v>17.600000000000001</v>
      </c>
      <c r="AH33" s="12">
        <f t="array" ref="AH33">INDEX(AG:AG,MIN(IF(ISNUMBER(AG33:AG229),ROW(AG33:AG229),"")))</f>
        <v>17.600000000000001</v>
      </c>
      <c r="AI33" s="13">
        <f>IF('Données projet'!$A$62&gt;35,AI32+AH33-AQ32,IF(A33&lt;'Données projet'!$A$62,$AF$205^A33,IF(A33='Données projet'!$A$62,'Données projet'!$B$62,AI32+AH33-AQ32)))</f>
        <v>261.99999999999994</v>
      </c>
      <c r="AJ33" s="13">
        <f>AI33*VLOOKUP('Données projet'!$B$10,Paramètres!$A$1:$I$89,3,0)*VLOOKUP('Données projet'!$B$10,Paramètres!$A$1:$I$89,5,0)</f>
        <v>156.67599999999999</v>
      </c>
      <c r="AK33" s="13">
        <f t="shared" si="35"/>
        <v>40.091864330619373</v>
      </c>
      <c r="AL33" s="20">
        <f t="shared" si="4"/>
        <v>342.70403037582872</v>
      </c>
      <c r="AM33" s="59">
        <f t="shared" si="5"/>
        <v>636.03736370916204</v>
      </c>
      <c r="AN33" s="59">
        <f ca="1">AVERAGE(OFFSET($AM$3,0,0,'Données projet'!$E$10+1,1))-AVERAGE(OFFSET($H$3,0,0,'Données projet'!$E$10+1,1))</f>
        <v>395.40396173178527</v>
      </c>
      <c r="AO33" s="59">
        <f t="shared" si="36"/>
        <v>304.68075128568756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2.9986193576537548</v>
      </c>
      <c r="AV33" s="21">
        <f>EXP(-LN(2)/25)*AV32+(1-EXP(-LN(2)/25))/(LN(2)/25)*Calculateur!AQ33*Calculateur!AS33*VLOOKUP('Données projet'!$B$10,Paramètres!$A$1:$I$89,3,0)*0.475*44/12</f>
        <v>18.695397856990269</v>
      </c>
      <c r="AW33" s="21">
        <f>EXP(-LN(2)/2)*AW32+(1-EXP(-LN(2)/2))/(LN(2)/2)*AQ33*AT33*VLOOKUP('Données projet'!$B$10,Paramètres!$A$1:$I$89,3,0)*0.475*44/12</f>
        <v>26.006024271877749</v>
      </c>
      <c r="AX33" s="21">
        <f t="shared" si="6"/>
        <v>47.700041486521769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361</v>
      </c>
      <c r="BB33" s="12">
        <f>VLOOKUP(A33,'Données projet'!$A$87:$I$107,9,0)</f>
        <v>33.040000000000006</v>
      </c>
      <c r="BC33" s="12">
        <f t="array" ref="BC33">INDEX(BB:BB,MIN(IF(ISNUMBER(BB33:BB229),ROW(BB33:BB229),"")))</f>
        <v>33.040000000000006</v>
      </c>
      <c r="BD33" s="12">
        <f>IF('Données projet'!$A$88&gt;35,BD32+BC33-BL32,IF(A33&lt;'Données projet'!$A$88,$BA$205^A33,IF(A33='Données projet'!$A$88,'Données projet'!$B$88,BD32+BC33-BL32)))</f>
        <v>361.00000000000011</v>
      </c>
      <c r="BE33" s="13">
        <f>BD33*VLOOKUP('Données projet'!$B$11,Paramètres!$A$1:$I$89,3,0)*VLOOKUP('Données projet'!$B$11,Paramètres!$A$1:$I$89,5,0)</f>
        <v>315.36960000000016</v>
      </c>
      <c r="BF33" s="13">
        <f t="shared" si="37"/>
        <v>74.389093120072786</v>
      </c>
      <c r="BG33" s="20">
        <f t="shared" si="7"/>
        <v>678.8297238507937</v>
      </c>
      <c r="BH33" s="59">
        <f t="shared" si="8"/>
        <v>972.16305718412696</v>
      </c>
      <c r="BI33" s="59">
        <f ca="1">AVERAGE(OFFSET($BH$3,0,0,'Données projet'!$E$11+1,1))-AVERAGE(OFFSET($H$3,0,0,'Données projet'!$E$11+1,1))</f>
        <v>249.21292089724221</v>
      </c>
      <c r="BJ33" s="59">
        <f t="shared" si="38"/>
        <v>640.80644476065254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324.90000000000003</v>
      </c>
      <c r="BM33" s="16">
        <f>IF(ISNA(VLOOKUP(A33,'Données projet'!$A$87:$I$107,5,0)),0%,VLOOKUP(A33,'Données projet'!$A$87:$I$107,5,0)*VLOOKUP('Données projet'!$B$11,Paramètres!$A$1:$I$89,7,0))</f>
        <v>0.21200000000000002</v>
      </c>
      <c r="BN33" s="16">
        <f>IF(ISNA(VLOOKUP(A33,'Données projet'!$A$87:$I$107,6,0)),0%,VLOOKUP(A33,'Données projet'!$A$87:$I$107,6,0)*VLOOKUP('Données projet'!$B$11,Paramètres!$A$1:$I$89,7,0))</f>
        <v>0.159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112.77311564166214</v>
      </c>
      <c r="BQ33" s="21">
        <f>EXP(-LN(2)/25)*BQ32+(1-EXP(-LN(2)/25))/(LN(2)/25)*Calculateur!BL33*Calculateur!BN33*VLOOKUP('Données projet'!$B$11,Paramètres!$A$1:$I$89,3,0)*0.475*44/12</f>
        <v>107.17820348922852</v>
      </c>
      <c r="BR33" s="21">
        <f>EXP(-LN(2)/2)*BR32+(1-EXP(-LN(2)/2))/(LN(2)/2)*BL33*BO33*VLOOKUP('Données projet'!$B$11,Paramètres!$A$1:$I$89,3,0)*0.475*44/12</f>
        <v>82.539541833277511</v>
      </c>
      <c r="BS33" s="22">
        <f t="shared" si="9"/>
        <v>302.49086096416818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113</v>
      </c>
      <c r="BW33" s="12">
        <f>VLOOKUP(A33,'Données projet'!$A$113:$I$133,9,0)</f>
        <v>5.9</v>
      </c>
      <c r="BX33" s="12">
        <f t="array" ref="BX33">INDEX(BW:BW,MIN(IF(ISNUMBER(BW33:BW229),ROW(BW33:BW229),"")))</f>
        <v>5.9</v>
      </c>
      <c r="BY33" s="12">
        <f>IF('Données projet'!$A$114&gt;35,BY32+BX33-CG32,IF(A33&lt;'Données projet'!$A$114,$BV$205^A33,IF(A33='Données projet'!$A$114,'Données projet'!$B$114,BY32+BX33-CG32)))</f>
        <v>113.00000000000006</v>
      </c>
      <c r="BZ33" s="13">
        <f>BY33*VLOOKUP('Données projet'!$B$12,Paramètres!$A$1:$I$89,3,0)*VLOOKUP('Données projet'!$B$12,Paramètres!$A$1:$I$89,5,0)</f>
        <v>91.665600000000055</v>
      </c>
      <c r="CA33" s="13">
        <f t="shared" si="39"/>
        <v>24.96649788820746</v>
      </c>
      <c r="CB33" s="20">
        <f t="shared" si="10"/>
        <v>203.13423715529476</v>
      </c>
      <c r="CC33" s="59">
        <f t="shared" si="11"/>
        <v>496.4675704886281</v>
      </c>
      <c r="CD33" s="59">
        <f ca="1">AVERAGE(OFFSET($CC$3,0,0,'Données projet'!$E$12+1,1))-AVERAGE(OFFSET($H$3,0,0,'Données projet'!$E$12+1,1))</f>
        <v>192.4785660463869</v>
      </c>
      <c r="CE33" s="59">
        <f t="shared" si="40"/>
        <v>165.11095806515362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0.80977208740504769</v>
      </c>
      <c r="CL33" s="21">
        <f>EXP(-LN(2)/25)*CL32+(1-EXP(-LN(2)/25))/(LN(2)/25)*Calculateur!CG33*Calculateur!CI33*VLOOKUP('Données projet'!$B$12,Paramètres!$A$1:$I$89,3,0)*0.475*44/12</f>
        <v>4.7211912184662044</v>
      </c>
      <c r="CM33" s="21">
        <f>EXP(-LN(2)/2)*CM32+(1-EXP(-LN(2)/2))/(LN(2)/2)*CG33*CJ33*VLOOKUP('Données projet'!$B$12,Paramètres!$A$1:$I$89,3,0)*0.475*44/12</f>
        <v>7.322620390378245</v>
      </c>
      <c r="CN33" s="22">
        <f t="shared" si="12"/>
        <v>12.853583696249498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6.8</v>
      </c>
      <c r="CS33" s="12">
        <f t="array" ref="CS33">INDEX(CR:CR,MIN(IF(ISNUMBER(CR33:CR229),ROW(CR33:CR229),"")))</f>
        <v>6.8</v>
      </c>
      <c r="CT33" s="12">
        <f>IF('Données projet'!$A$140&gt;35,CT32+CS33-DB32,IF(A33&lt;'Données projet'!$A$140,$CQ$205^A33,IF(A33='Données projet'!$A$140,'Données projet'!$B$140,CT32+CS33-DB32)))</f>
        <v>113.99999999999997</v>
      </c>
      <c r="CU33" s="17">
        <f>CT33*VLOOKUP('Données projet'!$B$13,Paramètres!$A$1:$I$89,3,0)*VLOOKUP('Données projet'!$B$13,Paramètres!$A$1:$I$89,5,0)</f>
        <v>96.033599999999979</v>
      </c>
      <c r="CV33" s="13">
        <f t="shared" si="41"/>
        <v>26.014843211471206</v>
      </c>
      <c r="CW33" s="20">
        <f t="shared" si="13"/>
        <v>212.56770525997896</v>
      </c>
      <c r="CX33" s="59">
        <f t="shared" si="14"/>
        <v>505.90103859331225</v>
      </c>
      <c r="CY33" s="59">
        <f ca="1">AVERAGE(OFFSET($CX$3,0,0,'Données projet'!$E$13+1,1))-AVERAGE(OFFSET($H$3,0,0,'Données projet'!$E$13+1,1))</f>
        <v>247.67539667223065</v>
      </c>
      <c r="CZ33" s="59">
        <f t="shared" si="42"/>
        <v>174.54442616983778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32</v>
      </c>
      <c r="DC33" s="16">
        <f>IF(ISNA(VLOOKUP(A33,'Données projet'!$A$139:$I$159,5,0)),0%,VLOOKUP(A33,'Données projet'!$A$139:$I$159,5,0)*VLOOKUP('Données projet'!$B$13,Paramètres!$A$1:$I$89,7,0))</f>
        <v>4.3000000000000003E-2</v>
      </c>
      <c r="DD33" s="16">
        <f>IF(ISNA(VLOOKUP(A33,'Données projet'!$A$139:$I$159,6,0)),0%,VLOOKUP(A33,'Données projet'!$A$139:$I$159,6,0)*VLOOKUP('Données projet'!$B$13,Paramètres!$A$1:$I$89,7,0))</f>
        <v>0.19350000000000001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1.2813975888607347</v>
      </c>
      <c r="DG33" s="21">
        <f>EXP(-LN(2)/25)*DG32+(1-EXP(-LN(2)/25))/(LN(2)/25)*Calculateur!DB33*Calculateur!DD33*VLOOKUP('Données projet'!$B$13,Paramètres!$A$1:$I$89,3,0)*0.475*44/12</f>
        <v>6.5748534534273526</v>
      </c>
      <c r="DH33" s="21">
        <f>EXP(-LN(2)/2)*DH32+(1-EXP(-LN(2)/2))/(LN(2)/2)*DB33*DE33*VLOOKUP('Données projet'!$B$13,Paramètres!$A$1:$I$89,3,0)*0.475*44/12</f>
        <v>11.513815300809753</v>
      </c>
      <c r="DI33" s="22">
        <f t="shared" si="15"/>
        <v>19.370066343097839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87.705128205128204</v>
      </c>
      <c r="DM33" s="12">
        <f>VLOOKUP(A33,'Données projet'!$A$165:$I$185,9,0)</f>
        <v>2.9235042735042733</v>
      </c>
      <c r="DN33" s="12">
        <f t="array" ref="DN33">INDEX(DM:DM,MIN(IF(ISNUMBER(DM33:DM229),ROW(DM33:DM229),"")))</f>
        <v>2.9235042735042733</v>
      </c>
      <c r="DO33" s="12">
        <f>IF('Données projet'!$A$166&gt;35,DO32+DN33-DW32,IF(A33&lt;'Données projet'!$A$166,$DL$205^A33,IF(A33='Données projet'!$A$166,'Données projet'!$B$166,DO32+DN33-DW32)))</f>
        <v>87.705128205128204</v>
      </c>
      <c r="DP33" s="17">
        <f>DO33*VLOOKUP('Données projet'!$B$14,Paramètres!$A$1:$I$89,3,0)*VLOOKUP('Données projet'!$B$14,Paramètres!$A$1:$I$89,5,0)</f>
        <v>87.564800000000005</v>
      </c>
      <c r="DQ33" s="13">
        <f t="shared" si="43"/>
        <v>23.976979068730795</v>
      </c>
      <c r="DR33" s="20">
        <f t="shared" si="16"/>
        <v>194.26859854470615</v>
      </c>
      <c r="DS33" s="59">
        <f t="shared" si="17"/>
        <v>487.60193187803947</v>
      </c>
      <c r="DT33" s="59">
        <f ca="1">AVERAGE(OFFSET($DS$3,0,0,'Données projet'!$E$14+1,1))-AVERAGE(OFFSET($H$3,0,0,'Données projet'!$E$14+1,1))</f>
        <v>245.06609107649069</v>
      </c>
      <c r="DU33" s="59">
        <f t="shared" si="44"/>
        <v>156.24531945456499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36.560509809466062</v>
      </c>
      <c r="EH33" s="12">
        <f>VLOOKUP(A33,'Données projet'!$A$191:$I$211,9,0)</f>
        <v>1.8202290328267554</v>
      </c>
      <c r="EI33" s="12">
        <f t="array" ref="EI33">INDEX(EH:EH,MIN(IF(ISNUMBER(EH33:EH229),ROW(EH33:EH229),"")))</f>
        <v>1.8202290328267554</v>
      </c>
      <c r="EJ33" s="12">
        <f>IF('Données projet'!$A$192&gt;35,EJ32+EI33-ER32,IF(A33&lt;'Données projet'!$A$192,$EG$205^A33,IF(A33='Données projet'!$A$192,'Données projet'!$B$192,EJ32+EI33-ER32)))</f>
        <v>36.560509809466048</v>
      </c>
      <c r="EK33" s="17">
        <f>EJ33*VLOOKUP('Données projet'!$B$15,Paramètres!$A$1:$I$89,3,0)*VLOOKUP('Données projet'!$B$15,Paramètres!$A$1:$I$89,5,0)</f>
        <v>39.924076711936927</v>
      </c>
      <c r="EL33" s="13">
        <f t="shared" si="45"/>
        <v>11.97852120625137</v>
      </c>
      <c r="EM33" s="20">
        <f t="shared" si="19"/>
        <v>90.397024707511278</v>
      </c>
      <c r="EN33" s="59">
        <f t="shared" si="20"/>
        <v>383.73035804084458</v>
      </c>
      <c r="EO33" s="59">
        <f ca="1">AVERAGE(OFFSET($EN$3,0,0,'Données projet'!$E$15+1,1))-AVERAGE(OFFSET($H$3,0,0,'Données projet'!$E$15+1,1))</f>
        <v>173.63857221119594</v>
      </c>
      <c r="EP33" s="59">
        <f t="shared" si="46"/>
        <v>52.373745617370105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265.97472527472524</v>
      </c>
      <c r="O34" s="13">
        <f>N34*VLOOKUP('Données projet'!$B$9,Paramètres!$A$1:$I$89,3,0)*VLOOKUP('Données projet'!$B$9,Paramètres!$A$1:$I$89,5,0)</f>
        <v>159.05288571428571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199.58634493109349</v>
      </c>
      <c r="T34" s="59">
        <f t="shared" si="34"/>
        <v>288.66487031729008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4.899172998760454</v>
      </c>
      <c r="AA34" s="21">
        <f>EXP(-LN(2)/25)*AA33+(1-EXP(-LN(2)/25))/(LN(2)/25)*Calculateur!V34*Calculateur!X34*VLOOKUP('Données projet'!$B$9,Paramètres!$A$1:$I$89,3,0)*0.475*44/12</f>
        <v>16.661407147381219</v>
      </c>
      <c r="AB34" s="21">
        <f>EXP(-LN(2)/2)*AB33+(1-EXP(-LN(2)/2))/(LN(2)/2)*V34*Y34*VLOOKUP('Données projet'!$B$9,Paramètres!$A$1:$I$89,3,0)*0.475*44/12</f>
        <v>2.0858956043796426</v>
      </c>
      <c r="AC34" s="22">
        <f t="shared" si="3"/>
        <v>23.646475750521319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20.7</v>
      </c>
      <c r="AI34" s="13">
        <f>IF('Données projet'!$A$62&gt;35,AI33+AH34-AQ33,IF(A34&lt;'Données projet'!$A$62,$AF$205^A34,IF(A34='Données projet'!$A$62,'Données projet'!$B$62,AI33+AH34-AQ33)))</f>
        <v>198.69999999999993</v>
      </c>
      <c r="AJ34" s="13">
        <f>AI34*VLOOKUP('Données projet'!$B$10,Paramètres!$A$1:$I$89,3,0)*VLOOKUP('Données projet'!$B$10,Paramètres!$A$1:$I$89,5,0)</f>
        <v>118.82259999999997</v>
      </c>
      <c r="AK34" s="13">
        <f t="shared" si="35"/>
        <v>31.400232691102296</v>
      </c>
      <c r="AL34" s="20">
        <f t="shared" si="4"/>
        <v>261.63810027033645</v>
      </c>
      <c r="AM34" s="59">
        <f t="shared" si="5"/>
        <v>554.97143360366977</v>
      </c>
      <c r="AN34" s="59">
        <f ca="1">AVERAGE(OFFSET($AM$3,0,0,'Données projet'!$E$10+1,1))-AVERAGE(OFFSET($H$3,0,0,'Données projet'!$E$10+1,1))</f>
        <v>395.40396173178527</v>
      </c>
      <c r="AO34" s="59">
        <f t="shared" si="36"/>
        <v>304.68075128568756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2.9398182610273764</v>
      </c>
      <c r="AV34" s="21">
        <f>EXP(-LN(2)/25)*AV33+(1-EXP(-LN(2)/25))/(LN(2)/25)*Calculateur!AQ34*Calculateur!AS34*VLOOKUP('Données projet'!$B$10,Paramètres!$A$1:$I$89,3,0)*0.475*44/12</f>
        <v>18.184171219442625</v>
      </c>
      <c r="AW34" s="21">
        <f>EXP(-LN(2)/2)*AW33+(1-EXP(-LN(2)/2))/(LN(2)/2)*AQ34*AT34*VLOOKUP('Données projet'!$B$10,Paramètres!$A$1:$I$89,3,0)*0.475*44/12</f>
        <v>18.389036114346705</v>
      </c>
      <c r="AX34" s="21">
        <f t="shared" si="6"/>
        <v>39.51302559481671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36.10000000000008</v>
      </c>
      <c r="BE34" s="13">
        <f>BD34*VLOOKUP('Données projet'!$B$11,Paramètres!$A$1:$I$89,3,0)*VLOOKUP('Données projet'!$B$11,Paramètres!$A$1:$I$89,5,0)</f>
        <v>31.536960000000075</v>
      </c>
      <c r="BF34" s="13">
        <f t="shared" si="37"/>
        <v>9.725440120377133</v>
      </c>
      <c r="BG34" s="20">
        <f t="shared" si="7"/>
        <v>71.865346876323642</v>
      </c>
      <c r="BH34" s="59">
        <f t="shared" si="8"/>
        <v>365.19868020965697</v>
      </c>
      <c r="BI34" s="59">
        <f ca="1">AVERAGE(OFFSET($BH$3,0,0,'Données projet'!$E$11+1,1))-AVERAGE(OFFSET($H$3,0,0,'Données projet'!$E$11+1,1))</f>
        <v>249.21292089724221</v>
      </c>
      <c r="BJ34" s="59">
        <f t="shared" si="38"/>
        <v>640.80644476065254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110.56170362873776</v>
      </c>
      <c r="BQ34" s="21">
        <f>EXP(-LN(2)/25)*BQ33+(1-EXP(-LN(2)/25))/(LN(2)/25)*Calculateur!BL34*Calculateur!BN34*VLOOKUP('Données projet'!$B$11,Paramètres!$A$1:$I$89,3,0)*0.475*44/12</f>
        <v>104.24740987855881</v>
      </c>
      <c r="BR34" s="21">
        <f>EXP(-LN(2)/2)*BR33+(1-EXP(-LN(2)/2))/(LN(2)/2)*BL34*BO34*VLOOKUP('Données projet'!$B$11,Paramètres!$A$1:$I$89,3,0)*0.475*44/12</f>
        <v>58.36426974634125</v>
      </c>
      <c r="BS34" s="22">
        <f t="shared" si="9"/>
        <v>273.17338325363778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5.9</v>
      </c>
      <c r="BY34" s="12">
        <f>IF('Données projet'!$A$114&gt;35,BY33+BX34-CG33,IF(A34&lt;'Données projet'!$A$114,$BV$205^A34,IF(A34='Données projet'!$A$114,'Données projet'!$B$114,BY33+BX34-CG33)))</f>
        <v>97.900000000000063</v>
      </c>
      <c r="BZ34" s="13">
        <f>BY34*VLOOKUP('Données projet'!$B$12,Paramètres!$A$1:$I$89,3,0)*VLOOKUP('Données projet'!$B$12,Paramètres!$A$1:$I$89,5,0)</f>
        <v>79.416480000000064</v>
      </c>
      <c r="CA34" s="13">
        <f t="shared" si="39"/>
        <v>21.994449723564511</v>
      </c>
      <c r="CB34" s="20">
        <f t="shared" si="10"/>
        <v>176.6240359352083</v>
      </c>
      <c r="CC34" s="59">
        <f t="shared" si="11"/>
        <v>469.95736926854158</v>
      </c>
      <c r="CD34" s="59">
        <f ca="1">AVERAGE(OFFSET($CC$3,0,0,'Données projet'!$E$12+1,1))-AVERAGE(OFFSET($H$3,0,0,'Données projet'!$E$12+1,1))</f>
        <v>192.4785660463869</v>
      </c>
      <c r="CE34" s="59">
        <f t="shared" si="40"/>
        <v>165.11095806515362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0.79389295068323829</v>
      </c>
      <c r="CL34" s="21">
        <f>EXP(-LN(2)/25)*CL33+(1-EXP(-LN(2)/25))/(LN(2)/25)*Calculateur!CG34*Calculateur!CI34*VLOOKUP('Données projet'!$B$12,Paramètres!$A$1:$I$89,3,0)*0.475*44/12</f>
        <v>4.5920899963205901</v>
      </c>
      <c r="CM34" s="21">
        <f>EXP(-LN(2)/2)*CM33+(1-EXP(-LN(2)/2))/(LN(2)/2)*CG34*CJ34*VLOOKUP('Données projet'!$B$12,Paramètres!$A$1:$I$89,3,0)*0.475*44/12</f>
        <v>5.177874534091341</v>
      </c>
      <c r="CN34" s="22">
        <f t="shared" si="12"/>
        <v>10.56385748109517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7.4</v>
      </c>
      <c r="CT34" s="12">
        <f>IF('Données projet'!$A$140&gt;35,CT33+CS34-DB33,IF(A34&lt;'Données projet'!$A$140,$CQ$205^A34,IF(A34='Données projet'!$A$140,'Données projet'!$B$140,CT33+CS34-DB33)))</f>
        <v>89.399999999999977</v>
      </c>
      <c r="CU34" s="17">
        <f>CT34*VLOOKUP('Données projet'!$B$13,Paramètres!$A$1:$I$89,3,0)*VLOOKUP('Données projet'!$B$13,Paramètres!$A$1:$I$89,5,0)</f>
        <v>75.310559999999981</v>
      </c>
      <c r="CV34" s="13">
        <f t="shared" si="41"/>
        <v>20.986591916584235</v>
      </c>
      <c r="CW34" s="20">
        <f t="shared" si="13"/>
        <v>167.71753958805084</v>
      </c>
      <c r="CX34" s="59">
        <f t="shared" si="14"/>
        <v>461.05087292138415</v>
      </c>
      <c r="CY34" s="59">
        <f ca="1">AVERAGE(OFFSET($CX$3,0,0,'Données projet'!$E$13+1,1))-AVERAGE(OFFSET($H$3,0,0,'Données projet'!$E$13+1,1))</f>
        <v>247.67539667223065</v>
      </c>
      <c r="CZ34" s="59">
        <f t="shared" si="42"/>
        <v>174.54442616983778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1.2562701637185307</v>
      </c>
      <c r="DG34" s="21">
        <f>EXP(-LN(2)/25)*DG33+(1-EXP(-LN(2)/25))/(LN(2)/25)*Calculateur!DB34*Calculateur!DD34*VLOOKUP('Données projet'!$B$13,Paramètres!$A$1:$I$89,3,0)*0.475*44/12</f>
        <v>6.3950637399868659</v>
      </c>
      <c r="DH34" s="21">
        <f>EXP(-LN(2)/2)*DH33+(1-EXP(-LN(2)/2))/(LN(2)/2)*DB34*DE34*VLOOKUP('Données projet'!$B$13,Paramètres!$A$1:$I$89,3,0)*0.475*44/12</f>
        <v>8.1414968765320062</v>
      </c>
      <c r="DI34" s="22">
        <f t="shared" si="15"/>
        <v>15.792830780237402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5.3369963369963358</v>
      </c>
      <c r="DO34" s="12">
        <f>IF('Données projet'!$A$166&gt;35,DO33+DN34-DW33,IF(A34&lt;'Données projet'!$A$166,$DL$205^A34,IF(A34='Données projet'!$A$166,'Données projet'!$B$166,DO33+DN34-DW33)))</f>
        <v>93.04212454212454</v>
      </c>
      <c r="DP34" s="17">
        <f>DO34*VLOOKUP('Données projet'!$B$14,Paramètres!$A$1:$I$89,3,0)*VLOOKUP('Données projet'!$B$14,Paramètres!$A$1:$I$89,5,0)</f>
        <v>92.893257142857138</v>
      </c>
      <c r="DQ34" s="13">
        <f t="shared" si="43"/>
        <v>25.261718770157074</v>
      </c>
      <c r="DR34" s="20">
        <f t="shared" si="16"/>
        <v>205.78658304849975</v>
      </c>
      <c r="DS34" s="59">
        <f t="shared" si="17"/>
        <v>499.11991638183304</v>
      </c>
      <c r="DT34" s="59">
        <f ca="1">AVERAGE(OFFSET($DS$3,0,0,'Données projet'!$E$14+1,1))-AVERAGE(OFFSET($H$3,0,0,'Données projet'!$E$14+1,1))</f>
        <v>245.06609107649069</v>
      </c>
      <c r="DU34" s="59">
        <f t="shared" si="44"/>
        <v>156.24531945456499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2.2709162873211426</v>
      </c>
      <c r="EJ34" s="12">
        <f>IF('Données projet'!$A$192&gt;35,EJ33+EI34-ER33,IF(A34&lt;'Données projet'!$A$192,$EG$205^A34,IF(A34='Données projet'!$A$192,'Données projet'!$B$192,EJ33+EI34-ER33)))</f>
        <v>38.83142609678719</v>
      </c>
      <c r="EK34" s="17">
        <f>EJ34*VLOOKUP('Données projet'!$B$15,Paramètres!$A$1:$I$89,3,0)*VLOOKUP('Données projet'!$B$15,Paramètres!$A$1:$I$89,5,0)</f>
        <v>42.403917297691606</v>
      </c>
      <c r="EL34" s="13">
        <f t="shared" si="45"/>
        <v>12.63362517539537</v>
      </c>
      <c r="EM34" s="20">
        <f t="shared" si="19"/>
        <v>95.857053140626476</v>
      </c>
      <c r="EN34" s="59">
        <f t="shared" si="20"/>
        <v>389.19038647395979</v>
      </c>
      <c r="EO34" s="59">
        <f ca="1">AVERAGE(OFFSET($EN$3,0,0,'Données projet'!$E$15+1,1))-AVERAGE(OFFSET($H$3,0,0,'Données projet'!$E$15+1,1))</f>
        <v>173.63857221119594</v>
      </c>
      <c r="EP34" s="59">
        <f t="shared" si="46"/>
        <v>52.373745617370105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282.48461538461538</v>
      </c>
      <c r="O35" s="13">
        <f>N35*VLOOKUP('Données projet'!$B$9,Paramètres!$A$1:$I$89,3,0)*VLOOKUP('Données projet'!$B$9,Paramètres!$A$1:$I$89,5,0)</f>
        <v>168.92580000000001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199.58634493109349</v>
      </c>
      <c r="T35" s="59">
        <f t="shared" si="34"/>
        <v>288.66487031729008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4.8031032044552306</v>
      </c>
      <c r="AA35" s="21">
        <f>EXP(-LN(2)/25)*AA34+(1-EXP(-LN(2)/25))/(LN(2)/25)*Calculateur!V35*Calculateur!X35*VLOOKUP('Données projet'!$B$9,Paramètres!$A$1:$I$89,3,0)*0.475*44/12</f>
        <v>16.205800092750756</v>
      </c>
      <c r="AB35" s="21">
        <f>EXP(-LN(2)/2)*AB34+(1-EXP(-LN(2)/2))/(LN(2)/2)*V35*Y35*VLOOKUP('Données projet'!$B$9,Paramètres!$A$1:$I$89,3,0)*0.475*44/12</f>
        <v>1.4749509267040573</v>
      </c>
      <c r="AC35" s="22">
        <f t="shared" si="3"/>
        <v>22.483854223910043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20.7</v>
      </c>
      <c r="AI35" s="13">
        <f>IF('Données projet'!$A$62&gt;35,AI34+AH35-AQ34,IF(A35&lt;'Données projet'!$A$62,$AF$205^A35,IF(A35='Données projet'!$A$62,'Données projet'!$B$62,AI34+AH35-AQ34)))</f>
        <v>219.39999999999992</v>
      </c>
      <c r="AJ35" s="13">
        <f>AI35*VLOOKUP('Données projet'!$B$10,Paramètres!$A$1:$I$89,3,0)*VLOOKUP('Données projet'!$B$10,Paramètres!$A$1:$I$89,5,0)</f>
        <v>131.20119999999997</v>
      </c>
      <c r="AK35" s="13">
        <f t="shared" si="35"/>
        <v>34.27377263101144</v>
      </c>
      <c r="AL35" s="20">
        <f t="shared" si="4"/>
        <v>288.2022439990115</v>
      </c>
      <c r="AM35" s="59">
        <f t="shared" si="5"/>
        <v>581.53557733234481</v>
      </c>
      <c r="AN35" s="59">
        <f ca="1">AVERAGE(OFFSET($AM$3,0,0,'Données projet'!$E$10+1,1))-AVERAGE(OFFSET($H$3,0,0,'Données projet'!$E$10+1,1))</f>
        <v>395.40396173178527</v>
      </c>
      <c r="AO35" s="59">
        <f t="shared" si="36"/>
        <v>304.68075128568756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2.8821702180407138</v>
      </c>
      <c r="AV35" s="21">
        <f>EXP(-LN(2)/25)*AV34+(1-EXP(-LN(2)/25))/(LN(2)/25)*Calculateur!AQ35*Calculateur!AS35*VLOOKUP('Données projet'!$B$10,Paramètres!$A$1:$I$89,3,0)*0.475*44/12</f>
        <v>17.686924101182964</v>
      </c>
      <c r="AW35" s="21">
        <f>EXP(-LN(2)/2)*AW34+(1-EXP(-LN(2)/2))/(LN(2)/2)*AQ35*AT35*VLOOKUP('Données projet'!$B$10,Paramètres!$A$1:$I$89,3,0)*0.475*44/12</f>
        <v>13.003012135938876</v>
      </c>
      <c r="AX35" s="21">
        <f t="shared" si="6"/>
        <v>33.572106455162555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36.10000000000008</v>
      </c>
      <c r="BE35" s="13">
        <f>BD35*VLOOKUP('Données projet'!$B$11,Paramètres!$A$1:$I$89,3,0)*VLOOKUP('Données projet'!$B$11,Paramètres!$A$1:$I$89,5,0)</f>
        <v>31.536960000000075</v>
      </c>
      <c r="BF35" s="13">
        <f t="shared" si="37"/>
        <v>9.725440120377133</v>
      </c>
      <c r="BG35" s="20">
        <f t="shared" si="7"/>
        <v>71.865346876323642</v>
      </c>
      <c r="BH35" s="59">
        <f t="shared" si="8"/>
        <v>365.19868020965697</v>
      </c>
      <c r="BI35" s="59">
        <f ca="1">AVERAGE(OFFSET($BH$3,0,0,'Données projet'!$E$11+1,1))-AVERAGE(OFFSET($H$3,0,0,'Données projet'!$E$11+1,1))</f>
        <v>249.21292089724221</v>
      </c>
      <c r="BJ35" s="59">
        <f t="shared" si="38"/>
        <v>640.80644476065254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108.39365605655868</v>
      </c>
      <c r="BQ35" s="21">
        <f>EXP(-LN(2)/25)*BQ34+(1-EXP(-LN(2)/25))/(LN(2)/25)*Calculateur!BL35*Calculateur!BN35*VLOOKUP('Données projet'!$B$11,Paramètres!$A$1:$I$89,3,0)*0.475*44/12</f>
        <v>101.3967589732966</v>
      </c>
      <c r="BR35" s="21">
        <f>EXP(-LN(2)/2)*BR34+(1-EXP(-LN(2)/2))/(LN(2)/2)*BL35*BO35*VLOOKUP('Données projet'!$B$11,Paramètres!$A$1:$I$89,3,0)*0.475*44/12</f>
        <v>41.269770916638763</v>
      </c>
      <c r="BS35" s="22">
        <f t="shared" si="9"/>
        <v>251.06018594649407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5.9</v>
      </c>
      <c r="BY35" s="12">
        <f>IF('Données projet'!$A$114&gt;35,BY34+BX35-CG34,IF(A35&lt;'Données projet'!$A$114,$BV$205^A35,IF(A35='Données projet'!$A$114,'Données projet'!$B$114,BY34+BX35-CG34)))</f>
        <v>103.80000000000007</v>
      </c>
      <c r="BZ35" s="13">
        <f>BY35*VLOOKUP('Données projet'!$B$12,Paramètres!$A$1:$I$89,3,0)*VLOOKUP('Données projet'!$B$12,Paramètres!$A$1:$I$89,5,0)</f>
        <v>84.202560000000062</v>
      </c>
      <c r="CA35" s="13">
        <f t="shared" si="39"/>
        <v>23.16165007213192</v>
      </c>
      <c r="CB35" s="20">
        <f t="shared" si="10"/>
        <v>186.99266587562985</v>
      </c>
      <c r="CC35" s="59">
        <f t="shared" si="11"/>
        <v>480.32599920896314</v>
      </c>
      <c r="CD35" s="59">
        <f ca="1">AVERAGE(OFFSET($CC$3,0,0,'Données projet'!$E$12+1,1))-AVERAGE(OFFSET($H$3,0,0,'Données projet'!$E$12+1,1))</f>
        <v>192.4785660463869</v>
      </c>
      <c r="CE35" s="59">
        <f t="shared" si="40"/>
        <v>165.11095806515362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0.77832519414722645</v>
      </c>
      <c r="CL35" s="21">
        <f>EXP(-LN(2)/25)*CL34+(1-EXP(-LN(2)/25))/(LN(2)/25)*Calculateur!CG35*Calculateur!CI35*VLOOKUP('Données projet'!$B$12,Paramètres!$A$1:$I$89,3,0)*0.475*44/12</f>
        <v>4.4665190538836859</v>
      </c>
      <c r="CM35" s="21">
        <f>EXP(-LN(2)/2)*CM34+(1-EXP(-LN(2)/2))/(LN(2)/2)*CG35*CJ35*VLOOKUP('Données projet'!$B$12,Paramètres!$A$1:$I$89,3,0)*0.475*44/12</f>
        <v>3.6613101951891229</v>
      </c>
      <c r="CN35" s="22">
        <f t="shared" si="12"/>
        <v>8.9061544432200357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7.4</v>
      </c>
      <c r="CT35" s="12">
        <f>IF('Données projet'!$A$140&gt;35,CT34+CS35-DB34,IF(A35&lt;'Données projet'!$A$140,$CQ$205^A35,IF(A35='Données projet'!$A$140,'Données projet'!$B$140,CT34+CS35-DB34)))</f>
        <v>96.799999999999983</v>
      </c>
      <c r="CU35" s="17">
        <f>CT35*VLOOKUP('Données projet'!$B$13,Paramètres!$A$1:$I$89,3,0)*VLOOKUP('Données projet'!$B$13,Paramètres!$A$1:$I$89,5,0)</f>
        <v>81.544319999999985</v>
      </c>
      <c r="CV35" s="13">
        <f t="shared" si="41"/>
        <v>22.51435718940575</v>
      </c>
      <c r="CW35" s="20">
        <f t="shared" si="13"/>
        <v>181.23552943821497</v>
      </c>
      <c r="CX35" s="59">
        <f t="shared" si="14"/>
        <v>474.56886277154831</v>
      </c>
      <c r="CY35" s="59">
        <f ca="1">AVERAGE(OFFSET($CX$3,0,0,'Données projet'!$E$13+1,1))-AVERAGE(OFFSET($H$3,0,0,'Données projet'!$E$13+1,1))</f>
        <v>247.67539667223065</v>
      </c>
      <c r="CZ35" s="59">
        <f t="shared" si="42"/>
        <v>174.54442616983778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1.2316354720571494</v>
      </c>
      <c r="DG35" s="21">
        <f>EXP(-LN(2)/25)*DG34+(1-EXP(-LN(2)/25))/(LN(2)/25)*Calculateur!DB35*Calculateur!DD35*VLOOKUP('Données projet'!$B$13,Paramètres!$A$1:$I$89,3,0)*0.475*44/12</f>
        <v>6.2201903857151395</v>
      </c>
      <c r="DH35" s="21">
        <f>EXP(-LN(2)/2)*DH34+(1-EXP(-LN(2)/2))/(LN(2)/2)*DB35*DE35*VLOOKUP('Données projet'!$B$13,Paramètres!$A$1:$I$89,3,0)*0.475*44/12</f>
        <v>5.7569076504048775</v>
      </c>
      <c r="DI35" s="22">
        <f t="shared" si="15"/>
        <v>13.208733508177167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5.3369963369963358</v>
      </c>
      <c r="DO35" s="12">
        <f>IF('Données projet'!$A$166&gt;35,DO34+DN35-DW34,IF(A35&lt;'Données projet'!$A$166,$DL$205^A35,IF(A35='Données projet'!$A$166,'Données projet'!$B$166,DO34+DN35-DW34)))</f>
        <v>98.379120879120876</v>
      </c>
      <c r="DP35" s="17">
        <f>DO35*VLOOKUP('Données projet'!$B$14,Paramètres!$A$1:$I$89,3,0)*VLOOKUP('Données projet'!$B$14,Paramètres!$A$1:$I$89,5,0)</f>
        <v>98.221714285714285</v>
      </c>
      <c r="DQ35" s="13">
        <f t="shared" si="43"/>
        <v>26.537904105806287</v>
      </c>
      <c r="DR35" s="20">
        <f t="shared" si="16"/>
        <v>217.28966869856501</v>
      </c>
      <c r="DS35" s="59">
        <f t="shared" si="17"/>
        <v>510.6230020318983</v>
      </c>
      <c r="DT35" s="59">
        <f ca="1">AVERAGE(OFFSET($DS$3,0,0,'Données projet'!$E$14+1,1))-AVERAGE(OFFSET($H$3,0,0,'Données projet'!$E$14+1,1))</f>
        <v>245.06609107649069</v>
      </c>
      <c r="DU35" s="59">
        <f t="shared" si="44"/>
        <v>156.24531945456499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2.2709162873211426</v>
      </c>
      <c r="EJ35" s="12">
        <f>IF('Données projet'!$A$192&gt;35,EJ34+EI35-ER34,IF(A35&lt;'Données projet'!$A$192,$EG$205^A35,IF(A35='Données projet'!$A$192,'Données projet'!$B$192,EJ34+EI35-ER34)))</f>
        <v>41.102342384108333</v>
      </c>
      <c r="EK35" s="17">
        <f>EJ35*VLOOKUP('Données projet'!$B$15,Paramètres!$A$1:$I$89,3,0)*VLOOKUP('Données projet'!$B$15,Paramètres!$A$1:$I$89,5,0)</f>
        <v>44.8837578834463</v>
      </c>
      <c r="EL35" s="13">
        <f t="shared" si="45"/>
        <v>13.284282166061946</v>
      </c>
      <c r="EM35" s="20">
        <f t="shared" si="19"/>
        <v>101.30933641956021</v>
      </c>
      <c r="EN35" s="59">
        <f t="shared" si="20"/>
        <v>394.64266975289354</v>
      </c>
      <c r="EO35" s="59">
        <f ca="1">AVERAGE(OFFSET($EN$3,0,0,'Données projet'!$E$15+1,1))-AVERAGE(OFFSET($H$3,0,0,'Données projet'!$E$15+1,1))</f>
        <v>173.63857221119594</v>
      </c>
      <c r="EP35" s="59">
        <f t="shared" si="46"/>
        <v>52.373745617370105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233.50059171597633</v>
      </c>
      <c r="O36" s="13">
        <f>N36*VLOOKUP('Données projet'!$B$9,Paramètres!$A$1:$I$89,3,0)*VLOOKUP('Données projet'!$B$9,Paramètres!$A$1:$I$89,5,0)</f>
        <v>139.63335384615385</v>
      </c>
      <c r="P36" s="13">
        <f t="shared" si="33"/>
        <v>36.212999194991468</v>
      </c>
      <c r="Q36" s="20">
        <f t="shared" si="53"/>
        <v>306.26573154666147</v>
      </c>
      <c r="R36" s="59">
        <f t="shared" si="0"/>
        <v>599.59906487999478</v>
      </c>
      <c r="S36" s="59">
        <f ca="1">AVERAGE(OFFSET($R$3,0,0,'Données projet'!$E$9+1,1))-AVERAGE(OFFSET($H$3,0,0,'Données projet'!$E$9+1,1))</f>
        <v>199.58634493109349</v>
      </c>
      <c r="T36" s="59">
        <f t="shared" si="34"/>
        <v>288.66487031729008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4.708917280219544</v>
      </c>
      <c r="AA36" s="21">
        <f>EXP(-LN(2)/25)*AA35+(1-EXP(-LN(2)/25))/(LN(2)/25)*Calculateur!V36*Calculateur!X36*VLOOKUP('Données projet'!$B$9,Paramètres!$A$1:$I$89,3,0)*0.475*44/12</f>
        <v>15.762651636988499</v>
      </c>
      <c r="AB36" s="21">
        <f>EXP(-LN(2)/2)*AB35+(1-EXP(-LN(2)/2))/(LN(2)/2)*V36*Y36*VLOOKUP('Données projet'!$B$9,Paramètres!$A$1:$I$89,3,0)*0.475*44/12</f>
        <v>1.0429478021898213</v>
      </c>
      <c r="AC36" s="22">
        <f t="shared" si="3"/>
        <v>21.514516719397864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20.7</v>
      </c>
      <c r="AI36" s="13">
        <f>IF('Données projet'!$A$62&gt;35,AI35+AH36-AQ35,IF(A36&lt;'Données projet'!$A$62,$AF$205^A36,IF(A36='Données projet'!$A$62,'Données projet'!$B$62,AI35+AH36-AQ35)))</f>
        <v>240.09999999999991</v>
      </c>
      <c r="AJ36" s="13">
        <f>AI36*VLOOKUP('Données projet'!$B$10,Paramètres!$A$1:$I$89,3,0)*VLOOKUP('Données projet'!$B$10,Paramètres!$A$1:$I$89,5,0)</f>
        <v>143.57979999999998</v>
      </c>
      <c r="AK36" s="13">
        <f t="shared" si="35"/>
        <v>37.115878439464062</v>
      </c>
      <c r="AL36" s="20">
        <f t="shared" si="4"/>
        <v>314.71163994873319</v>
      </c>
      <c r="AM36" s="59">
        <f t="shared" si="5"/>
        <v>608.04497328206651</v>
      </c>
      <c r="AN36" s="59">
        <f ca="1">AVERAGE(OFFSET($AM$3,0,0,'Données projet'!$E$10+1,1))-AVERAGE(OFFSET($H$3,0,0,'Données projet'!$E$10+1,1))</f>
        <v>395.40396173178527</v>
      </c>
      <c r="AO36" s="59">
        <f t="shared" si="36"/>
        <v>304.68075128568756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2.8256526180151851</v>
      </c>
      <c r="AV36" s="21">
        <f>EXP(-LN(2)/25)*AV35+(1-EXP(-LN(2)/25))/(LN(2)/25)*Calculateur!AQ36*Calculateur!AS36*VLOOKUP('Données projet'!$B$10,Paramètres!$A$1:$I$89,3,0)*0.475*44/12</f>
        <v>17.203274231521203</v>
      </c>
      <c r="AW36" s="21">
        <f>EXP(-LN(2)/2)*AW35+(1-EXP(-LN(2)/2))/(LN(2)/2)*AQ36*AT36*VLOOKUP('Données projet'!$B$10,Paramètres!$A$1:$I$89,3,0)*0.475*44/12</f>
        <v>9.1945180571733527</v>
      </c>
      <c r="AX36" s="21">
        <f t="shared" si="6"/>
        <v>29.223444906709737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36.10000000000008</v>
      </c>
      <c r="BE36" s="13">
        <f>BD36*VLOOKUP('Données projet'!$B$11,Paramètres!$A$1:$I$89,3,0)*VLOOKUP('Données projet'!$B$11,Paramètres!$A$1:$I$89,5,0)</f>
        <v>31.536960000000075</v>
      </c>
      <c r="BF36" s="13">
        <f t="shared" si="37"/>
        <v>9.725440120377133</v>
      </c>
      <c r="BG36" s="20">
        <f t="shared" si="7"/>
        <v>71.865346876323642</v>
      </c>
      <c r="BH36" s="59">
        <f t="shared" si="8"/>
        <v>365.19868020965697</v>
      </c>
      <c r="BI36" s="59">
        <f ca="1">AVERAGE(OFFSET($BH$3,0,0,'Données projet'!$E$11+1,1))-AVERAGE(OFFSET($H$3,0,0,'Données projet'!$E$11+1,1))</f>
        <v>249.21292089724221</v>
      </c>
      <c r="BJ36" s="59">
        <f t="shared" si="38"/>
        <v>640.80644476065254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106.26812257489159</v>
      </c>
      <c r="BQ36" s="21">
        <f>EXP(-LN(2)/25)*BQ35+(1-EXP(-LN(2)/25))/(LN(2)/25)*Calculateur!BL36*Calculateur!BN36*VLOOKUP('Données projet'!$B$11,Paramètres!$A$1:$I$89,3,0)*0.475*44/12</f>
        <v>98.624059266947995</v>
      </c>
      <c r="BR36" s="21">
        <f>EXP(-LN(2)/2)*BR35+(1-EXP(-LN(2)/2))/(LN(2)/2)*BL36*BO36*VLOOKUP('Données projet'!$B$11,Paramètres!$A$1:$I$89,3,0)*0.475*44/12</f>
        <v>29.182134873170629</v>
      </c>
      <c r="BS36" s="22">
        <f t="shared" si="9"/>
        <v>234.07431671501024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5.9</v>
      </c>
      <c r="BY36" s="12">
        <f>IF('Données projet'!$A$114&gt;35,BY35+BX36-CG35,IF(A36&lt;'Données projet'!$A$114,$BV$205^A36,IF(A36='Données projet'!$A$114,'Données projet'!$B$114,BY35+BX36-CG35)))</f>
        <v>109.70000000000007</v>
      </c>
      <c r="BZ36" s="13">
        <f>BY36*VLOOKUP('Données projet'!$B$12,Paramètres!$A$1:$I$89,3,0)*VLOOKUP('Données projet'!$B$12,Paramètres!$A$1:$I$89,5,0)</f>
        <v>88.988640000000061</v>
      </c>
      <c r="CA36" s="13">
        <f t="shared" si="39"/>
        <v>24.321149120341001</v>
      </c>
      <c r="CB36" s="20">
        <f t="shared" si="10"/>
        <v>197.34788271792738</v>
      </c>
      <c r="CC36" s="59">
        <f t="shared" si="11"/>
        <v>490.68121605126066</v>
      </c>
      <c r="CD36" s="59">
        <f ca="1">AVERAGE(OFFSET($CC$3,0,0,'Données projet'!$E$12+1,1))-AVERAGE(OFFSET($H$3,0,0,'Données projet'!$E$12+1,1))</f>
        <v>192.4785660463869</v>
      </c>
      <c r="CE36" s="59">
        <f t="shared" si="40"/>
        <v>165.11095806515362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0.76306271182149188</v>
      </c>
      <c r="CL36" s="21">
        <f>EXP(-LN(2)/25)*CL35+(1-EXP(-LN(2)/25))/(LN(2)/25)*Calculateur!CG36*Calculateur!CI36*VLOOKUP('Données projet'!$B$12,Paramètres!$A$1:$I$89,3,0)*0.475*44/12</f>
        <v>4.3443818554712079</v>
      </c>
      <c r="CM36" s="21">
        <f>EXP(-LN(2)/2)*CM35+(1-EXP(-LN(2)/2))/(LN(2)/2)*CG36*CJ36*VLOOKUP('Données projet'!$B$12,Paramètres!$A$1:$I$89,3,0)*0.475*44/12</f>
        <v>2.588937267045671</v>
      </c>
      <c r="CN36" s="22">
        <f t="shared" si="12"/>
        <v>7.6963818343383714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7.4</v>
      </c>
      <c r="CT36" s="12">
        <f>IF('Données projet'!$A$140&gt;35,CT35+CS36-DB35,IF(A36&lt;'Données projet'!$A$140,$CQ$205^A36,IF(A36='Données projet'!$A$140,'Données projet'!$B$140,CT35+CS36-DB35)))</f>
        <v>104.19999999999999</v>
      </c>
      <c r="CU36" s="17">
        <f>CT36*VLOOKUP('Données projet'!$B$13,Paramètres!$A$1:$I$89,3,0)*VLOOKUP('Données projet'!$B$13,Paramètres!$A$1:$I$89,5,0)</f>
        <v>87.778080000000003</v>
      </c>
      <c r="CV36" s="13">
        <f t="shared" si="41"/>
        <v>24.028574260451634</v>
      </c>
      <c r="CW36" s="20">
        <f t="shared" si="13"/>
        <v>194.72992283695325</v>
      </c>
      <c r="CX36" s="59">
        <f t="shared" si="14"/>
        <v>488.06325617028654</v>
      </c>
      <c r="CY36" s="59">
        <f ca="1">AVERAGE(OFFSET($CX$3,0,0,'Données projet'!$E$13+1,1))-AVERAGE(OFFSET($H$3,0,0,'Données projet'!$E$13+1,1))</f>
        <v>247.67539667223065</v>
      </c>
      <c r="CZ36" s="59">
        <f t="shared" si="42"/>
        <v>174.54442616983778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1.2074838516735695</v>
      </c>
      <c r="DG36" s="21">
        <f>EXP(-LN(2)/25)*DG35+(1-EXP(-LN(2)/25))/(LN(2)/25)*Calculateur!DB36*Calculateur!DD36*VLOOKUP('Données projet'!$B$13,Paramètres!$A$1:$I$89,3,0)*0.475*44/12</f>
        <v>6.0500989525121627</v>
      </c>
      <c r="DH36" s="21">
        <f>EXP(-LN(2)/2)*DH35+(1-EXP(-LN(2)/2))/(LN(2)/2)*DB36*DE36*VLOOKUP('Données projet'!$B$13,Paramètres!$A$1:$I$89,3,0)*0.475*44/12</f>
        <v>4.0707484382660031</v>
      </c>
      <c r="DI36" s="22">
        <f t="shared" si="15"/>
        <v>11.328331242451736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5.3369963369963358</v>
      </c>
      <c r="DO36" s="12">
        <f>IF('Données projet'!$A$166&gt;35,DO35+DN36-DW35,IF(A36&lt;'Données projet'!$A$166,$DL$205^A36,IF(A36='Données projet'!$A$166,'Données projet'!$B$166,DO35+DN36-DW35)))</f>
        <v>103.71611721611721</v>
      </c>
      <c r="DP36" s="17">
        <f>DO36*VLOOKUP('Données projet'!$B$14,Paramètres!$A$1:$I$89,3,0)*VLOOKUP('Données projet'!$B$14,Paramètres!$A$1:$I$89,5,0)</f>
        <v>103.55017142857143</v>
      </c>
      <c r="DQ36" s="13">
        <f t="shared" si="43"/>
        <v>27.806052049579183</v>
      </c>
      <c r="DR36" s="20">
        <f t="shared" si="16"/>
        <v>228.7787558911123</v>
      </c>
      <c r="DS36" s="59">
        <f t="shared" si="17"/>
        <v>522.11208922444564</v>
      </c>
      <c r="DT36" s="59">
        <f ca="1">AVERAGE(OFFSET($DS$3,0,0,'Données projet'!$E$14+1,1))-AVERAGE(OFFSET($H$3,0,0,'Données projet'!$E$14+1,1))</f>
        <v>245.06609107649069</v>
      </c>
      <c r="DU36" s="59">
        <f t="shared" si="44"/>
        <v>156.24531945456499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2.2709162873211426</v>
      </c>
      <c r="EJ36" s="12">
        <f>IF('Données projet'!$A$192&gt;35,EJ35+EI36-ER35,IF(A36&lt;'Données projet'!$A$192,$EG$205^A36,IF(A36='Données projet'!$A$192,'Données projet'!$B$192,EJ35+EI36-ER35)))</f>
        <v>43.373258671429475</v>
      </c>
      <c r="EK36" s="17">
        <f>EJ36*VLOOKUP('Données projet'!$B$15,Paramètres!$A$1:$I$89,3,0)*VLOOKUP('Données projet'!$B$15,Paramètres!$A$1:$I$89,5,0)</f>
        <v>47.36359846920098</v>
      </c>
      <c r="EL36" s="13">
        <f t="shared" si="45"/>
        <v>13.930765880067684</v>
      </c>
      <c r="EM36" s="20">
        <f t="shared" si="19"/>
        <v>106.75435124164291</v>
      </c>
      <c r="EN36" s="59">
        <f t="shared" si="20"/>
        <v>400.08768457497621</v>
      </c>
      <c r="EO36" s="59">
        <f ca="1">AVERAGE(OFFSET($EN$3,0,0,'Données projet'!$E$15+1,1))-AVERAGE(OFFSET($H$3,0,0,'Données projet'!$E$15+1,1))</f>
        <v>173.63857221119594</v>
      </c>
      <c r="EP36" s="59">
        <f t="shared" si="46"/>
        <v>52.373745617370105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248.41656804733728</v>
      </c>
      <c r="O37" s="13">
        <f>N37*VLOOKUP('Données projet'!$B$9,Paramètres!$A$1:$I$89,3,0)*VLOOKUP('Données projet'!$B$9,Paramètres!$A$1:$I$89,5,0)</f>
        <v>148.55310769230772</v>
      </c>
      <c r="P37" s="13">
        <f t="shared" si="33"/>
        <v>38.249588893085004</v>
      </c>
      <c r="Q37" s="20">
        <f t="shared" si="53"/>
        <v>325.34802988622567</v>
      </c>
      <c r="R37" s="59">
        <f t="shared" si="0"/>
        <v>618.68136321955899</v>
      </c>
      <c r="S37" s="59">
        <f ca="1">AVERAGE(OFFSET($R$3,0,0,'Données projet'!$E$9+1,1))-AVERAGE(OFFSET($H$3,0,0,'Données projet'!$E$9+1,1))</f>
        <v>199.58634493109349</v>
      </c>
      <c r="T37" s="59">
        <f t="shared" si="34"/>
        <v>288.66487031729008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4.6165782845103776</v>
      </c>
      <c r="AA37" s="21">
        <f>EXP(-LN(2)/25)*AA36+(1-EXP(-LN(2)/25))/(LN(2)/25)*Calculateur!V37*Calculateur!X37*VLOOKUP('Données projet'!$B$9,Paramètres!$A$1:$I$89,3,0)*0.475*44/12</f>
        <v>15.331621099053224</v>
      </c>
      <c r="AB37" s="21">
        <f>EXP(-LN(2)/2)*AB36+(1-EXP(-LN(2)/2))/(LN(2)/2)*V37*Y37*VLOOKUP('Données projet'!$B$9,Paramètres!$A$1:$I$89,3,0)*0.475*44/12</f>
        <v>0.73747546335202863</v>
      </c>
      <c r="AC37" s="22">
        <f t="shared" si="3"/>
        <v>20.685674846915632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20.7</v>
      </c>
      <c r="AI37" s="13">
        <f>IF('Données projet'!$A$62&gt;35,AI36+AH37-AQ36,IF(A37&lt;'Données projet'!$A$62,$AF$205^A37,IF(A37='Données projet'!$A$62,'Données projet'!$B$62,AI36+AH37-AQ36)))</f>
        <v>260.7999999999999</v>
      </c>
      <c r="AJ37" s="13">
        <f>AI37*VLOOKUP('Données projet'!$B$10,Paramètres!$A$1:$I$89,3,0)*VLOOKUP('Données projet'!$B$10,Paramètres!$A$1:$I$89,5,0)</f>
        <v>155.95839999999995</v>
      </c>
      <c r="AK37" s="13">
        <f t="shared" si="35"/>
        <v>39.929568312771401</v>
      </c>
      <c r="AL37" s="20">
        <f t="shared" si="4"/>
        <v>341.17154481141012</v>
      </c>
      <c r="AM37" s="59">
        <f t="shared" si="5"/>
        <v>634.50487814474343</v>
      </c>
      <c r="AN37" s="59">
        <f ca="1">AVERAGE(OFFSET($AM$3,0,0,'Données projet'!$E$10+1,1))-AVERAGE(OFFSET($H$3,0,0,'Données projet'!$E$10+1,1))</f>
        <v>395.40396173178527</v>
      </c>
      <c r="AO37" s="59">
        <f t="shared" si="36"/>
        <v>304.68075128568756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2.770243293653825</v>
      </c>
      <c r="AV37" s="21">
        <f>EXP(-LN(2)/25)*AV36+(1-EXP(-LN(2)/25))/(LN(2)/25)*Calculateur!AQ37*Calculateur!AS37*VLOOKUP('Données projet'!$B$10,Paramètres!$A$1:$I$89,3,0)*0.475*44/12</f>
        <v>16.732849792979383</v>
      </c>
      <c r="AW37" s="21">
        <f>EXP(-LN(2)/2)*AW36+(1-EXP(-LN(2)/2))/(LN(2)/2)*AQ37*AT37*VLOOKUP('Données projet'!$B$10,Paramètres!$A$1:$I$89,3,0)*0.475*44/12</f>
        <v>6.5015060679694381</v>
      </c>
      <c r="AX37" s="21">
        <f t="shared" si="6"/>
        <v>26.004599154602644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36.10000000000008</v>
      </c>
      <c r="BE37" s="13">
        <f>BD37*VLOOKUP('Données projet'!$B$11,Paramètres!$A$1:$I$89,3,0)*VLOOKUP('Données projet'!$B$11,Paramètres!$A$1:$I$89,5,0)</f>
        <v>31.536960000000075</v>
      </c>
      <c r="BF37" s="13">
        <f t="shared" si="37"/>
        <v>9.725440120377133</v>
      </c>
      <c r="BG37" s="20">
        <f t="shared" si="7"/>
        <v>71.865346876323642</v>
      </c>
      <c r="BH37" s="59">
        <f t="shared" si="8"/>
        <v>365.19868020965697</v>
      </c>
      <c r="BI37" s="59">
        <f ca="1">AVERAGE(OFFSET($BH$3,0,0,'Données projet'!$E$11+1,1))-AVERAGE(OFFSET($H$3,0,0,'Données projet'!$E$11+1,1))</f>
        <v>249.21292089724221</v>
      </c>
      <c r="BJ37" s="59">
        <f t="shared" si="38"/>
        <v>640.80644476065254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104.18426950835257</v>
      </c>
      <c r="BQ37" s="21">
        <f>EXP(-LN(2)/25)*BQ36+(1-EXP(-LN(2)/25))/(LN(2)/25)*Calculateur!BL37*Calculateur!BN37*VLOOKUP('Données projet'!$B$11,Paramètres!$A$1:$I$89,3,0)*0.475*44/12</f>
        <v>95.927179179879431</v>
      </c>
      <c r="BR37" s="21">
        <f>EXP(-LN(2)/2)*BR36+(1-EXP(-LN(2)/2))/(LN(2)/2)*BL37*BO37*VLOOKUP('Données projet'!$B$11,Paramètres!$A$1:$I$89,3,0)*0.475*44/12</f>
        <v>20.634885458319381</v>
      </c>
      <c r="BS37" s="22">
        <f t="shared" si="9"/>
        <v>220.74633414655139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5.9</v>
      </c>
      <c r="BY37" s="12">
        <f>IF('Données projet'!$A$114&gt;35,BY36+BX37-CG36,IF(A37&lt;'Données projet'!$A$114,$BV$205^A37,IF(A37='Données projet'!$A$114,'Données projet'!$B$114,BY36+BX37-CG36)))</f>
        <v>115.60000000000008</v>
      </c>
      <c r="BZ37" s="13">
        <f>BY37*VLOOKUP('Données projet'!$B$12,Paramètres!$A$1:$I$89,3,0)*VLOOKUP('Données projet'!$B$12,Paramètres!$A$1:$I$89,5,0)</f>
        <v>93.774720000000073</v>
      </c>
      <c r="CA37" s="13">
        <f t="shared" si="39"/>
        <v>25.473408292486386</v>
      </c>
      <c r="CB37" s="20">
        <f t="shared" si="10"/>
        <v>207.6904901094139</v>
      </c>
      <c r="CC37" s="59">
        <f t="shared" si="11"/>
        <v>501.02382344274724</v>
      </c>
      <c r="CD37" s="59">
        <f ca="1">AVERAGE(OFFSET($CC$3,0,0,'Données projet'!$E$12+1,1))-AVERAGE(OFFSET($H$3,0,0,'Données projet'!$E$12+1,1))</f>
        <v>192.4785660463869</v>
      </c>
      <c r="CE37" s="59">
        <f t="shared" si="40"/>
        <v>165.11095806515362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0.74809951746497005</v>
      </c>
      <c r="CL37" s="21">
        <f>EXP(-LN(2)/25)*CL36+(1-EXP(-LN(2)/25))/(LN(2)/25)*Calculateur!CG37*Calculateur!CI37*VLOOKUP('Données projet'!$B$12,Paramètres!$A$1:$I$89,3,0)*0.475*44/12</f>
        <v>4.2255845051722352</v>
      </c>
      <c r="CM37" s="21">
        <f>EXP(-LN(2)/2)*CM36+(1-EXP(-LN(2)/2))/(LN(2)/2)*CG37*CJ37*VLOOKUP('Données projet'!$B$12,Paramètres!$A$1:$I$89,3,0)*0.475*44/12</f>
        <v>1.8306550975945617</v>
      </c>
      <c r="CN37" s="22">
        <f t="shared" si="12"/>
        <v>6.8043391202317673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7.4</v>
      </c>
      <c r="CT37" s="12">
        <f>IF('Données projet'!$A$140&gt;35,CT36+CS37-DB36,IF(A37&lt;'Données projet'!$A$140,$CQ$205^A37,IF(A37='Données projet'!$A$140,'Données projet'!$B$140,CT36+CS37-DB36)))</f>
        <v>111.6</v>
      </c>
      <c r="CU37" s="17">
        <f>CT37*VLOOKUP('Données projet'!$B$13,Paramètres!$A$1:$I$89,3,0)*VLOOKUP('Données projet'!$B$13,Paramètres!$A$1:$I$89,5,0)</f>
        <v>94.011840000000007</v>
      </c>
      <c r="CV37" s="13">
        <f t="shared" si="41"/>
        <v>25.53031471922851</v>
      </c>
      <c r="CW37" s="20">
        <f t="shared" si="13"/>
        <v>208.20258613598969</v>
      </c>
      <c r="CX37" s="59">
        <f t="shared" si="14"/>
        <v>501.53591946932301</v>
      </c>
      <c r="CY37" s="59">
        <f ca="1">AVERAGE(OFFSET($CX$3,0,0,'Données projet'!$E$13+1,1))-AVERAGE(OFFSET($H$3,0,0,'Données projet'!$E$13+1,1))</f>
        <v>247.67539667223065</v>
      </c>
      <c r="CZ37" s="59">
        <f t="shared" si="42"/>
        <v>174.54442616983778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1.1838058298346779</v>
      </c>
      <c r="DG37" s="21">
        <f>EXP(-LN(2)/25)*DG36+(1-EXP(-LN(2)/25))/(LN(2)/25)*Calculateur!DB37*Calculateur!DD37*VLOOKUP('Données projet'!$B$13,Paramètres!$A$1:$I$89,3,0)*0.475*44/12</f>
        <v>5.8846586784948416</v>
      </c>
      <c r="DH37" s="21">
        <f>EXP(-LN(2)/2)*DH36+(1-EXP(-LN(2)/2))/(LN(2)/2)*DB37*DE37*VLOOKUP('Données projet'!$B$13,Paramètres!$A$1:$I$89,3,0)*0.475*44/12</f>
        <v>2.8784538252024388</v>
      </c>
      <c r="DI37" s="22">
        <f t="shared" si="15"/>
        <v>9.9469183335319578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5.3369963369963358</v>
      </c>
      <c r="DO37" s="12">
        <f>IF('Données projet'!$A$166&gt;35,DO36+DN37-DW36,IF(A37&lt;'Données projet'!$A$166,$DL$205^A37,IF(A37='Données projet'!$A$166,'Données projet'!$B$166,DO36+DN37-DW36)))</f>
        <v>109.05311355311355</v>
      </c>
      <c r="DP37" s="17">
        <f>DO37*VLOOKUP('Données projet'!$B$14,Paramètres!$A$1:$I$89,3,0)*VLOOKUP('Données projet'!$B$14,Paramètres!$A$1:$I$89,5,0)</f>
        <v>108.87862857142858</v>
      </c>
      <c r="DQ37" s="13">
        <f t="shared" si="43"/>
        <v>29.066623365607999</v>
      </c>
      <c r="DR37" s="20">
        <f t="shared" si="16"/>
        <v>240.25464712367202</v>
      </c>
      <c r="DS37" s="59">
        <f t="shared" si="17"/>
        <v>533.5879804570053</v>
      </c>
      <c r="DT37" s="59">
        <f ca="1">AVERAGE(OFFSET($DS$3,0,0,'Données projet'!$E$14+1,1))-AVERAGE(OFFSET($H$3,0,0,'Données projet'!$E$14+1,1))</f>
        <v>245.06609107649069</v>
      </c>
      <c r="DU37" s="59">
        <f t="shared" si="44"/>
        <v>156.24531945456499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2.2709162873211426</v>
      </c>
      <c r="EJ37" s="12">
        <f>IF('Données projet'!$A$192&gt;35,EJ36+EI37-ER36,IF(A37&lt;'Données projet'!$A$192,$EG$205^A37,IF(A37='Données projet'!$A$192,'Données projet'!$B$192,EJ36+EI37-ER36)))</f>
        <v>45.644174958750618</v>
      </c>
      <c r="EK37" s="17">
        <f>EJ37*VLOOKUP('Données projet'!$B$15,Paramètres!$A$1:$I$89,3,0)*VLOOKUP('Données projet'!$B$15,Paramètres!$A$1:$I$89,5,0)</f>
        <v>49.843439054955674</v>
      </c>
      <c r="EL37" s="13">
        <f t="shared" si="45"/>
        <v>14.573319739765791</v>
      </c>
      <c r="EM37" s="20">
        <f t="shared" si="19"/>
        <v>112.19252156747319</v>
      </c>
      <c r="EN37" s="59">
        <f t="shared" si="20"/>
        <v>405.52585490080651</v>
      </c>
      <c r="EO37" s="59">
        <f ca="1">AVERAGE(OFFSET($EN$3,0,0,'Données projet'!$E$15+1,1))-AVERAGE(OFFSET($H$3,0,0,'Données projet'!$E$15+1,1))</f>
        <v>173.63857221119594</v>
      </c>
      <c r="EP37" s="59">
        <f t="shared" si="46"/>
        <v>52.373745617370105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263.33254437869823</v>
      </c>
      <c r="O38" s="13">
        <f>N38*VLOOKUP('Données projet'!$B$9,Paramètres!$A$1:$I$89,3,0)*VLOOKUP('Données projet'!$B$9,Paramètres!$A$1:$I$89,5,0)</f>
        <v>157.47286153846156</v>
      </c>
      <c r="P38" s="13">
        <f t="shared" si="33"/>
        <v>40.271985193404134</v>
      </c>
      <c r="Q38" s="20">
        <f t="shared" si="53"/>
        <v>344.40560805799942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199.58634493109349</v>
      </c>
      <c r="T38" s="59">
        <f t="shared" si="34"/>
        <v>288.66487031729008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4.5260500001858421</v>
      </c>
      <c r="AA38" s="21">
        <f>EXP(-LN(2)/25)*AA37+(1-EXP(-LN(2)/25))/(LN(2)/25)*Calculateur!V38*Calculateur!X38*VLOOKUP('Données projet'!$B$9,Paramètres!$A$1:$I$89,3,0)*0.475*44/12</f>
        <v>14.912377113844702</v>
      </c>
      <c r="AB38" s="21">
        <f>EXP(-LN(2)/2)*AB37+(1-EXP(-LN(2)/2))/(LN(2)/2)*V38*Y38*VLOOKUP('Données projet'!$B$9,Paramètres!$A$1:$I$89,3,0)*0.475*44/12</f>
        <v>0.52147390109491065</v>
      </c>
      <c r="AC38" s="22">
        <f t="shared" si="3"/>
        <v>19.959901015125457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20.7</v>
      </c>
      <c r="AI38" s="13">
        <f>IF('Données projet'!$A$62&gt;35,AI37+AH38-AQ37,IF(A38&lt;'Données projet'!$A$62,$AF$205^A38,IF(A38='Données projet'!$A$62,'Données projet'!$B$62,AI37+AH38-AQ37)))</f>
        <v>281.49999999999989</v>
      </c>
      <c r="AJ38" s="13">
        <f>AI38*VLOOKUP('Données projet'!$B$10,Paramètres!$A$1:$I$89,3,0)*VLOOKUP('Données projet'!$B$10,Paramètres!$A$1:$I$89,5,0)</f>
        <v>168.33699999999993</v>
      </c>
      <c r="AK38" s="13">
        <f t="shared" si="35"/>
        <v>42.717354078265956</v>
      </c>
      <c r="AL38" s="20">
        <f t="shared" si="4"/>
        <v>367.58633335297969</v>
      </c>
      <c r="AM38" s="59">
        <f t="shared" si="5"/>
        <v>660.91966668631301</v>
      </c>
      <c r="AN38" s="59">
        <f ca="1">AVERAGE(OFFSET($AM$3,0,0,'Données projet'!$E$10+1,1))-AVERAGE(OFFSET($H$3,0,0,'Données projet'!$E$10+1,1))</f>
        <v>395.40396173178527</v>
      </c>
      <c r="AO38" s="59">
        <f t="shared" si="36"/>
        <v>304.68075128568756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2.7159205123468406</v>
      </c>
      <c r="AV38" s="21">
        <f>EXP(-LN(2)/25)*AV37+(1-EXP(-LN(2)/25))/(LN(2)/25)*Calculateur!AQ38*Calculateur!AS38*VLOOKUP('Données projet'!$B$10,Paramètres!$A$1:$I$89,3,0)*0.475*44/12</f>
        <v>16.275289135448034</v>
      </c>
      <c r="AW38" s="21">
        <f>EXP(-LN(2)/2)*AW37+(1-EXP(-LN(2)/2))/(LN(2)/2)*AQ38*AT38*VLOOKUP('Données projet'!$B$10,Paramètres!$A$1:$I$89,3,0)*0.475*44/12</f>
        <v>4.5972590285866763</v>
      </c>
      <c r="AX38" s="21">
        <f t="shared" si="6"/>
        <v>23.588468676381552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36.10000000000008</v>
      </c>
      <c r="BE38" s="13">
        <f>BD38*VLOOKUP('Données projet'!$B$11,Paramètres!$A$1:$I$89,3,0)*VLOOKUP('Données projet'!$B$11,Paramètres!$A$1:$I$89,5,0)</f>
        <v>31.536960000000075</v>
      </c>
      <c r="BF38" s="13">
        <f t="shared" si="37"/>
        <v>9.725440120377133</v>
      </c>
      <c r="BG38" s="20">
        <f t="shared" si="7"/>
        <v>71.865346876323642</v>
      </c>
      <c r="BH38" s="59">
        <f t="shared" si="8"/>
        <v>365.19868020965697</v>
      </c>
      <c r="BI38" s="59">
        <f ca="1">AVERAGE(OFFSET($BH$3,0,0,'Données projet'!$E$11+1,1))-AVERAGE(OFFSET($H$3,0,0,'Données projet'!$E$11+1,1))</f>
        <v>249.21292089724221</v>
      </c>
      <c r="BJ38" s="59">
        <f t="shared" si="38"/>
        <v>640.80644476065254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102.14127952942351</v>
      </c>
      <c r="BQ38" s="21">
        <f>EXP(-LN(2)/25)*BQ37+(1-EXP(-LN(2)/25))/(LN(2)/25)*Calculateur!BL38*Calculateur!BN38*VLOOKUP('Données projet'!$B$11,Paramètres!$A$1:$I$89,3,0)*0.475*44/12</f>
        <v>93.304045420614514</v>
      </c>
      <c r="BR38" s="21">
        <f>EXP(-LN(2)/2)*BR37+(1-EXP(-LN(2)/2))/(LN(2)/2)*BL38*BO38*VLOOKUP('Données projet'!$B$11,Paramètres!$A$1:$I$89,3,0)*0.475*44/12</f>
        <v>14.591067436585314</v>
      </c>
      <c r="BS38" s="22">
        <f t="shared" si="9"/>
        <v>210.03639238662333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5.9</v>
      </c>
      <c r="BY38" s="12">
        <f>IF('Données projet'!$A$114&gt;35,BY37+BX38-CG37,IF(A38&lt;'Données projet'!$A$114,$BV$205^A38,IF(A38='Données projet'!$A$114,'Données projet'!$B$114,BY37+BX38-CG37)))</f>
        <v>121.50000000000009</v>
      </c>
      <c r="BZ38" s="13">
        <f>BY38*VLOOKUP('Données projet'!$B$12,Paramètres!$A$1:$I$89,3,0)*VLOOKUP('Données projet'!$B$12,Paramètres!$A$1:$I$89,5,0)</f>
        <v>98.560800000000086</v>
      </c>
      <c r="CA38" s="13">
        <f t="shared" si="39"/>
        <v>26.618839252010243</v>
      </c>
      <c r="CB38" s="20">
        <f t="shared" si="10"/>
        <v>218.02120503058464</v>
      </c>
      <c r="CC38" s="59">
        <f t="shared" si="11"/>
        <v>511.35453836391798</v>
      </c>
      <c r="CD38" s="59">
        <f ca="1">AVERAGE(OFFSET($CC$3,0,0,'Données projet'!$E$12+1,1))-AVERAGE(OFFSET($H$3,0,0,'Données projet'!$E$12+1,1))</f>
        <v>192.4785660463869</v>
      </c>
      <c r="CE38" s="59">
        <f t="shared" si="40"/>
        <v>165.11095806515362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0.73342974222313218</v>
      </c>
      <c r="CL38" s="21">
        <f>EXP(-LN(2)/25)*CL37+(1-EXP(-LN(2)/25))/(LN(2)/25)*Calculateur!CG38*Calculateur!CI38*VLOOKUP('Données projet'!$B$12,Paramètres!$A$1:$I$89,3,0)*0.475*44/12</f>
        <v>4.1100356746644691</v>
      </c>
      <c r="CM38" s="21">
        <f>EXP(-LN(2)/2)*CM37+(1-EXP(-LN(2)/2))/(LN(2)/2)*CG38*CJ38*VLOOKUP('Données projet'!$B$12,Paramètres!$A$1:$I$89,3,0)*0.475*44/12</f>
        <v>1.2944686335228357</v>
      </c>
      <c r="CN38" s="22">
        <f t="shared" si="12"/>
        <v>6.1379340504104363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7.4</v>
      </c>
      <c r="CT38" s="12">
        <f>IF('Données projet'!$A$140&gt;35,CT37+CS38-DB37,IF(A38&lt;'Données projet'!$A$140,$CQ$205^A38,IF(A38='Données projet'!$A$140,'Données projet'!$B$140,CT37+CS38-DB37)))</f>
        <v>119</v>
      </c>
      <c r="CU38" s="17">
        <f>CT38*VLOOKUP('Données projet'!$B$13,Paramètres!$A$1:$I$89,3,0)*VLOOKUP('Données projet'!$B$13,Paramètres!$A$1:$I$89,5,0)</f>
        <v>100.24560000000001</v>
      </c>
      <c r="CV38" s="13">
        <f t="shared" si="41"/>
        <v>27.020500005754961</v>
      </c>
      <c r="CW38" s="20">
        <f t="shared" si="13"/>
        <v>221.6551241766899</v>
      </c>
      <c r="CX38" s="59">
        <f t="shared" si="14"/>
        <v>514.98845751002318</v>
      </c>
      <c r="CY38" s="59">
        <f ca="1">AVERAGE(OFFSET($CX$3,0,0,'Données projet'!$E$13+1,1))-AVERAGE(OFFSET($H$3,0,0,'Données projet'!$E$13+1,1))</f>
        <v>247.67539667223065</v>
      </c>
      <c r="CZ38" s="59">
        <f t="shared" si="42"/>
        <v>174.54442616983778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1.1605921195618796</v>
      </c>
      <c r="DG38" s="21">
        <f>EXP(-LN(2)/25)*DG37+(1-EXP(-LN(2)/25))/(LN(2)/25)*Calculateur!DB38*Calculateur!DD38*VLOOKUP('Données projet'!$B$13,Paramètres!$A$1:$I$89,3,0)*0.475*44/12</f>
        <v>5.72374237747065</v>
      </c>
      <c r="DH38" s="21">
        <f>EXP(-LN(2)/2)*DH37+(1-EXP(-LN(2)/2))/(LN(2)/2)*DB38*DE38*VLOOKUP('Données projet'!$B$13,Paramètres!$A$1:$I$89,3,0)*0.475*44/12</f>
        <v>2.0353742191330015</v>
      </c>
      <c r="DI38" s="22">
        <f t="shared" si="15"/>
        <v>8.9197087161655304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5.3369963369963358</v>
      </c>
      <c r="DO38" s="12">
        <f>IF('Données projet'!$A$166&gt;35,DO37+DN38-DW37,IF(A38&lt;'Données projet'!$A$166,$DL$205^A38,IF(A38='Données projet'!$A$166,'Données projet'!$B$166,DO37+DN38-DW37)))</f>
        <v>114.39010989010988</v>
      </c>
      <c r="DP38" s="17">
        <f>DO38*VLOOKUP('Données projet'!$B$14,Paramètres!$A$1:$I$89,3,0)*VLOOKUP('Données projet'!$B$14,Paramètres!$A$1:$I$89,5,0)</f>
        <v>114.20708571428572</v>
      </c>
      <c r="DQ38" s="13">
        <f t="shared" si="43"/>
        <v>30.320031171055618</v>
      </c>
      <c r="DR38" s="20">
        <f t="shared" si="16"/>
        <v>251.71806190863617</v>
      </c>
      <c r="DS38" s="59">
        <f t="shared" si="17"/>
        <v>545.05139524196943</v>
      </c>
      <c r="DT38" s="59">
        <f ca="1">AVERAGE(OFFSET($DS$3,0,0,'Données projet'!$E$14+1,1))-AVERAGE(OFFSET($H$3,0,0,'Données projet'!$E$14+1,1))</f>
        <v>245.06609107649069</v>
      </c>
      <c r="DU38" s="59">
        <f t="shared" si="44"/>
        <v>156.24531945456499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2.2709162873211426</v>
      </c>
      <c r="EJ38" s="12">
        <f>IF('Données projet'!$A$192&gt;35,EJ37+EI38-ER37,IF(A38&lt;'Données projet'!$A$192,$EG$205^A38,IF(A38='Données projet'!$A$192,'Données projet'!$B$192,EJ37+EI38-ER37)))</f>
        <v>47.915091246071761</v>
      </c>
      <c r="EK38" s="17">
        <f>EJ38*VLOOKUP('Données projet'!$B$15,Paramètres!$A$1:$I$89,3,0)*VLOOKUP('Données projet'!$B$15,Paramètres!$A$1:$I$89,5,0)</f>
        <v>52.323279640710361</v>
      </c>
      <c r="EL38" s="13">
        <f t="shared" si="45"/>
        <v>15.212161577411079</v>
      </c>
      <c r="EM38" s="20">
        <f t="shared" si="19"/>
        <v>117.62422678822816</v>
      </c>
      <c r="EN38" s="59">
        <f t="shared" si="20"/>
        <v>410.95756012156147</v>
      </c>
      <c r="EO38" s="59">
        <f ca="1">AVERAGE(OFFSET($EN$3,0,0,'Données projet'!$E$15+1,1))-AVERAGE(OFFSET($H$3,0,0,'Données projet'!$E$15+1,1))</f>
        <v>173.63857221119594</v>
      </c>
      <c r="EP38" s="59">
        <f t="shared" si="46"/>
        <v>52.373745617370105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278.24852071005915</v>
      </c>
      <c r="O39" s="13">
        <f>N39*VLOOKUP('Données projet'!$B$9,Paramètres!$A$1:$I$89,3,0)*VLOOKUP('Données projet'!$B$9,Paramètres!$A$1:$I$89,5,0)</f>
        <v>166.3926153846154</v>
      </c>
      <c r="P39" s="13">
        <f t="shared" si="33"/>
        <v>42.281083666900145</v>
      </c>
      <c r="Q39" s="20">
        <f t="shared" si="53"/>
        <v>363.44002584805622</v>
      </c>
      <c r="R39" s="59">
        <f t="shared" si="0"/>
        <v>656.77335918138954</v>
      </c>
      <c r="S39" s="59">
        <f ca="1">AVERAGE(OFFSET($R$3,0,0,'Données projet'!$E$9+1,1))-AVERAGE(OFFSET($H$3,0,0,'Données projet'!$E$9+1,1))</f>
        <v>199.58634493109349</v>
      </c>
      <c r="T39" s="59">
        <f t="shared" si="34"/>
        <v>288.66487031729008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4.4372969203001098</v>
      </c>
      <c r="AA39" s="21">
        <f>EXP(-LN(2)/25)*AA38+(1-EXP(-LN(2)/25))/(LN(2)/25)*Calculateur!V39*Calculateur!X39*VLOOKUP('Données projet'!$B$9,Paramètres!$A$1:$I$89,3,0)*0.475*44/12</f>
        <v>14.504597377458788</v>
      </c>
      <c r="AB39" s="21">
        <f>EXP(-LN(2)/2)*AB38+(1-EXP(-LN(2)/2))/(LN(2)/2)*V39*Y39*VLOOKUP('Données projet'!$B$9,Paramètres!$A$1:$I$89,3,0)*0.475*44/12</f>
        <v>0.36873773167601431</v>
      </c>
      <c r="AC39" s="22">
        <f t="shared" si="3"/>
        <v>19.310632029434913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20.7</v>
      </c>
      <c r="AI39" s="13">
        <f>IF('Données projet'!$A$62&gt;35,AI38+AH39-AQ38,IF(A39&lt;'Données projet'!$A$62,$AF$205^A39,IF(A39='Données projet'!$A$62,'Données projet'!$B$62,AI38+AH39-AQ38)))</f>
        <v>302.19999999999987</v>
      </c>
      <c r="AJ39" s="13">
        <f>AI39*VLOOKUP('Données projet'!$B$10,Paramètres!$A$1:$I$89,3,0)*VLOOKUP('Données projet'!$B$10,Paramètres!$A$1:$I$89,5,0)</f>
        <v>180.71559999999994</v>
      </c>
      <c r="AK39" s="13">
        <f t="shared" si="35"/>
        <v>45.481357199720215</v>
      </c>
      <c r="AL39" s="20">
        <f t="shared" si="4"/>
        <v>393.95970045617923</v>
      </c>
      <c r="AM39" s="59">
        <f t="shared" si="5"/>
        <v>687.29303378951249</v>
      </c>
      <c r="AN39" s="59">
        <f ca="1">AVERAGE(OFFSET($AM$3,0,0,'Données projet'!$E$10+1,1))-AVERAGE(OFFSET($H$3,0,0,'Données projet'!$E$10+1,1))</f>
        <v>395.40396173178527</v>
      </c>
      <c r="AO39" s="59">
        <f t="shared" si="36"/>
        <v>304.68075128568756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2.6626629676476612</v>
      </c>
      <c r="AV39" s="21">
        <f>EXP(-LN(2)/25)*AV38+(1-EXP(-LN(2)/25))/(LN(2)/25)*Calculateur!AQ39*Calculateur!AS39*VLOOKUP('Données projet'!$B$10,Paramètres!$A$1:$I$89,3,0)*0.475*44/12</f>
        <v>15.83024049815895</v>
      </c>
      <c r="AW39" s="21">
        <f>EXP(-LN(2)/2)*AW38+(1-EXP(-LN(2)/2))/(LN(2)/2)*AQ39*AT39*VLOOKUP('Données projet'!$B$10,Paramètres!$A$1:$I$89,3,0)*0.475*44/12</f>
        <v>3.250753033984719</v>
      </c>
      <c r="AX39" s="21">
        <f t="shared" si="6"/>
        <v>21.743656499791332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36.10000000000008</v>
      </c>
      <c r="BE39" s="13">
        <f>BD39*VLOOKUP('Données projet'!$B$11,Paramètres!$A$1:$I$89,3,0)*VLOOKUP('Données projet'!$B$11,Paramètres!$A$1:$I$89,5,0)</f>
        <v>31.536960000000075</v>
      </c>
      <c r="BF39" s="13">
        <f t="shared" si="37"/>
        <v>9.725440120377133</v>
      </c>
      <c r="BG39" s="20">
        <f t="shared" si="7"/>
        <v>71.865346876323642</v>
      </c>
      <c r="BH39" s="59">
        <f t="shared" si="8"/>
        <v>365.19868020965697</v>
      </c>
      <c r="BI39" s="59">
        <f ca="1">AVERAGE(OFFSET($BH$3,0,0,'Données projet'!$E$11+1,1))-AVERAGE(OFFSET($H$3,0,0,'Données projet'!$E$11+1,1))</f>
        <v>249.21292089724221</v>
      </c>
      <c r="BJ39" s="59">
        <f t="shared" si="38"/>
        <v>640.80644476065254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100.13835133788041</v>
      </c>
      <c r="BQ39" s="21">
        <f>EXP(-LN(2)/25)*BQ38+(1-EXP(-LN(2)/25))/(LN(2)/25)*Calculateur!BL39*Calculateur!BN39*VLOOKUP('Données projet'!$B$11,Paramètres!$A$1:$I$89,3,0)*0.475*44/12</f>
        <v>90.75264139194131</v>
      </c>
      <c r="BR39" s="21">
        <f>EXP(-LN(2)/2)*BR38+(1-EXP(-LN(2)/2))/(LN(2)/2)*BL39*BO39*VLOOKUP('Données projet'!$B$11,Paramètres!$A$1:$I$89,3,0)*0.475*44/12</f>
        <v>10.317442729159691</v>
      </c>
      <c r="BS39" s="22">
        <f t="shared" si="9"/>
        <v>201.20843545898143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5.9</v>
      </c>
      <c r="BY39" s="12">
        <f>IF('Données projet'!$A$114&gt;35,BY38+BX39-CG38,IF(A39&lt;'Données projet'!$A$114,$BV$205^A39,IF(A39='Données projet'!$A$114,'Données projet'!$B$114,BY38+BX39-CG38)))</f>
        <v>127.40000000000009</v>
      </c>
      <c r="BZ39" s="13">
        <f>BY39*VLOOKUP('Données projet'!$B$12,Paramètres!$A$1:$I$89,3,0)*VLOOKUP('Données projet'!$B$12,Paramètres!$A$1:$I$89,5,0)</f>
        <v>103.34688000000008</v>
      </c>
      <c r="CA39" s="13">
        <f t="shared" si="39"/>
        <v>27.757811423037641</v>
      </c>
      <c r="CB39" s="20">
        <f t="shared" si="10"/>
        <v>228.34067089512405</v>
      </c>
      <c r="CC39" s="59">
        <f t="shared" si="11"/>
        <v>521.67400422845731</v>
      </c>
      <c r="CD39" s="59">
        <f ca="1">AVERAGE(OFFSET($CC$3,0,0,'Données projet'!$E$12+1,1))-AVERAGE(OFFSET($H$3,0,0,'Données projet'!$E$12+1,1))</f>
        <v>192.4785660463869</v>
      </c>
      <c r="CE39" s="59">
        <f t="shared" si="40"/>
        <v>165.11095806515362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0.71904763232610736</v>
      </c>
      <c r="CL39" s="21">
        <f>EXP(-LN(2)/25)*CL38+(1-EXP(-LN(2)/25))/(LN(2)/25)*Calculateur!CG39*Calculateur!CI39*VLOOKUP('Données projet'!$B$12,Paramètres!$A$1:$I$89,3,0)*0.475*44/12</f>
        <v>3.9976465330033868</v>
      </c>
      <c r="CM39" s="21">
        <f>EXP(-LN(2)/2)*CM38+(1-EXP(-LN(2)/2))/(LN(2)/2)*CG39*CJ39*VLOOKUP('Données projet'!$B$12,Paramètres!$A$1:$I$89,3,0)*0.475*44/12</f>
        <v>0.91532754879728107</v>
      </c>
      <c r="CN39" s="22">
        <f t="shared" si="12"/>
        <v>5.6320217141267754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7.4</v>
      </c>
      <c r="CT39" s="12">
        <f>IF('Données projet'!$A$140&gt;35,CT38+CS39-DB38,IF(A39&lt;'Données projet'!$A$140,$CQ$205^A39,IF(A39='Données projet'!$A$140,'Données projet'!$B$140,CT38+CS39-DB38)))</f>
        <v>126.4</v>
      </c>
      <c r="CU39" s="17">
        <f>CT39*VLOOKUP('Données projet'!$B$13,Paramètres!$A$1:$I$89,3,0)*VLOOKUP('Données projet'!$B$13,Paramètres!$A$1:$I$89,5,0)</f>
        <v>106.47936000000003</v>
      </c>
      <c r="CV39" s="13">
        <f t="shared" si="41"/>
        <v>28.499930483982503</v>
      </c>
      <c r="CW39" s="20">
        <f t="shared" si="13"/>
        <v>235.08893092626957</v>
      </c>
      <c r="CX39" s="59">
        <f t="shared" si="14"/>
        <v>528.42226425960291</v>
      </c>
      <c r="CY39" s="59">
        <f ca="1">AVERAGE(OFFSET($CX$3,0,0,'Données projet'!$E$13+1,1))-AVERAGE(OFFSET($H$3,0,0,'Données projet'!$E$13+1,1))</f>
        <v>247.67539667223065</v>
      </c>
      <c r="CZ39" s="59">
        <f t="shared" si="42"/>
        <v>174.54442616983778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1.1378336159885656</v>
      </c>
      <c r="DG39" s="21">
        <f>EXP(-LN(2)/25)*DG38+(1-EXP(-LN(2)/25))/(LN(2)/25)*Calculateur!DB39*Calculateur!DD39*VLOOKUP('Données projet'!$B$13,Paramètres!$A$1:$I$89,3,0)*0.475*44/12</f>
        <v>5.5672263411601852</v>
      </c>
      <c r="DH39" s="21">
        <f>EXP(-LN(2)/2)*DH38+(1-EXP(-LN(2)/2))/(LN(2)/2)*DB39*DE39*VLOOKUP('Données projet'!$B$13,Paramètres!$A$1:$I$89,3,0)*0.475*44/12</f>
        <v>1.4392269126012194</v>
      </c>
      <c r="DI39" s="22">
        <f t="shared" si="15"/>
        <v>8.1442868697499708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5.3369963369963358</v>
      </c>
      <c r="DO39" s="12">
        <f>IF('Données projet'!$A$166&gt;35,DO38+DN39-DW38,IF(A39&lt;'Données projet'!$A$166,$DL$205^A39,IF(A39='Données projet'!$A$166,'Données projet'!$B$166,DO38+DN39-DW38)))</f>
        <v>119.72710622710622</v>
      </c>
      <c r="DP39" s="17">
        <f>DO39*VLOOKUP('Données projet'!$B$14,Paramètres!$A$1:$I$89,3,0)*VLOOKUP('Données projet'!$B$14,Paramètres!$A$1:$I$89,5,0)</f>
        <v>119.53554285714286</v>
      </c>
      <c r="DQ39" s="13">
        <f t="shared" si="43"/>
        <v>31.566647855658704</v>
      </c>
      <c r="DR39" s="20">
        <f t="shared" si="16"/>
        <v>263.16964882479607</v>
      </c>
      <c r="DS39" s="59">
        <f t="shared" si="17"/>
        <v>556.50298215812938</v>
      </c>
      <c r="DT39" s="59">
        <f ca="1">AVERAGE(OFFSET($DS$3,0,0,'Données projet'!$E$14+1,1))-AVERAGE(OFFSET($H$3,0,0,'Données projet'!$E$14+1,1))</f>
        <v>245.06609107649069</v>
      </c>
      <c r="DU39" s="59">
        <f t="shared" si="44"/>
        <v>156.24531945456499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2.2709162873211426</v>
      </c>
      <c r="EJ39" s="12">
        <f>IF('Données projet'!$A$192&gt;35,EJ38+EI39-ER38,IF(A39&lt;'Données projet'!$A$192,$EG$205^A39,IF(A39='Données projet'!$A$192,'Données projet'!$B$192,EJ38+EI39-ER38)))</f>
        <v>50.186007533392903</v>
      </c>
      <c r="EK39" s="17">
        <f>EJ39*VLOOKUP('Données projet'!$B$15,Paramètres!$A$1:$I$89,3,0)*VLOOKUP('Données projet'!$B$15,Paramètres!$A$1:$I$89,5,0)</f>
        <v>54.803120226465055</v>
      </c>
      <c r="EL39" s="13">
        <f t="shared" si="45"/>
        <v>15.847487410340799</v>
      </c>
      <c r="EM39" s="20">
        <f t="shared" si="19"/>
        <v>123.04980830077018</v>
      </c>
      <c r="EN39" s="59">
        <f t="shared" si="20"/>
        <v>416.38314163410348</v>
      </c>
      <c r="EO39" s="59">
        <f ca="1">AVERAGE(OFFSET($EN$3,0,0,'Données projet'!$E$15+1,1))-AVERAGE(OFFSET($H$3,0,0,'Données projet'!$E$15+1,1))</f>
        <v>173.63857221119594</v>
      </c>
      <c r="EP39" s="59">
        <f t="shared" si="46"/>
        <v>52.373745617370105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293.16449704142008</v>
      </c>
      <c r="O40" s="13">
        <f>N40*VLOOKUP('Données projet'!$B$9,Paramètres!$A$1:$I$89,3,0)*VLOOKUP('Données projet'!$B$9,Paramètres!$A$1:$I$89,5,0)</f>
        <v>175.31236923076924</v>
      </c>
      <c r="P40" s="13">
        <f t="shared" si="33"/>
        <v>44.277678444488799</v>
      </c>
      <c r="Q40" s="20">
        <f t="shared" si="53"/>
        <v>382.45266636774107</v>
      </c>
      <c r="R40" s="59">
        <f t="shared" si="0"/>
        <v>675.78599970107439</v>
      </c>
      <c r="S40" s="59">
        <f ca="1">AVERAGE(OFFSET($R$3,0,0,'Données projet'!$E$9+1,1))-AVERAGE(OFFSET($H$3,0,0,'Données projet'!$E$9+1,1))</f>
        <v>199.58634493109349</v>
      </c>
      <c r="T40" s="59">
        <f t="shared" si="34"/>
        <v>288.66487031729008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4.350284234176903</v>
      </c>
      <c r="AA40" s="21">
        <f>EXP(-LN(2)/25)*AA39+(1-EXP(-LN(2)/25))/(LN(2)/25)*Calculateur!V40*Calculateur!X40*VLOOKUP('Données projet'!$B$9,Paramètres!$A$1:$I$89,3,0)*0.475*44/12</f>
        <v>14.107968399408552</v>
      </c>
      <c r="AB40" s="21">
        <f>EXP(-LN(2)/2)*AB39+(1-EXP(-LN(2)/2))/(LN(2)/2)*V40*Y40*VLOOKUP('Données projet'!$B$9,Paramètres!$A$1:$I$89,3,0)*0.475*44/12</f>
        <v>0.26073695054745533</v>
      </c>
      <c r="AC40" s="22">
        <f t="shared" si="3"/>
        <v>18.71898958413291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20.7</v>
      </c>
      <c r="AI40" s="13">
        <f>IF('Données projet'!$A$62&gt;35,AI39+AH40-AQ39,IF(A40&lt;'Données projet'!$A$62,$AF$205^A40,IF(A40='Données projet'!$A$62,'Données projet'!$B$62,AI39+AH40-AQ39)))</f>
        <v>322.89999999999986</v>
      </c>
      <c r="AJ40" s="13">
        <f>AI40*VLOOKUP('Données projet'!$B$10,Paramètres!$A$1:$I$89,3,0)*VLOOKUP('Données projet'!$B$10,Paramètres!$A$1:$I$89,5,0)</f>
        <v>193.09419999999992</v>
      </c>
      <c r="AK40" s="13">
        <f t="shared" si="35"/>
        <v>48.223392058840055</v>
      </c>
      <c r="AL40" s="20">
        <f t="shared" si="4"/>
        <v>420.29480616914628</v>
      </c>
      <c r="AM40" s="59">
        <f t="shared" si="5"/>
        <v>713.6281395024796</v>
      </c>
      <c r="AN40" s="59">
        <f ca="1">AVERAGE(OFFSET($AM$3,0,0,'Données projet'!$E$10+1,1))-AVERAGE(OFFSET($H$3,0,0,'Données projet'!$E$10+1,1))</f>
        <v>395.40396173178527</v>
      </c>
      <c r="AO40" s="59">
        <f t="shared" si="36"/>
        <v>304.68075128568756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2.6104497709161376</v>
      </c>
      <c r="AV40" s="21">
        <f>EXP(-LN(2)/25)*AV39+(1-EXP(-LN(2)/25))/(LN(2)/25)*Calculateur!AQ40*Calculateur!AS40*VLOOKUP('Données projet'!$B$10,Paramètres!$A$1:$I$89,3,0)*0.475*44/12</f>
        <v>15.397361739260626</v>
      </c>
      <c r="AW40" s="21">
        <f>EXP(-LN(2)/2)*AW39+(1-EXP(-LN(2)/2))/(LN(2)/2)*AQ40*AT40*VLOOKUP('Données projet'!$B$10,Paramètres!$A$1:$I$89,3,0)*0.475*44/12</f>
        <v>2.2986295142933382</v>
      </c>
      <c r="AX40" s="21">
        <f t="shared" si="6"/>
        <v>20.306441024470104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36.10000000000008</v>
      </c>
      <c r="BE40" s="13">
        <f>BD40*VLOOKUP('Données projet'!$B$11,Paramètres!$A$1:$I$89,3,0)*VLOOKUP('Données projet'!$B$11,Paramètres!$A$1:$I$89,5,0)</f>
        <v>31.536960000000075</v>
      </c>
      <c r="BF40" s="13">
        <f t="shared" si="37"/>
        <v>9.725440120377133</v>
      </c>
      <c r="BG40" s="20">
        <f t="shared" si="7"/>
        <v>71.865346876323642</v>
      </c>
      <c r="BH40" s="59">
        <f t="shared" si="8"/>
        <v>365.19868020965697</v>
      </c>
      <c r="BI40" s="59">
        <f ca="1">AVERAGE(OFFSET($BH$3,0,0,'Données projet'!$E$11+1,1))-AVERAGE(OFFSET($H$3,0,0,'Données projet'!$E$11+1,1))</f>
        <v>249.21292089724221</v>
      </c>
      <c r="BJ40" s="59">
        <f t="shared" si="38"/>
        <v>640.80644476065254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98.174699346507907</v>
      </c>
      <c r="BQ40" s="21">
        <f>EXP(-LN(2)/25)*BQ39+(1-EXP(-LN(2)/25))/(LN(2)/25)*Calculateur!BL40*Calculateur!BN40*VLOOKUP('Données projet'!$B$11,Paramètres!$A$1:$I$89,3,0)*0.475*44/12</f>
        <v>88.271005640604685</v>
      </c>
      <c r="BR40" s="21">
        <f>EXP(-LN(2)/2)*BR39+(1-EXP(-LN(2)/2))/(LN(2)/2)*BL40*BO40*VLOOKUP('Données projet'!$B$11,Paramètres!$A$1:$I$89,3,0)*0.475*44/12</f>
        <v>7.2955337182926572</v>
      </c>
      <c r="BS40" s="22">
        <f t="shared" si="9"/>
        <v>193.74123870540527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5.9</v>
      </c>
      <c r="BY40" s="12">
        <f>IF('Données projet'!$A$114&gt;35,BY39+BX40-CG39,IF(A40&lt;'Données projet'!$A$114,$BV$205^A40,IF(A40='Données projet'!$A$114,'Données projet'!$B$114,BY39+BX40-CG39)))</f>
        <v>133.3000000000001</v>
      </c>
      <c r="BZ40" s="13">
        <f>BY40*VLOOKUP('Données projet'!$B$12,Paramètres!$A$1:$I$89,3,0)*VLOOKUP('Données projet'!$B$12,Paramètres!$A$1:$I$89,5,0)</f>
        <v>108.1329600000001</v>
      </c>
      <c r="CA40" s="13">
        <f t="shared" si="39"/>
        <v>28.890658079177882</v>
      </c>
      <c r="CB40" s="20">
        <f t="shared" si="10"/>
        <v>238.64946815456832</v>
      </c>
      <c r="CC40" s="59">
        <f t="shared" si="11"/>
        <v>531.98280148790161</v>
      </c>
      <c r="CD40" s="59">
        <f ca="1">AVERAGE(OFFSET($CC$3,0,0,'Données projet'!$E$12+1,1))-AVERAGE(OFFSET($H$3,0,0,'Données projet'!$E$12+1,1))</f>
        <v>192.4785660463869</v>
      </c>
      <c r="CE40" s="59">
        <f t="shared" si="40"/>
        <v>165.11095806515362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0.70494754683194238</v>
      </c>
      <c r="CL40" s="21">
        <f>EXP(-LN(2)/25)*CL39+(1-EXP(-LN(2)/25))/(LN(2)/25)*Calculateur!CG40*Calculateur!CI40*VLOOKUP('Données projet'!$B$12,Paramètres!$A$1:$I$89,3,0)*0.475*44/12</f>
        <v>3.888330678331315</v>
      </c>
      <c r="CM40" s="21">
        <f>EXP(-LN(2)/2)*CM39+(1-EXP(-LN(2)/2))/(LN(2)/2)*CG40*CJ40*VLOOKUP('Données projet'!$B$12,Paramètres!$A$1:$I$89,3,0)*0.475*44/12</f>
        <v>0.64723431676141796</v>
      </c>
      <c r="CN40" s="22">
        <f t="shared" si="12"/>
        <v>5.2405125419246756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7.4</v>
      </c>
      <c r="CT40" s="12">
        <f>IF('Données projet'!$A$140&gt;35,CT39+CS40-DB39,IF(A40&lt;'Données projet'!$A$140,$CQ$205^A40,IF(A40='Données projet'!$A$140,'Données projet'!$B$140,CT39+CS40-DB39)))</f>
        <v>133.80000000000001</v>
      </c>
      <c r="CU40" s="17">
        <f>CT40*VLOOKUP('Données projet'!$B$13,Paramètres!$A$1:$I$89,3,0)*VLOOKUP('Données projet'!$B$13,Paramètres!$A$1:$I$89,5,0)</f>
        <v>112.71312000000002</v>
      </c>
      <c r="CV40" s="13">
        <f t="shared" si="41"/>
        <v>29.969307510561769</v>
      </c>
      <c r="CW40" s="20">
        <f t="shared" si="13"/>
        <v>248.50522791422847</v>
      </c>
      <c r="CX40" s="59">
        <f t="shared" si="14"/>
        <v>541.83856124756176</v>
      </c>
      <c r="CY40" s="59">
        <f ca="1">AVERAGE(OFFSET($CX$3,0,0,'Données projet'!$E$13+1,1))-AVERAGE(OFFSET($H$3,0,0,'Données projet'!$E$13+1,1))</f>
        <v>247.67539667223065</v>
      </c>
      <c r="CZ40" s="59">
        <f t="shared" si="42"/>
        <v>174.54442616983778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1.1155213927890077</v>
      </c>
      <c r="DG40" s="21">
        <f>EXP(-LN(2)/25)*DG39+(1-EXP(-LN(2)/25))/(LN(2)/25)*Calculateur!DB40*Calculateur!DD40*VLOOKUP('Données projet'!$B$13,Paramètres!$A$1:$I$89,3,0)*0.475*44/12</f>
        <v>5.4149902440934508</v>
      </c>
      <c r="DH40" s="21">
        <f>EXP(-LN(2)/2)*DH39+(1-EXP(-LN(2)/2))/(LN(2)/2)*DB40*DE40*VLOOKUP('Données projet'!$B$13,Paramètres!$A$1:$I$89,3,0)*0.475*44/12</f>
        <v>1.0176871095665008</v>
      </c>
      <c r="DI40" s="22">
        <f t="shared" si="15"/>
        <v>7.5481987464489588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5.3369963369963358</v>
      </c>
      <c r="DO40" s="12">
        <f>IF('Données projet'!$A$166&gt;35,DO39+DN40-DW39,IF(A40&lt;'Données projet'!$A$166,$DL$205^A40,IF(A40='Données projet'!$A$166,'Données projet'!$B$166,DO39+DN40-DW39)))</f>
        <v>125.06410256410255</v>
      </c>
      <c r="DP40" s="17">
        <f>DO40*VLOOKUP('Données projet'!$B$14,Paramètres!$A$1:$I$89,3,0)*VLOOKUP('Données projet'!$B$14,Paramètres!$A$1:$I$89,5,0)</f>
        <v>124.864</v>
      </c>
      <c r="DQ40" s="13">
        <f t="shared" si="43"/>
        <v>32.806810732632123</v>
      </c>
      <c r="DR40" s="20">
        <f t="shared" si="16"/>
        <v>274.60999535933428</v>
      </c>
      <c r="DS40" s="59">
        <f t="shared" si="17"/>
        <v>567.94332869266759</v>
      </c>
      <c r="DT40" s="59">
        <f ca="1">AVERAGE(OFFSET($DS$3,0,0,'Données projet'!$E$14+1,1))-AVERAGE(OFFSET($H$3,0,0,'Données projet'!$E$14+1,1))</f>
        <v>245.06609107649069</v>
      </c>
      <c r="DU40" s="59">
        <f t="shared" si="44"/>
        <v>156.24531945456499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2.2709162873211426</v>
      </c>
      <c r="EJ40" s="12">
        <f>IF('Données projet'!$A$192&gt;35,EJ39+EI40-ER39,IF(A40&lt;'Données projet'!$A$192,$EG$205^A40,IF(A40='Données projet'!$A$192,'Données projet'!$B$192,EJ39+EI40-ER39)))</f>
        <v>52.456923820714046</v>
      </c>
      <c r="EK40" s="17">
        <f>EJ40*VLOOKUP('Données projet'!$B$15,Paramètres!$A$1:$I$89,3,0)*VLOOKUP('Données projet'!$B$15,Paramètres!$A$1:$I$89,5,0)</f>
        <v>57.282960812219734</v>
      </c>
      <c r="EL40" s="13">
        <f t="shared" si="45"/>
        <v>16.479474513536239</v>
      </c>
      <c r="EM40" s="20">
        <f t="shared" si="19"/>
        <v>128.46957485902496</v>
      </c>
      <c r="EN40" s="59">
        <f t="shared" si="20"/>
        <v>421.80290819235825</v>
      </c>
      <c r="EO40" s="59">
        <f ca="1">AVERAGE(OFFSET($EN$3,0,0,'Données projet'!$E$15+1,1))-AVERAGE(OFFSET($H$3,0,0,'Données projet'!$E$15+1,1))</f>
        <v>173.63857221119594</v>
      </c>
      <c r="EP40" s="59">
        <f t="shared" si="46"/>
        <v>52.373745617370105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308.080473372781</v>
      </c>
      <c r="O41" s="13">
        <f>N41*VLOOKUP('Données projet'!$B$9,Paramètres!$A$1:$I$89,3,0)*VLOOKUP('Données projet'!$B$9,Paramètres!$A$1:$I$89,5,0)</f>
        <v>184.23212307692305</v>
      </c>
      <c r="P41" s="13">
        <f t="shared" si="33"/>
        <v>46.262478283039961</v>
      </c>
      <c r="Q41" s="20">
        <f t="shared" si="53"/>
        <v>401.44476403526892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199.58634493109349</v>
      </c>
      <c r="T41" s="59">
        <f t="shared" si="34"/>
        <v>288.66487031729008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4.2649778137560741</v>
      </c>
      <c r="AA41" s="21">
        <f>EXP(-LN(2)/25)*AA40+(1-EXP(-LN(2)/25))/(LN(2)/25)*Calculateur!V41*Calculateur!X41*VLOOKUP('Données projet'!$B$9,Paramètres!$A$1:$I$89,3,0)*0.475*44/12</f>
        <v>13.722185261620911</v>
      </c>
      <c r="AB41" s="21">
        <f>EXP(-LN(2)/2)*AB40+(1-EXP(-LN(2)/2))/(LN(2)/2)*V41*Y41*VLOOKUP('Données projet'!$B$9,Paramètres!$A$1:$I$89,3,0)*0.475*44/12</f>
        <v>0.18436886583800716</v>
      </c>
      <c r="AC41" s="22">
        <f t="shared" si="3"/>
        <v>18.17153194121499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20.7</v>
      </c>
      <c r="AI41" s="13">
        <f>IF('Données projet'!$A$62&gt;35,AI40+AH41-AQ40,IF(A41&lt;'Données projet'!$A$62,$AF$205^A41,IF(A41='Données projet'!$A$62,'Données projet'!$B$62,AI40+AH41-AQ40)))</f>
        <v>343.59999999999985</v>
      </c>
      <c r="AJ41" s="13">
        <f>AI41*VLOOKUP('Données projet'!$B$10,Paramètres!$A$1:$I$89,3,0)*VLOOKUP('Données projet'!$B$10,Paramètres!$A$1:$I$89,5,0)</f>
        <v>205.47279999999992</v>
      </c>
      <c r="AK41" s="13">
        <f t="shared" si="35"/>
        <v>50.9450272574773</v>
      </c>
      <c r="AL41" s="20">
        <f t="shared" si="4"/>
        <v>446.59438247343945</v>
      </c>
      <c r="AM41" s="59">
        <f t="shared" si="5"/>
        <v>739.92771580677277</v>
      </c>
      <c r="AN41" s="59">
        <f ca="1">AVERAGE(OFFSET($AM$3,0,0,'Données projet'!$E$10+1,1))-AVERAGE(OFFSET($H$3,0,0,'Données projet'!$E$10+1,1))</f>
        <v>395.40396173178527</v>
      </c>
      <c r="AO41" s="59">
        <f t="shared" si="36"/>
        <v>304.68075128568756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2.5592604431256141</v>
      </c>
      <c r="AV41" s="21">
        <f>EXP(-LN(2)/25)*AV40+(1-EXP(-LN(2)/25))/(LN(2)/25)*Calculateur!AQ41*Calculateur!AS41*VLOOKUP('Données projet'!$B$10,Paramètres!$A$1:$I$89,3,0)*0.475*44/12</f>
        <v>14.976320072788482</v>
      </c>
      <c r="AW41" s="21">
        <f>EXP(-LN(2)/2)*AW40+(1-EXP(-LN(2)/2))/(LN(2)/2)*AQ41*AT41*VLOOKUP('Données projet'!$B$10,Paramètres!$A$1:$I$89,3,0)*0.475*44/12</f>
        <v>1.6253765169923595</v>
      </c>
      <c r="AX41" s="21">
        <f t="shared" si="6"/>
        <v>19.160957032906456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36.10000000000008</v>
      </c>
      <c r="BE41" s="13">
        <f>BD41*VLOOKUP('Données projet'!$B$11,Paramètres!$A$1:$I$89,3,0)*VLOOKUP('Données projet'!$B$11,Paramètres!$A$1:$I$89,5,0)</f>
        <v>31.536960000000075</v>
      </c>
      <c r="BF41" s="13">
        <f t="shared" si="37"/>
        <v>9.725440120377133</v>
      </c>
      <c r="BG41" s="20">
        <f t="shared" si="7"/>
        <v>71.865346876323642</v>
      </c>
      <c r="BH41" s="59">
        <f t="shared" si="8"/>
        <v>365.19868020965697</v>
      </c>
      <c r="BI41" s="59">
        <f ca="1">AVERAGE(OFFSET($BH$3,0,0,'Données projet'!$E$11+1,1))-AVERAGE(OFFSET($H$3,0,0,'Données projet'!$E$11+1,1))</f>
        <v>249.21292089724221</v>
      </c>
      <c r="BJ41" s="59">
        <f t="shared" si="38"/>
        <v>640.80644476065254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96.249553372976763</v>
      </c>
      <c r="BQ41" s="21">
        <f>EXP(-LN(2)/25)*BQ40+(1-EXP(-LN(2)/25))/(LN(2)/25)*Calculateur!BL41*Calculateur!BN41*VLOOKUP('Données projet'!$B$11,Paramètres!$A$1:$I$89,3,0)*0.475*44/12</f>
        <v>85.857230349391912</v>
      </c>
      <c r="BR41" s="21">
        <f>EXP(-LN(2)/2)*BR40+(1-EXP(-LN(2)/2))/(LN(2)/2)*BL41*BO41*VLOOKUP('Données projet'!$B$11,Paramètres!$A$1:$I$89,3,0)*0.475*44/12</f>
        <v>5.1587213645798453</v>
      </c>
      <c r="BS41" s="22">
        <f t="shared" si="9"/>
        <v>187.26550508694851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5.9</v>
      </c>
      <c r="BY41" s="12">
        <f>IF('Données projet'!$A$114&gt;35,BY40+BX41-CG40,IF(A41&lt;'Données projet'!$A$114,$BV$205^A41,IF(A41='Données projet'!$A$114,'Données projet'!$B$114,BY40+BX41-CG40)))</f>
        <v>139.2000000000001</v>
      </c>
      <c r="BZ41" s="13">
        <f>BY41*VLOOKUP('Données projet'!$B$12,Paramètres!$A$1:$I$89,3,0)*VLOOKUP('Données projet'!$B$12,Paramètres!$A$1:$I$89,5,0)</f>
        <v>112.91904000000009</v>
      </c>
      <c r="CA41" s="13">
        <f t="shared" si="39"/>
        <v>30.01768132390011</v>
      </c>
      <c r="CB41" s="20">
        <f t="shared" si="10"/>
        <v>248.94812297245949</v>
      </c>
      <c r="CC41" s="59">
        <f t="shared" si="11"/>
        <v>542.28145630579274</v>
      </c>
      <c r="CD41" s="59">
        <f ca="1">AVERAGE(OFFSET($CC$3,0,0,'Données projet'!$E$12+1,1))-AVERAGE(OFFSET($H$3,0,0,'Données projet'!$E$12+1,1))</f>
        <v>192.4785660463869</v>
      </c>
      <c r="CE41" s="59">
        <f t="shared" si="40"/>
        <v>165.11095806515362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0.69112395541411498</v>
      </c>
      <c r="CL41" s="21">
        <f>EXP(-LN(2)/25)*CL40+(1-EXP(-LN(2)/25))/(LN(2)/25)*Calculateur!CG41*Calculateur!CI41*VLOOKUP('Données projet'!$B$12,Paramètres!$A$1:$I$89,3,0)*0.475*44/12</f>
        <v>3.7820040714539216</v>
      </c>
      <c r="CM41" s="21">
        <f>EXP(-LN(2)/2)*CM40+(1-EXP(-LN(2)/2))/(LN(2)/2)*CG41*CJ41*VLOOKUP('Données projet'!$B$12,Paramètres!$A$1:$I$89,3,0)*0.475*44/12</f>
        <v>0.45766377439864059</v>
      </c>
      <c r="CN41" s="22">
        <f t="shared" si="12"/>
        <v>4.9307918012666772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7.4</v>
      </c>
      <c r="CT41" s="12">
        <f>IF('Données projet'!$A$140&gt;35,CT40+CS41-DB40,IF(A41&lt;'Données projet'!$A$140,$CQ$205^A41,IF(A41='Données projet'!$A$140,'Données projet'!$B$140,CT40+CS41-DB40)))</f>
        <v>141.20000000000002</v>
      </c>
      <c r="CU41" s="17">
        <f>CT41*VLOOKUP('Données projet'!$B$13,Paramètres!$A$1:$I$89,3,0)*VLOOKUP('Données projet'!$B$13,Paramètres!$A$1:$I$89,5,0)</f>
        <v>118.94688000000004</v>
      </c>
      <c r="CV41" s="13">
        <f t="shared" si="41"/>
        <v>31.429250481525276</v>
      </c>
      <c r="CW41" s="20">
        <f t="shared" si="13"/>
        <v>261.90509392198993</v>
      </c>
      <c r="CX41" s="59">
        <f t="shared" si="14"/>
        <v>555.23842725532324</v>
      </c>
      <c r="CY41" s="59">
        <f ca="1">AVERAGE(OFFSET($CX$3,0,0,'Données projet'!$E$13+1,1))-AVERAGE(OFFSET($H$3,0,0,'Données projet'!$E$13+1,1))</f>
        <v>247.67539667223065</v>
      </c>
      <c r="CZ41" s="59">
        <f t="shared" si="42"/>
        <v>174.54442616983778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1.0936466986772808</v>
      </c>
      <c r="DG41" s="21">
        <f>EXP(-LN(2)/25)*DG40+(1-EXP(-LN(2)/25))/(LN(2)/25)*Calculateur!DB41*Calculateur!DD41*VLOOKUP('Données projet'!$B$13,Paramètres!$A$1:$I$89,3,0)*0.475*44/12</f>
        <v>5.2669170511067547</v>
      </c>
      <c r="DH41" s="21">
        <f>EXP(-LN(2)/2)*DH40+(1-EXP(-LN(2)/2))/(LN(2)/2)*DB41*DE41*VLOOKUP('Données projet'!$B$13,Paramètres!$A$1:$I$89,3,0)*0.475*44/12</f>
        <v>0.71961345630060969</v>
      </c>
      <c r="DI41" s="22">
        <f t="shared" si="15"/>
        <v>7.0801772060846453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5.3369963369963358</v>
      </c>
      <c r="DO41" s="12">
        <f>IF('Données projet'!$A$166&gt;35,DO40+DN41-DW40,IF(A41&lt;'Données projet'!$A$166,$DL$205^A41,IF(A41='Données projet'!$A$166,'Données projet'!$B$166,DO40+DN41-DW40)))</f>
        <v>130.40109890109889</v>
      </c>
      <c r="DP41" s="17">
        <f>DO41*VLOOKUP('Données projet'!$B$14,Paramètres!$A$1:$I$89,3,0)*VLOOKUP('Données projet'!$B$14,Paramètres!$A$1:$I$89,5,0)</f>
        <v>130.19245714285714</v>
      </c>
      <c r="DQ41" s="13">
        <f t="shared" si="43"/>
        <v>34.040826697784055</v>
      </c>
      <c r="DR41" s="20">
        <f t="shared" si="16"/>
        <v>286.03963602245011</v>
      </c>
      <c r="DS41" s="59">
        <f t="shared" si="17"/>
        <v>579.37296935578343</v>
      </c>
      <c r="DT41" s="59">
        <f ca="1">AVERAGE(OFFSET($DS$3,0,0,'Données projet'!$E$14+1,1))-AVERAGE(OFFSET($H$3,0,0,'Données projet'!$E$14+1,1))</f>
        <v>245.06609107649069</v>
      </c>
      <c r="DU41" s="59">
        <f t="shared" si="44"/>
        <v>156.24531945456499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2.2709162873211426</v>
      </c>
      <c r="EJ41" s="12">
        <f>IF('Données projet'!$A$192&gt;35,EJ40+EI41-ER40,IF(A41&lt;'Données projet'!$A$192,$EG$205^A41,IF(A41='Données projet'!$A$192,'Données projet'!$B$192,EJ40+EI41-ER40)))</f>
        <v>54.727840108035188</v>
      </c>
      <c r="EK41" s="17">
        <f>EJ41*VLOOKUP('Données projet'!$B$15,Paramètres!$A$1:$I$89,3,0)*VLOOKUP('Données projet'!$B$15,Paramètres!$A$1:$I$89,5,0)</f>
        <v>59.762801397974421</v>
      </c>
      <c r="EL41" s="13">
        <f t="shared" si="45"/>
        <v>17.108283945115737</v>
      </c>
      <c r="EM41" s="20">
        <f t="shared" si="19"/>
        <v>133.88380697254868</v>
      </c>
      <c r="EN41" s="59">
        <f t="shared" si="20"/>
        <v>427.21714030588203</v>
      </c>
      <c r="EO41" s="59">
        <f ca="1">AVERAGE(OFFSET($EN$3,0,0,'Données projet'!$E$15+1,1))-AVERAGE(OFFSET($H$3,0,0,'Données projet'!$E$15+1,1))</f>
        <v>173.63857221119594</v>
      </c>
      <c r="EP41" s="59">
        <f t="shared" si="46"/>
        <v>52.373745617370105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322.99644970414192</v>
      </c>
      <c r="O42" s="13">
        <f>N42*VLOOKUP('Données projet'!$B$9,Paramètres!$A$1:$I$89,3,0)*VLOOKUP('Données projet'!$B$9,Paramètres!$A$1:$I$89,5,0)</f>
        <v>193.15187692307691</v>
      </c>
      <c r="P42" s="13">
        <f t="shared" si="33"/>
        <v>48.23611943173325</v>
      </c>
      <c r="Q42" s="20">
        <f t="shared" si="53"/>
        <v>420.41742698462764</v>
      </c>
      <c r="R42" s="59">
        <f t="shared" si="0"/>
        <v>713.75076031796095</v>
      </c>
      <c r="S42" s="59">
        <f ca="1">AVERAGE(OFFSET($R$3,0,0,'Données projet'!$E$9+1,1))-AVERAGE(OFFSET($H$3,0,0,'Données projet'!$E$9+1,1))</f>
        <v>199.58634493109349</v>
      </c>
      <c r="T42" s="59">
        <f t="shared" si="34"/>
        <v>288.66487031729008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4.1813442002079189</v>
      </c>
      <c r="AA42" s="21">
        <f>EXP(-LN(2)/25)*AA41+(1-EXP(-LN(2)/25))/(LN(2)/25)*Calculateur!V42*Calculateur!X42*VLOOKUP('Données projet'!$B$9,Paramètres!$A$1:$I$89,3,0)*0.475*44/12</f>
        <v>13.346951384023527</v>
      </c>
      <c r="AB42" s="21">
        <f>EXP(-LN(2)/2)*AB41+(1-EXP(-LN(2)/2))/(LN(2)/2)*V42*Y42*VLOOKUP('Données projet'!$B$9,Paramètres!$A$1:$I$89,3,0)*0.475*44/12</f>
        <v>0.13036847527372766</v>
      </c>
      <c r="AC42" s="22">
        <f t="shared" si="3"/>
        <v>17.65866405950517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20.7</v>
      </c>
      <c r="AI42" s="13">
        <f>IF('Données projet'!$A$62&gt;35,AI41+AH42-AQ41,IF(A42&lt;'Données projet'!$A$62,$AF$205^A42,IF(A42='Données projet'!$A$62,'Données projet'!$B$62,AI41+AH42-AQ41)))</f>
        <v>364.29999999999984</v>
      </c>
      <c r="AJ42" s="13">
        <f>AI42*VLOOKUP('Données projet'!$B$10,Paramètres!$A$1:$I$89,3,0)*VLOOKUP('Données projet'!$B$10,Paramètres!$A$1:$I$89,5,0)</f>
        <v>217.85139999999993</v>
      </c>
      <c r="AK42" s="13">
        <f t="shared" si="35"/>
        <v>53.647631719842636</v>
      </c>
      <c r="AL42" s="20">
        <f t="shared" si="4"/>
        <v>472.86081357872575</v>
      </c>
      <c r="AM42" s="59">
        <f t="shared" si="5"/>
        <v>766.19414691205907</v>
      </c>
      <c r="AN42" s="59">
        <f ca="1">AVERAGE(OFFSET($AM$3,0,0,'Données projet'!$E$10+1,1))-AVERAGE(OFFSET($H$3,0,0,'Données projet'!$E$10+1,1))</f>
        <v>395.40396173178527</v>
      </c>
      <c r="AO42" s="59">
        <f t="shared" si="36"/>
        <v>304.68075128568756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2.5090749068306555</v>
      </c>
      <c r="AV42" s="21">
        <f>EXP(-LN(2)/25)*AV41+(1-EXP(-LN(2)/25))/(LN(2)/25)*Calculateur!AQ42*Calculateur!AS42*VLOOKUP('Données projet'!$B$10,Paramètres!$A$1:$I$89,3,0)*0.475*44/12</f>
        <v>14.566791812827637</v>
      </c>
      <c r="AW42" s="21">
        <f>EXP(-LN(2)/2)*AW41+(1-EXP(-LN(2)/2))/(LN(2)/2)*AQ42*AT42*VLOOKUP('Données projet'!$B$10,Paramètres!$A$1:$I$89,3,0)*0.475*44/12</f>
        <v>1.1493147571466691</v>
      </c>
      <c r="AX42" s="21">
        <f t="shared" si="6"/>
        <v>18.225181476804963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36.10000000000008</v>
      </c>
      <c r="BE42" s="13">
        <f>BD42*VLOOKUP('Données projet'!$B$11,Paramètres!$A$1:$I$89,3,0)*VLOOKUP('Données projet'!$B$11,Paramètres!$A$1:$I$89,5,0)</f>
        <v>31.536960000000075</v>
      </c>
      <c r="BF42" s="13">
        <f t="shared" si="37"/>
        <v>9.725440120377133</v>
      </c>
      <c r="BG42" s="20">
        <f t="shared" si="7"/>
        <v>71.865346876323642</v>
      </c>
      <c r="BH42" s="59">
        <f t="shared" si="8"/>
        <v>365.19868020965697</v>
      </c>
      <c r="BI42" s="59">
        <f ca="1">AVERAGE(OFFSET($BH$3,0,0,'Données projet'!$E$11+1,1))-AVERAGE(OFFSET($H$3,0,0,'Données projet'!$E$11+1,1))</f>
        <v>249.21292089724221</v>
      </c>
      <c r="BJ42" s="59">
        <f t="shared" si="38"/>
        <v>640.80644476065254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94.362158337763461</v>
      </c>
      <c r="BQ42" s="21">
        <f>EXP(-LN(2)/25)*BQ41+(1-EXP(-LN(2)/25))/(LN(2)/25)*Calculateur!BL42*Calculateur!BN42*VLOOKUP('Données projet'!$B$11,Paramètres!$A$1:$I$89,3,0)*0.475*44/12</f>
        <v>83.509459870452275</v>
      </c>
      <c r="BR42" s="21">
        <f>EXP(-LN(2)/2)*BR41+(1-EXP(-LN(2)/2))/(LN(2)/2)*BL42*BO42*VLOOKUP('Données projet'!$B$11,Paramètres!$A$1:$I$89,3,0)*0.475*44/12</f>
        <v>3.6477668591463286</v>
      </c>
      <c r="BS42" s="22">
        <f t="shared" si="9"/>
        <v>181.51938506736207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5.9</v>
      </c>
      <c r="BY42" s="12">
        <f>IF('Données projet'!$A$114&gt;35,BY41+BX42-CG41,IF(A42&lt;'Données projet'!$A$114,$BV$205^A42,IF(A42='Données projet'!$A$114,'Données projet'!$B$114,BY41+BX42-CG41)))</f>
        <v>145.10000000000011</v>
      </c>
      <c r="BZ42" s="13">
        <f>BY42*VLOOKUP('Données projet'!$B$12,Paramètres!$A$1:$I$89,3,0)*VLOOKUP('Données projet'!$B$12,Paramètres!$A$1:$I$89,5,0)</f>
        <v>117.70512000000009</v>
      </c>
      <c r="CA42" s="13">
        <f t="shared" si="39"/>
        <v>31.139156202729879</v>
      </c>
      <c r="CB42" s="20">
        <f t="shared" si="10"/>
        <v>259.23711438642141</v>
      </c>
      <c r="CC42" s="59">
        <f t="shared" si="11"/>
        <v>552.57044771975472</v>
      </c>
      <c r="CD42" s="59">
        <f ca="1">AVERAGE(OFFSET($CC$3,0,0,'Données projet'!$E$12+1,1))-AVERAGE(OFFSET($H$3,0,0,'Données projet'!$E$12+1,1))</f>
        <v>192.4785660463869</v>
      </c>
      <c r="CE42" s="59">
        <f t="shared" si="40"/>
        <v>165.11095806515362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0.67757143619243299</v>
      </c>
      <c r="CL42" s="21">
        <f>EXP(-LN(2)/25)*CL41+(1-EXP(-LN(2)/25))/(LN(2)/25)*Calculateur!CG42*Calculateur!CI42*VLOOKUP('Données projet'!$B$12,Paramètres!$A$1:$I$89,3,0)*0.475*44/12</f>
        <v>3.678584971233064</v>
      </c>
      <c r="CM42" s="21">
        <f>EXP(-LN(2)/2)*CM41+(1-EXP(-LN(2)/2))/(LN(2)/2)*CG42*CJ42*VLOOKUP('Données projet'!$B$12,Paramètres!$A$1:$I$89,3,0)*0.475*44/12</f>
        <v>0.32361715838070904</v>
      </c>
      <c r="CN42" s="22">
        <f t="shared" si="12"/>
        <v>4.6797735658062063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7.4</v>
      </c>
      <c r="CT42" s="12">
        <f>IF('Données projet'!$A$140&gt;35,CT41+CS42-DB41,IF(A42&lt;'Données projet'!$A$140,$CQ$205^A42,IF(A42='Données projet'!$A$140,'Données projet'!$B$140,CT41+CS42-DB41)))</f>
        <v>148.60000000000002</v>
      </c>
      <c r="CU42" s="17">
        <f>CT42*VLOOKUP('Données projet'!$B$13,Paramètres!$A$1:$I$89,3,0)*VLOOKUP('Données projet'!$B$13,Paramètres!$A$1:$I$89,5,0)</f>
        <v>125.18064000000003</v>
      </c>
      <c r="CV42" s="13">
        <f t="shared" si="41"/>
        <v>32.88031020353543</v>
      </c>
      <c r="CW42" s="20">
        <f t="shared" si="13"/>
        <v>275.28948827115761</v>
      </c>
      <c r="CX42" s="59">
        <f t="shared" si="14"/>
        <v>568.62282160449092</v>
      </c>
      <c r="CY42" s="59">
        <f ca="1">AVERAGE(OFFSET($CX$3,0,0,'Données projet'!$E$13+1,1))-AVERAGE(OFFSET($H$3,0,0,'Données projet'!$E$13+1,1))</f>
        <v>247.67539667223065</v>
      </c>
      <c r="CZ42" s="59">
        <f t="shared" si="42"/>
        <v>174.54442616983778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1.0722009539748389</v>
      </c>
      <c r="DG42" s="21">
        <f>EXP(-LN(2)/25)*DG41+(1-EXP(-LN(2)/25))/(LN(2)/25)*Calculateur!DB42*Calculateur!DD42*VLOOKUP('Données projet'!$B$13,Paramètres!$A$1:$I$89,3,0)*0.475*44/12</f>
        <v>5.1228929273691106</v>
      </c>
      <c r="DH42" s="21">
        <f>EXP(-LN(2)/2)*DH41+(1-EXP(-LN(2)/2))/(LN(2)/2)*DB42*DE42*VLOOKUP('Données projet'!$B$13,Paramètres!$A$1:$I$89,3,0)*0.475*44/12</f>
        <v>0.50884355478325038</v>
      </c>
      <c r="DI42" s="22">
        <f t="shared" si="15"/>
        <v>6.7039374361271999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5.3369963369963358</v>
      </c>
      <c r="DO42" s="12">
        <f>IF('Données projet'!$A$166&gt;35,DO41+DN42-DW41,IF(A42&lt;'Données projet'!$A$166,$DL$205^A42,IF(A42='Données projet'!$A$166,'Données projet'!$B$166,DO41+DN42-DW41)))</f>
        <v>135.73809523809524</v>
      </c>
      <c r="DP42" s="17">
        <f>DO42*VLOOKUP('Données projet'!$B$14,Paramètres!$A$1:$I$89,3,0)*VLOOKUP('Données projet'!$B$14,Paramètres!$A$1:$I$89,5,0)</f>
        <v>135.5209142857143</v>
      </c>
      <c r="DQ42" s="13">
        <f t="shared" si="43"/>
        <v>35.268976104404672</v>
      </c>
      <c r="DR42" s="20">
        <f t="shared" si="16"/>
        <v>297.45905909612384</v>
      </c>
      <c r="DS42" s="59">
        <f t="shared" si="17"/>
        <v>590.7923924294571</v>
      </c>
      <c r="DT42" s="59">
        <f ca="1">AVERAGE(OFFSET($DS$3,0,0,'Données projet'!$E$14+1,1))-AVERAGE(OFFSET($H$3,0,0,'Données projet'!$E$14+1,1))</f>
        <v>245.06609107649069</v>
      </c>
      <c r="DU42" s="59">
        <f t="shared" si="44"/>
        <v>156.24531945456499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2.2709162873211426</v>
      </c>
      <c r="EJ42" s="12">
        <f>IF('Données projet'!$A$192&gt;35,EJ41+EI42-ER41,IF(A42&lt;'Données projet'!$A$192,$EG$205^A42,IF(A42='Données projet'!$A$192,'Données projet'!$B$192,EJ41+EI42-ER41)))</f>
        <v>56.998756395356331</v>
      </c>
      <c r="EK42" s="17">
        <f>EJ42*VLOOKUP('Données projet'!$B$15,Paramètres!$A$1:$I$89,3,0)*VLOOKUP('Données projet'!$B$15,Paramètres!$A$1:$I$89,5,0)</f>
        <v>62.242641983729115</v>
      </c>
      <c r="EL42" s="13">
        <f t="shared" si="45"/>
        <v>17.734062640838829</v>
      </c>
      <c r="EM42" s="20">
        <f t="shared" si="19"/>
        <v>139.29276055445584</v>
      </c>
      <c r="EN42" s="59">
        <f t="shared" si="20"/>
        <v>432.62609388778912</v>
      </c>
      <c r="EO42" s="59">
        <f ca="1">AVERAGE(OFFSET($EN$3,0,0,'Données projet'!$E$15+1,1))-AVERAGE(OFFSET($H$3,0,0,'Données projet'!$E$15+1,1))</f>
        <v>173.63857221119594</v>
      </c>
      <c r="EP42" s="59">
        <f t="shared" si="46"/>
        <v>52.373745617370105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337.91242603550285</v>
      </c>
      <c r="O43" s="13">
        <f>N43*VLOOKUP('Données projet'!$B$9,Paramètres!$A$1:$I$89,3,0)*VLOOKUP('Données projet'!$B$9,Paramètres!$A$1:$I$89,5,0)</f>
        <v>202.07163076923072</v>
      </c>
      <c r="P43" s="13">
        <f t="shared" si="33"/>
        <v>50.19917605450815</v>
      </c>
      <c r="Q43" s="20">
        <f t="shared" si="53"/>
        <v>439.37165521801188</v>
      </c>
      <c r="R43" s="59">
        <f t="shared" si="0"/>
        <v>732.7049885513452</v>
      </c>
      <c r="S43" s="59">
        <f ca="1">AVERAGE(OFFSET($R$3,0,0,'Données projet'!$E$9+1,1))-AVERAGE(OFFSET($H$3,0,0,'Données projet'!$E$9+1,1))</f>
        <v>199.58634493109349</v>
      </c>
      <c r="T43" s="59">
        <f t="shared" si="34"/>
        <v>288.66487031729008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4.0993505908099754</v>
      </c>
      <c r="AA43" s="21">
        <f>EXP(-LN(2)/25)*AA42+(1-EXP(-LN(2)/25))/(LN(2)/25)*Calculateur!V43*Calculateur!X43*VLOOKUP('Données projet'!$B$9,Paramètres!$A$1:$I$89,3,0)*0.475*44/12</f>
        <v>12.981978296541735</v>
      </c>
      <c r="AB43" s="21">
        <f>EXP(-LN(2)/2)*AB42+(1-EXP(-LN(2)/2))/(LN(2)/2)*V43*Y43*VLOOKUP('Données projet'!$B$9,Paramètres!$A$1:$I$89,3,0)*0.475*44/12</f>
        <v>9.2184432919003578E-2</v>
      </c>
      <c r="AC43" s="22">
        <f t="shared" si="3"/>
        <v>17.173513320270715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385</v>
      </c>
      <c r="AG43" s="12">
        <f>VLOOKUP(A43,'Données projet'!$A$61:$I$81,9,0)</f>
        <v>20.7</v>
      </c>
      <c r="AH43" s="12">
        <f t="array" ref="AH43">INDEX(AG:AG,MIN(IF(ISNUMBER(AG43:AG239),ROW(AG43:AG239),"")))</f>
        <v>20.7</v>
      </c>
      <c r="AI43" s="13">
        <f>IF('Données projet'!$A$62&gt;35,AI42+AH43-AQ42,IF(A43&lt;'Données projet'!$A$62,$AF$205^A43,IF(A43='Données projet'!$A$62,'Données projet'!$B$62,AI42+AH43-AQ42)))</f>
        <v>384.99999999999983</v>
      </c>
      <c r="AJ43" s="13">
        <f>AI43*VLOOKUP('Données projet'!$B$10,Paramètres!$A$1:$I$89,3,0)*VLOOKUP('Données projet'!$B$10,Paramètres!$A$1:$I$89,5,0)</f>
        <v>230.22999999999993</v>
      </c>
      <c r="AK43" s="13">
        <f t="shared" si="35"/>
        <v>56.33241001525225</v>
      </c>
      <c r="AL43" s="20">
        <f t="shared" si="4"/>
        <v>499.09619744323089</v>
      </c>
      <c r="AM43" s="59">
        <f t="shared" si="5"/>
        <v>792.42953077656421</v>
      </c>
      <c r="AN43" s="59">
        <f ca="1">AVERAGE(OFFSET($AM$3,0,0,'Données projet'!$E$10+1,1))-AVERAGE(OFFSET($H$3,0,0,'Données projet'!$E$10+1,1))</f>
        <v>395.40396173178527</v>
      </c>
      <c r="AO43" s="59">
        <f t="shared" si="36"/>
        <v>304.68075128568756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111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2.4598734782922866</v>
      </c>
      <c r="AV43" s="21">
        <f>EXP(-LN(2)/25)*AV42+(1-EXP(-LN(2)/25))/(LN(2)/25)*Calculateur!AQ43*Calculateur!AS43*VLOOKUP('Données projet'!$B$10,Paramètres!$A$1:$I$89,3,0)*0.475*44/12</f>
        <v>14.168462124671576</v>
      </c>
      <c r="AW43" s="21">
        <f>EXP(-LN(2)/2)*AW42+(1-EXP(-LN(2)/2))/(LN(2)/2)*AQ43*AT43*VLOOKUP('Données projet'!$B$10,Paramètres!$A$1:$I$89,3,0)*0.475*44/12</f>
        <v>0.81268825849617976</v>
      </c>
      <c r="AX43" s="21">
        <f t="shared" si="6"/>
        <v>17.441023861460042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36.10000000000008</v>
      </c>
      <c r="BE43" s="13">
        <f>BD43*VLOOKUP('Données projet'!$B$11,Paramètres!$A$1:$I$89,3,0)*VLOOKUP('Données projet'!$B$11,Paramètres!$A$1:$I$89,5,0)</f>
        <v>31.536960000000075</v>
      </c>
      <c r="BF43" s="13">
        <f t="shared" si="37"/>
        <v>9.725440120377133</v>
      </c>
      <c r="BG43" s="20">
        <f t="shared" si="7"/>
        <v>71.865346876323642</v>
      </c>
      <c r="BH43" s="59">
        <f t="shared" si="8"/>
        <v>365.19868020965697</v>
      </c>
      <c r="BI43" s="59">
        <f ca="1">AVERAGE(OFFSET($BH$3,0,0,'Données projet'!$E$11+1,1))-AVERAGE(OFFSET($H$3,0,0,'Données projet'!$E$11+1,1))</f>
        <v>249.21292089724221</v>
      </c>
      <c r="BJ43" s="59">
        <f t="shared" si="38"/>
        <v>640.80644476065254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92.511773967993392</v>
      </c>
      <c r="BQ43" s="21">
        <f>EXP(-LN(2)/25)*BQ42+(1-EXP(-LN(2)/25))/(LN(2)/25)*Calculateur!BL43*Calculateur!BN43*VLOOKUP('Données projet'!$B$11,Paramètres!$A$1:$I$89,3,0)*0.475*44/12</f>
        <v>81.225889298723132</v>
      </c>
      <c r="BR43" s="21">
        <f>EXP(-LN(2)/2)*BR42+(1-EXP(-LN(2)/2))/(LN(2)/2)*BL43*BO43*VLOOKUP('Données projet'!$B$11,Paramètres!$A$1:$I$89,3,0)*0.475*44/12</f>
        <v>2.5793606822899227</v>
      </c>
      <c r="BS43" s="22">
        <f t="shared" si="9"/>
        <v>176.31702394900645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151</v>
      </c>
      <c r="BW43" s="12">
        <f>VLOOKUP(A43,'Données projet'!$A$113:$I$133,9,0)</f>
        <v>5.9</v>
      </c>
      <c r="BX43" s="12">
        <f t="array" ref="BX43">INDEX(BW:BW,MIN(IF(ISNUMBER(BW43:BW239),ROW(BW43:BW239),"")))</f>
        <v>5.9</v>
      </c>
      <c r="BY43" s="12">
        <f>IF('Données projet'!$A$114&gt;35,BY42+BX43-CG42,IF(A43&lt;'Données projet'!$A$114,$BV$205^A43,IF(A43='Données projet'!$A$114,'Données projet'!$B$114,BY42+BX43-CG42)))</f>
        <v>151.00000000000011</v>
      </c>
      <c r="BZ43" s="13">
        <f>BY43*VLOOKUP('Données projet'!$B$12,Paramètres!$A$1:$I$89,3,0)*VLOOKUP('Données projet'!$B$12,Paramètres!$A$1:$I$89,5,0)</f>
        <v>122.49120000000011</v>
      </c>
      <c r="CA43" s="13">
        <f t="shared" si="39"/>
        <v>32.255334127777473</v>
      </c>
      <c r="CB43" s="20">
        <f t="shared" si="10"/>
        <v>269.5168802725459</v>
      </c>
      <c r="CC43" s="59">
        <f t="shared" si="11"/>
        <v>562.85021360587916</v>
      </c>
      <c r="CD43" s="59">
        <f ca="1">AVERAGE(OFFSET($CC$3,0,0,'Données projet'!$E$12+1,1))-AVERAGE(OFFSET($H$3,0,0,'Données projet'!$E$12+1,1))</f>
        <v>192.4785660463869</v>
      </c>
      <c r="CE43" s="59">
        <f t="shared" si="40"/>
        <v>165.11095806515362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25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0.6642846736064677</v>
      </c>
      <c r="CL43" s="21">
        <f>EXP(-LN(2)/25)*CL42+(1-EXP(-LN(2)/25))/(LN(2)/25)*Calculateur!CG43*Calculateur!CI43*VLOOKUP('Données projet'!$B$12,Paramètres!$A$1:$I$89,3,0)*0.475*44/12</f>
        <v>3.5779938717463198</v>
      </c>
      <c r="CM43" s="21">
        <f>EXP(-LN(2)/2)*CM42+(1-EXP(-LN(2)/2))/(LN(2)/2)*CG43*CJ43*VLOOKUP('Données projet'!$B$12,Paramètres!$A$1:$I$89,3,0)*0.475*44/12</f>
        <v>0.22883188719932032</v>
      </c>
      <c r="CN43" s="22">
        <f t="shared" si="12"/>
        <v>4.4711104325521083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156</v>
      </c>
      <c r="CR43" s="12">
        <f>VLOOKUP(A43,'Données projet'!$A$139:$I$159,9,0)</f>
        <v>7.4</v>
      </c>
      <c r="CS43" s="12">
        <f t="array" ref="CS43">INDEX(CR:CR,MIN(IF(ISNUMBER(CR43:CR239),ROW(CR43:CR239),"")))</f>
        <v>7.4</v>
      </c>
      <c r="CT43" s="12">
        <f>IF('Données projet'!$A$140&gt;35,CT42+CS43-DB42,IF(A43&lt;'Données projet'!$A$140,$CQ$205^A43,IF(A43='Données projet'!$A$140,'Données projet'!$B$140,CT42+CS43-DB42)))</f>
        <v>156.00000000000003</v>
      </c>
      <c r="CU43" s="17">
        <f>CT43*VLOOKUP('Données projet'!$B$13,Paramètres!$A$1:$I$89,3,0)*VLOOKUP('Données projet'!$B$13,Paramètres!$A$1:$I$89,5,0)</f>
        <v>131.41440000000003</v>
      </c>
      <c r="CV43" s="13">
        <f t="shared" si="41"/>
        <v>34.32297952601067</v>
      </c>
      <c r="CW43" s="20">
        <f t="shared" si="13"/>
        <v>288.65926934113526</v>
      </c>
      <c r="CX43" s="59">
        <f t="shared" si="14"/>
        <v>581.99260267446857</v>
      </c>
      <c r="CY43" s="59">
        <f ca="1">AVERAGE(OFFSET($CX$3,0,0,'Données projet'!$E$13+1,1))-AVERAGE(OFFSET($H$3,0,0,'Données projet'!$E$13+1,1))</f>
        <v>247.67539667223065</v>
      </c>
      <c r="CZ43" s="59">
        <f t="shared" si="42"/>
        <v>174.54442616983778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39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1.0511757472453993</v>
      </c>
      <c r="DG43" s="21">
        <f>EXP(-LN(2)/25)*DG42+(1-EXP(-LN(2)/25))/(LN(2)/25)*Calculateur!DB43*Calculateur!DD43*VLOOKUP('Données projet'!$B$13,Paramètres!$A$1:$I$89,3,0)*0.475*44/12</f>
        <v>4.9828071508689717</v>
      </c>
      <c r="DH43" s="21">
        <f>EXP(-LN(2)/2)*DH42+(1-EXP(-LN(2)/2))/(LN(2)/2)*DB43*DE43*VLOOKUP('Données projet'!$B$13,Paramètres!$A$1:$I$89,3,0)*0.475*44/12</f>
        <v>0.35980672815030484</v>
      </c>
      <c r="DI43" s="22">
        <f t="shared" si="15"/>
        <v>6.3937896262646765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5.3369963369963358</v>
      </c>
      <c r="DO43" s="12">
        <f>IF('Données projet'!$A$166&gt;35,DO42+DN43-DW42,IF(A43&lt;'Données projet'!$A$166,$DL$205^A43,IF(A43='Données projet'!$A$166,'Données projet'!$B$166,DO42+DN43-DW42)))</f>
        <v>141.07509157509156</v>
      </c>
      <c r="DP43" s="17">
        <f>DO43*VLOOKUP('Données projet'!$B$14,Paramètres!$A$1:$I$89,3,0)*VLOOKUP('Données projet'!$B$14,Paramètres!$A$1:$I$89,5,0)</f>
        <v>140.84937142857143</v>
      </c>
      <c r="DQ43" s="13">
        <f t="shared" si="43"/>
        <v>36.491516011589702</v>
      </c>
      <c r="DR43" s="20">
        <f t="shared" si="16"/>
        <v>308.86871229161397</v>
      </c>
      <c r="DS43" s="59">
        <f t="shared" si="17"/>
        <v>602.20204562494723</v>
      </c>
      <c r="DT43" s="59">
        <f ca="1">AVERAGE(OFFSET($DS$3,0,0,'Données projet'!$E$14+1,1))-AVERAGE(OFFSET($H$3,0,0,'Données projet'!$E$14+1,1))</f>
        <v>245.06609107649069</v>
      </c>
      <c r="DU43" s="59">
        <f t="shared" si="44"/>
        <v>156.24531945456499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59.269672682677488</v>
      </c>
      <c r="EH43" s="12">
        <f>VLOOKUP(A43,'Données projet'!$A$191:$I$211,9,0)</f>
        <v>2.2709162873211426</v>
      </c>
      <c r="EI43" s="12">
        <f t="array" ref="EI43">INDEX(EH:EH,MIN(IF(ISNUMBER(EH43:EH239),ROW(EH43:EH239),"")))</f>
        <v>2.2709162873211426</v>
      </c>
      <c r="EJ43" s="12">
        <f>IF('Données projet'!$A$192&gt;35,EJ42+EI43-ER42,IF(A43&lt;'Données projet'!$A$192,$EG$205^A43,IF(A43='Données projet'!$A$192,'Données projet'!$B$192,EJ42+EI43-ER42)))</f>
        <v>59.269672682677474</v>
      </c>
      <c r="EK43" s="17">
        <f>EJ43*VLOOKUP('Données projet'!$B$15,Paramètres!$A$1:$I$89,3,0)*VLOOKUP('Données projet'!$B$15,Paramètres!$A$1:$I$89,5,0)</f>
        <v>64.722482569483802</v>
      </c>
      <c r="EL43" s="13">
        <f t="shared" si="45"/>
        <v>18.356945165422601</v>
      </c>
      <c r="EM43" s="20">
        <f t="shared" si="19"/>
        <v>144.69666997162864</v>
      </c>
      <c r="EN43" s="59">
        <f t="shared" si="20"/>
        <v>438.03000330496195</v>
      </c>
      <c r="EO43" s="59">
        <f ca="1">AVERAGE(OFFSET($EN$3,0,0,'Données projet'!$E$15+1,1))-AVERAGE(OFFSET($H$3,0,0,'Données projet'!$E$15+1,1))</f>
        <v>173.63857221119594</v>
      </c>
      <c r="EP43" s="59">
        <f t="shared" si="46"/>
        <v>52.373745617370105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352.82840236686377</v>
      </c>
      <c r="O44" s="13">
        <f>N44*VLOOKUP('Données projet'!$B$9,Paramètres!$A$1:$I$89,3,0)*VLOOKUP('Données projet'!$B$9,Paramètres!$A$1:$I$89,5,0)</f>
        <v>210.99138461538456</v>
      </c>
      <c r="P44" s="13">
        <f t="shared" si="33"/>
        <v>52.152168760305798</v>
      </c>
      <c r="Q44" s="20">
        <f t="shared" si="53"/>
        <v>458.3083554626607</v>
      </c>
      <c r="R44" s="59">
        <f t="shared" si="0"/>
        <v>751.64168879599401</v>
      </c>
      <c r="S44" s="59">
        <f ca="1">AVERAGE(OFFSET($R$3,0,0,'Données projet'!$E$9+1,1))-AVERAGE(OFFSET($H$3,0,0,'Données projet'!$E$9+1,1))</f>
        <v>199.58634493109349</v>
      </c>
      <c r="T44" s="59">
        <f t="shared" si="34"/>
        <v>288.66487031729008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4.0189648260811621</v>
      </c>
      <c r="AA44" s="21">
        <f>EXP(-LN(2)/25)*AA43+(1-EXP(-LN(2)/25))/(LN(2)/25)*Calculateur!V44*Calculateur!X44*VLOOKUP('Données projet'!$B$9,Paramètres!$A$1:$I$89,3,0)*0.475*44/12</f>
        <v>12.626985417330234</v>
      </c>
      <c r="AB44" s="21">
        <f>EXP(-LN(2)/2)*AB43+(1-EXP(-LN(2)/2))/(LN(2)/2)*V44*Y44*VLOOKUP('Données projet'!$B$9,Paramètres!$A$1:$I$89,3,0)*0.475*44/12</f>
        <v>6.5184237636863832E-2</v>
      </c>
      <c r="AC44" s="22">
        <f t="shared" si="3"/>
        <v>16.711134481048258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21.4</v>
      </c>
      <c r="AI44" s="13">
        <f>IF('Données projet'!$A$62&gt;35,AI43+AH44-AQ43,IF(A44&lt;'Données projet'!$A$62,$AF$205^A44,IF(A44='Données projet'!$A$62,'Données projet'!$B$62,AI43+AH44-AQ43)))</f>
        <v>295.39999999999981</v>
      </c>
      <c r="AJ44" s="13">
        <f>AI44*VLOOKUP('Données projet'!$B$10,Paramètres!$A$1:$I$89,3,0)*VLOOKUP('Données projet'!$B$10,Paramètres!$A$1:$I$89,5,0)</f>
        <v>176.64919999999992</v>
      </c>
      <c r="AK44" s="13">
        <f t="shared" si="35"/>
        <v>44.57588156630429</v>
      </c>
      <c r="AL44" s="20">
        <f t="shared" si="4"/>
        <v>385.3003503946465</v>
      </c>
      <c r="AM44" s="59">
        <f t="shared" si="5"/>
        <v>678.63368372797981</v>
      </c>
      <c r="AN44" s="59">
        <f ca="1">AVERAGE(OFFSET($AM$3,0,0,'Données projet'!$E$10+1,1))-AVERAGE(OFFSET($H$3,0,0,'Données projet'!$E$10+1,1))</f>
        <v>395.40396173178527</v>
      </c>
      <c r="AO44" s="59">
        <f t="shared" si="36"/>
        <v>304.68075128568756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2.411636859757647</v>
      </c>
      <c r="AV44" s="21">
        <f>EXP(-LN(2)/25)*AV43+(1-EXP(-LN(2)/25))/(LN(2)/25)*Calculateur!AQ44*Calculateur!AS44*VLOOKUP('Données projet'!$B$10,Paramètres!$A$1:$I$89,3,0)*0.475*44/12</f>
        <v>13.781024782785391</v>
      </c>
      <c r="AW44" s="21">
        <f>EXP(-LN(2)/2)*AW43+(1-EXP(-LN(2)/2))/(LN(2)/2)*AQ44*AT44*VLOOKUP('Données projet'!$B$10,Paramètres!$A$1:$I$89,3,0)*0.475*44/12</f>
        <v>0.57465737857333454</v>
      </c>
      <c r="AX44" s="21">
        <f t="shared" si="6"/>
        <v>16.767319021116371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36.10000000000008</v>
      </c>
      <c r="BE44" s="13">
        <f>BD44*VLOOKUP('Données projet'!$B$11,Paramètres!$A$1:$I$89,3,0)*VLOOKUP('Données projet'!$B$11,Paramètres!$A$1:$I$89,5,0)</f>
        <v>31.536960000000075</v>
      </c>
      <c r="BF44" s="13">
        <f t="shared" si="37"/>
        <v>9.725440120377133</v>
      </c>
      <c r="BG44" s="20">
        <f t="shared" si="7"/>
        <v>71.865346876323642</v>
      </c>
      <c r="BH44" s="59">
        <f t="shared" si="8"/>
        <v>365.19868020965697</v>
      </c>
      <c r="BI44" s="59">
        <f ca="1">AVERAGE(OFFSET($BH$3,0,0,'Données projet'!$E$11+1,1))-AVERAGE(OFFSET($H$3,0,0,'Données projet'!$E$11+1,1))</f>
        <v>249.21292089724221</v>
      </c>
      <c r="BJ44" s="59">
        <f t="shared" si="38"/>
        <v>640.80644476065254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90.697674507091492</v>
      </c>
      <c r="BQ44" s="21">
        <f>EXP(-LN(2)/25)*BQ43+(1-EXP(-LN(2)/25))/(LN(2)/25)*Calculateur!BL44*Calculateur!BN44*VLOOKUP('Données projet'!$B$11,Paramètres!$A$1:$I$89,3,0)*0.475*44/12</f>
        <v>79.004763084365678</v>
      </c>
      <c r="BR44" s="21">
        <f>EXP(-LN(2)/2)*BR43+(1-EXP(-LN(2)/2))/(LN(2)/2)*BL44*BO44*VLOOKUP('Données projet'!$B$11,Paramètres!$A$1:$I$89,3,0)*0.475*44/12</f>
        <v>1.8238834295731643</v>
      </c>
      <c r="BS44" s="22">
        <f t="shared" si="9"/>
        <v>171.52632102103033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5.9</v>
      </c>
      <c r="BY44" s="12">
        <f>IF('Données projet'!$A$114&gt;35,BY43+BX44-CG43,IF(A44&lt;'Données projet'!$A$114,$BV$205^A44,IF(A44='Données projet'!$A$114,'Données projet'!$B$114,BY43+BX44-CG43)))</f>
        <v>131.90000000000012</v>
      </c>
      <c r="BZ44" s="13">
        <f>BY44*VLOOKUP('Données projet'!$B$12,Paramètres!$A$1:$I$89,3,0)*VLOOKUP('Données projet'!$B$12,Paramètres!$A$1:$I$89,5,0)</f>
        <v>106.9972800000001</v>
      </c>
      <c r="CA44" s="13">
        <f t="shared" si="39"/>
        <v>28.622384778118079</v>
      </c>
      <c r="CB44" s="20">
        <f t="shared" si="10"/>
        <v>236.20424948855586</v>
      </c>
      <c r="CC44" s="59">
        <f t="shared" si="11"/>
        <v>529.53758282188915</v>
      </c>
      <c r="CD44" s="59">
        <f ca="1">AVERAGE(OFFSET($CC$3,0,0,'Données projet'!$E$12+1,1))-AVERAGE(OFFSET($H$3,0,0,'Données projet'!$E$12+1,1))</f>
        <v>192.4785660463869</v>
      </c>
      <c r="CE44" s="59">
        <f t="shared" si="40"/>
        <v>165.11095806515362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0.65125845633068824</v>
      </c>
      <c r="CL44" s="21">
        <f>EXP(-LN(2)/25)*CL43+(1-EXP(-LN(2)/25))/(LN(2)/25)*Calculateur!CG44*Calculateur!CI44*VLOOKUP('Données projet'!$B$12,Paramètres!$A$1:$I$89,3,0)*0.475*44/12</f>
        <v>3.4801534411648967</v>
      </c>
      <c r="CM44" s="21">
        <f>EXP(-LN(2)/2)*CM43+(1-EXP(-LN(2)/2))/(LN(2)/2)*CG44*CJ44*VLOOKUP('Données projet'!$B$12,Paramètres!$A$1:$I$89,3,0)*0.475*44/12</f>
        <v>0.16180857919035452</v>
      </c>
      <c r="CN44" s="22">
        <f t="shared" si="12"/>
        <v>4.2932204766859403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7.5</v>
      </c>
      <c r="CT44" s="12">
        <f>IF('Données projet'!$A$140&gt;35,CT43+CS44-DB43,IF(A44&lt;'Données projet'!$A$140,$CQ$205^A44,IF(A44='Données projet'!$A$140,'Données projet'!$B$140,CT43+CS44-DB43)))</f>
        <v>124.50000000000003</v>
      </c>
      <c r="CU44" s="17">
        <f>CT44*VLOOKUP('Données projet'!$B$13,Paramètres!$A$1:$I$89,3,0)*VLOOKUP('Données projet'!$B$13,Paramètres!$A$1:$I$89,5,0)</f>
        <v>104.87880000000003</v>
      </c>
      <c r="CV44" s="13">
        <f t="shared" si="41"/>
        <v>28.121062464047416</v>
      </c>
      <c r="CW44" s="20">
        <f t="shared" si="13"/>
        <v>231.64142712488263</v>
      </c>
      <c r="CX44" s="59">
        <f t="shared" si="14"/>
        <v>524.974760458216</v>
      </c>
      <c r="CY44" s="59">
        <f ca="1">AVERAGE(OFFSET($CX$3,0,0,'Données projet'!$E$13+1,1))-AVERAGE(OFFSET($H$3,0,0,'Données projet'!$E$13+1,1))</f>
        <v>247.67539667223065</v>
      </c>
      <c r="CZ44" s="59">
        <f t="shared" si="42"/>
        <v>174.54442616983778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1.0305628319958142</v>
      </c>
      <c r="DG44" s="21">
        <f>EXP(-LN(2)/25)*DG43+(1-EXP(-LN(2)/25))/(LN(2)/25)*Calculateur!DB44*Calculateur!DD44*VLOOKUP('Données projet'!$B$13,Paramètres!$A$1:$I$89,3,0)*0.475*44/12</f>
        <v>4.8465520272940203</v>
      </c>
      <c r="DH44" s="21">
        <f>EXP(-LN(2)/2)*DH43+(1-EXP(-LN(2)/2))/(LN(2)/2)*DB44*DE44*VLOOKUP('Données projet'!$B$13,Paramètres!$A$1:$I$89,3,0)*0.475*44/12</f>
        <v>0.25442177739162519</v>
      </c>
      <c r="DI44" s="22">
        <f t="shared" si="15"/>
        <v>6.1315366366814601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5.3369963369963358</v>
      </c>
      <c r="DO44" s="12">
        <f>IF('Données projet'!$A$166&gt;35,DO43+DN44-DW43,IF(A44&lt;'Données projet'!$A$166,$DL$205^A44,IF(A44='Données projet'!$A$166,'Données projet'!$B$166,DO43+DN44-DW43)))</f>
        <v>146.41208791208788</v>
      </c>
      <c r="DP44" s="17">
        <f>DO44*VLOOKUP('Données projet'!$B$14,Paramètres!$A$1:$I$89,3,0)*VLOOKUP('Données projet'!$B$14,Paramètres!$A$1:$I$89,5,0)</f>
        <v>146.17782857142856</v>
      </c>
      <c r="DQ44" s="13">
        <f t="shared" si="43"/>
        <v>37.708682927193792</v>
      </c>
      <c r="DR44" s="20">
        <f t="shared" si="16"/>
        <v>320.26900752676721</v>
      </c>
      <c r="DS44" s="59">
        <f t="shared" si="17"/>
        <v>613.60234086010053</v>
      </c>
      <c r="DT44" s="59">
        <f ca="1">AVERAGE(OFFSET($DS$3,0,0,'Données projet'!$E$14+1,1))-AVERAGE(OFFSET($H$3,0,0,'Données projet'!$E$14+1,1))</f>
        <v>245.06609107649069</v>
      </c>
      <c r="DU44" s="59">
        <f t="shared" si="44"/>
        <v>156.24531945456499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2.6372976949420099</v>
      </c>
      <c r="EJ44" s="12">
        <f>IF('Données projet'!$A$192&gt;35,EJ43+EI44-ER43,IF(A44&lt;'Données projet'!$A$192,$EG$205^A44,IF(A44='Données projet'!$A$192,'Données projet'!$B$192,EJ43+EI44-ER43)))</f>
        <v>61.906970377619487</v>
      </c>
      <c r="EK44" s="17">
        <f>EJ44*VLOOKUP('Données projet'!$B$15,Paramètres!$A$1:$I$89,3,0)*VLOOKUP('Données projet'!$B$15,Paramètres!$A$1:$I$89,5,0)</f>
        <v>67.602411652360473</v>
      </c>
      <c r="EL44" s="13">
        <f t="shared" si="45"/>
        <v>19.076849578994388</v>
      </c>
      <c r="EM44" s="20">
        <f t="shared" si="19"/>
        <v>150.96637997794303</v>
      </c>
      <c r="EN44" s="59">
        <f t="shared" si="20"/>
        <v>444.29971331127638</v>
      </c>
      <c r="EO44" s="59">
        <f ca="1">AVERAGE(OFFSET($EN$3,0,0,'Données projet'!$E$15+1,1))-AVERAGE(OFFSET($H$3,0,0,'Données projet'!$E$15+1,1))</f>
        <v>173.63857221119594</v>
      </c>
      <c r="EP44" s="59">
        <f t="shared" si="46"/>
        <v>52.373745617370105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367.74437869822469</v>
      </c>
      <c r="O45" s="13">
        <f>N45*VLOOKUP('Données projet'!$B$9,Paramètres!$A$1:$I$89,3,0)*VLOOKUP('Données projet'!$B$9,Paramètres!$A$1:$I$89,5,0)</f>
        <v>219.91113846153837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199.58634493109349</v>
      </c>
      <c r="T45" s="59">
        <f t="shared" si="34"/>
        <v>288.66487031729008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3.9401553771682059</v>
      </c>
      <c r="AA45" s="21">
        <f>EXP(-LN(2)/25)*AA44+(1-EXP(-LN(2)/25))/(LN(2)/25)*Calculateur!V45*Calculateur!X45*VLOOKUP('Données projet'!$B$9,Paramètres!$A$1:$I$89,3,0)*0.475*44/12</f>
        <v>12.281699837069034</v>
      </c>
      <c r="AB45" s="21">
        <f>EXP(-LN(2)/2)*AB44+(1-EXP(-LN(2)/2))/(LN(2)/2)*V45*Y45*VLOOKUP('Données projet'!$B$9,Paramètres!$A$1:$I$89,3,0)*0.475*44/12</f>
        <v>4.6092216459501789E-2</v>
      </c>
      <c r="AC45" s="22">
        <f t="shared" si="3"/>
        <v>16.267947430696744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21.4</v>
      </c>
      <c r="AI45" s="13">
        <f>IF('Données projet'!$A$62&gt;35,AI44+AH45-AQ44,IF(A45&lt;'Données projet'!$A$62,$AF$205^A45,IF(A45='Données projet'!$A$62,'Données projet'!$B$62,AI44+AH45-AQ44)))</f>
        <v>316.79999999999978</v>
      </c>
      <c r="AJ45" s="13">
        <f>AI45*VLOOKUP('Données projet'!$B$10,Paramètres!$A$1:$I$89,3,0)*VLOOKUP('Données projet'!$B$10,Paramètres!$A$1:$I$89,5,0)</f>
        <v>189.44639999999987</v>
      </c>
      <c r="AK45" s="13">
        <f t="shared" si="35"/>
        <v>47.417538973836471</v>
      </c>
      <c r="AL45" s="20">
        <f t="shared" si="4"/>
        <v>412.53802704609831</v>
      </c>
      <c r="AM45" s="59">
        <f t="shared" si="5"/>
        <v>705.87136037943162</v>
      </c>
      <c r="AN45" s="59">
        <f ca="1">AVERAGE(OFFSET($AM$3,0,0,'Données projet'!$E$10+1,1))-AVERAGE(OFFSET($H$3,0,0,'Données projet'!$E$10+1,1))</f>
        <v>395.40396173178527</v>
      </c>
      <c r="AO45" s="59">
        <f t="shared" si="36"/>
        <v>304.68075128568756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2.3643461318910393</v>
      </c>
      <c r="AV45" s="21">
        <f>EXP(-LN(2)/25)*AV44+(1-EXP(-LN(2)/25))/(LN(2)/25)*Calculateur!AQ45*Calculateur!AS45*VLOOKUP('Données projet'!$B$10,Paramètres!$A$1:$I$89,3,0)*0.475*44/12</f>
        <v>13.404181935387529</v>
      </c>
      <c r="AW45" s="21">
        <f>EXP(-LN(2)/2)*AW44+(1-EXP(-LN(2)/2))/(LN(2)/2)*AQ45*AT45*VLOOKUP('Données projet'!$B$10,Paramètres!$A$1:$I$89,3,0)*0.475*44/12</f>
        <v>0.40634412924808988</v>
      </c>
      <c r="AX45" s="21">
        <f t="shared" si="6"/>
        <v>16.174872196526657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36.10000000000008</v>
      </c>
      <c r="BE45" s="13">
        <f>BD45*VLOOKUP('Données projet'!$B$11,Paramètres!$A$1:$I$89,3,0)*VLOOKUP('Données projet'!$B$11,Paramètres!$A$1:$I$89,5,0)</f>
        <v>31.536960000000075</v>
      </c>
      <c r="BF45" s="13">
        <f t="shared" si="37"/>
        <v>9.725440120377133</v>
      </c>
      <c r="BG45" s="20">
        <f t="shared" si="7"/>
        <v>71.865346876323642</v>
      </c>
      <c r="BH45" s="59">
        <f t="shared" si="8"/>
        <v>365.19868020965697</v>
      </c>
      <c r="BI45" s="59">
        <f ca="1">AVERAGE(OFFSET($BH$3,0,0,'Données projet'!$E$11+1,1))-AVERAGE(OFFSET($H$3,0,0,'Données projet'!$E$11+1,1))</f>
        <v>249.21292089724221</v>
      </c>
      <c r="BJ45" s="59">
        <f t="shared" si="38"/>
        <v>640.80644476065254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88.919148430126469</v>
      </c>
      <c r="BQ45" s="21">
        <f>EXP(-LN(2)/25)*BQ44+(1-EXP(-LN(2)/25))/(LN(2)/25)*Calculateur!BL45*Calculateur!BN45*VLOOKUP('Données projet'!$B$11,Paramètres!$A$1:$I$89,3,0)*0.475*44/12</f>
        <v>76.844373683143772</v>
      </c>
      <c r="BR45" s="21">
        <f>EXP(-LN(2)/2)*BR44+(1-EXP(-LN(2)/2))/(LN(2)/2)*BL45*BO45*VLOOKUP('Données projet'!$B$11,Paramètres!$A$1:$I$89,3,0)*0.475*44/12</f>
        <v>1.2896803411449613</v>
      </c>
      <c r="BS45" s="22">
        <f t="shared" si="9"/>
        <v>167.05320245441521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5.9</v>
      </c>
      <c r="BY45" s="12">
        <f>IF('Données projet'!$A$114&gt;35,BY44+BX45-CG44,IF(A45&lt;'Données projet'!$A$114,$BV$205^A45,IF(A45='Données projet'!$A$114,'Données projet'!$B$114,BY44+BX45-CG44)))</f>
        <v>137.80000000000013</v>
      </c>
      <c r="BZ45" s="13">
        <f>BY45*VLOOKUP('Données projet'!$B$12,Paramètres!$A$1:$I$89,3,0)*VLOOKUP('Données projet'!$B$12,Paramètres!$A$1:$I$89,5,0)</f>
        <v>111.7833600000001</v>
      </c>
      <c r="CA45" s="13">
        <f t="shared" si="39"/>
        <v>29.750764011091633</v>
      </c>
      <c r="CB45" s="20">
        <f t="shared" si="10"/>
        <v>246.50526598598478</v>
      </c>
      <c r="CC45" s="59">
        <f t="shared" si="11"/>
        <v>539.83859931931806</v>
      </c>
      <c r="CD45" s="59">
        <f ca="1">AVERAGE(OFFSET($CC$3,0,0,'Données projet'!$E$12+1,1))-AVERAGE(OFFSET($H$3,0,0,'Données projet'!$E$12+1,1))</f>
        <v>192.4785660463869</v>
      </c>
      <c r="CE45" s="59">
        <f t="shared" si="40"/>
        <v>165.11095806515362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0.63848767523047878</v>
      </c>
      <c r="CL45" s="21">
        <f>EXP(-LN(2)/25)*CL44+(1-EXP(-LN(2)/25))/(LN(2)/25)*Calculateur!CG45*Calculateur!CI45*VLOOKUP('Données projet'!$B$12,Paramètres!$A$1:$I$89,3,0)*0.475*44/12</f>
        <v>3.3849884623029269</v>
      </c>
      <c r="CM45" s="21">
        <f>EXP(-LN(2)/2)*CM44+(1-EXP(-LN(2)/2))/(LN(2)/2)*CG45*CJ45*VLOOKUP('Données projet'!$B$12,Paramètres!$A$1:$I$89,3,0)*0.475*44/12</f>
        <v>0.11441594359966016</v>
      </c>
      <c r="CN45" s="22">
        <f t="shared" si="12"/>
        <v>4.1378920811330655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7.5</v>
      </c>
      <c r="CT45" s="12">
        <f>IF('Données projet'!$A$140&gt;35,CT44+CS45-DB44,IF(A45&lt;'Données projet'!$A$140,$CQ$205^A45,IF(A45='Données projet'!$A$140,'Données projet'!$B$140,CT44+CS45-DB44)))</f>
        <v>132.00000000000003</v>
      </c>
      <c r="CU45" s="17">
        <f>CT45*VLOOKUP('Données projet'!$B$13,Paramètres!$A$1:$I$89,3,0)*VLOOKUP('Données projet'!$B$13,Paramètres!$A$1:$I$89,5,0)</f>
        <v>111.19680000000002</v>
      </c>
      <c r="CV45" s="13">
        <f t="shared" si="41"/>
        <v>29.612782154697133</v>
      </c>
      <c r="CW45" s="20">
        <f t="shared" si="13"/>
        <v>245.24335558609755</v>
      </c>
      <c r="CX45" s="59">
        <f t="shared" si="14"/>
        <v>538.57668891943081</v>
      </c>
      <c r="CY45" s="59">
        <f ca="1">AVERAGE(OFFSET($CX$3,0,0,'Données projet'!$E$13+1,1))-AVERAGE(OFFSET($H$3,0,0,'Données projet'!$E$13+1,1))</f>
        <v>247.67539667223065</v>
      </c>
      <c r="CZ45" s="59">
        <f t="shared" si="42"/>
        <v>174.54442616983778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1.0103541234416367</v>
      </c>
      <c r="DG45" s="21">
        <f>EXP(-LN(2)/25)*DG44+(1-EXP(-LN(2)/25))/(LN(2)/25)*Calculateur!DB45*Calculateur!DD45*VLOOKUP('Données projet'!$B$13,Paramètres!$A$1:$I$89,3,0)*0.475*44/12</f>
        <v>4.714022807238571</v>
      </c>
      <c r="DH45" s="21">
        <f>EXP(-LN(2)/2)*DH44+(1-EXP(-LN(2)/2))/(LN(2)/2)*DB45*DE45*VLOOKUP('Données projet'!$B$13,Paramètres!$A$1:$I$89,3,0)*0.475*44/12</f>
        <v>0.17990336407515242</v>
      </c>
      <c r="DI45" s="22">
        <f t="shared" si="15"/>
        <v>5.9042802947553605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5.3369963369963358</v>
      </c>
      <c r="DO45" s="12">
        <f>IF('Données projet'!$A$166&gt;35,DO44+DN45-DW44,IF(A45&lt;'Données projet'!$A$166,$DL$205^A45,IF(A45='Données projet'!$A$166,'Données projet'!$B$166,DO44+DN45-DW44)))</f>
        <v>151.74908424908421</v>
      </c>
      <c r="DP45" s="17">
        <f>DO45*VLOOKUP('Données projet'!$B$14,Paramètres!$A$1:$I$89,3,0)*VLOOKUP('Données projet'!$B$14,Paramètres!$A$1:$I$89,5,0)</f>
        <v>151.50628571428567</v>
      </c>
      <c r="DQ45" s="13">
        <f t="shared" si="43"/>
        <v>38.920695139599829</v>
      </c>
      <c r="DR45" s="20">
        <f t="shared" si="16"/>
        <v>331.66032498718386</v>
      </c>
      <c r="DS45" s="59">
        <f t="shared" si="17"/>
        <v>624.99365832051717</v>
      </c>
      <c r="DT45" s="59">
        <f ca="1">AVERAGE(OFFSET($DS$3,0,0,'Données projet'!$E$14+1,1))-AVERAGE(OFFSET($H$3,0,0,'Données projet'!$E$14+1,1))</f>
        <v>245.06609107649069</v>
      </c>
      <c r="DU45" s="59">
        <f t="shared" si="44"/>
        <v>156.24531945456499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2.6372976949420099</v>
      </c>
      <c r="EJ45" s="12">
        <f>IF('Données projet'!$A$192&gt;35,EJ44+EI45-ER44,IF(A45&lt;'Données projet'!$A$192,$EG$205^A45,IF(A45='Données projet'!$A$192,'Données projet'!$B$192,EJ44+EI45-ER44)))</f>
        <v>64.544268072561493</v>
      </c>
      <c r="EK45" s="17">
        <f>EJ45*VLOOKUP('Données projet'!$B$15,Paramètres!$A$1:$I$89,3,0)*VLOOKUP('Données projet'!$B$15,Paramètres!$A$1:$I$89,5,0)</f>
        <v>70.482340735237145</v>
      </c>
      <c r="EL45" s="13">
        <f t="shared" si="45"/>
        <v>19.793191862009976</v>
      </c>
      <c r="EM45" s="20">
        <f t="shared" si="19"/>
        <v>157.22988594020538</v>
      </c>
      <c r="EN45" s="59">
        <f t="shared" si="20"/>
        <v>450.56321927353872</v>
      </c>
      <c r="EO45" s="59">
        <f ca="1">AVERAGE(OFFSET($EN$3,0,0,'Données projet'!$E$15+1,1))-AVERAGE(OFFSET($H$3,0,0,'Données projet'!$E$15+1,1))</f>
        <v>173.63857221119594</v>
      </c>
      <c r="EP45" s="59">
        <f t="shared" si="46"/>
        <v>52.373745617370105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382.66035502958562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199.58634493109349</v>
      </c>
      <c r="T46" s="59">
        <f t="shared" si="34"/>
        <v>288.66487031729008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3.8628913334794155</v>
      </c>
      <c r="AA46" s="21">
        <f>EXP(-LN(2)/25)*AA45+(1-EXP(-LN(2)/25))/(LN(2)/25)*Calculateur!V46*Calculateur!X46*VLOOKUP('Données projet'!$B$9,Paramètres!$A$1:$I$89,3,0)*0.475*44/12</f>
        <v>11.945856109157857</v>
      </c>
      <c r="AB46" s="21">
        <f>EXP(-LN(2)/2)*AB45+(1-EXP(-LN(2)/2))/(LN(2)/2)*V46*Y46*VLOOKUP('Données projet'!$B$9,Paramètres!$A$1:$I$89,3,0)*0.475*44/12</f>
        <v>3.2592118818431916E-2</v>
      </c>
      <c r="AC46" s="22">
        <f t="shared" si="3"/>
        <v>15.841339561455705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21.4</v>
      </c>
      <c r="AI46" s="13">
        <f>IF('Données projet'!$A$62&gt;35,AI45+AH46-AQ45,IF(A46&lt;'Données projet'!$A$62,$AF$205^A46,IF(A46='Données projet'!$A$62,'Données projet'!$B$62,AI45+AH46-AQ45)))</f>
        <v>338.19999999999976</v>
      </c>
      <c r="AJ46" s="13">
        <f>AI46*VLOOKUP('Données projet'!$B$10,Paramètres!$A$1:$I$89,3,0)*VLOOKUP('Données projet'!$B$10,Paramètres!$A$1:$I$89,5,0)</f>
        <v>202.24359999999987</v>
      </c>
      <c r="AK46" s="13">
        <f t="shared" si="35"/>
        <v>50.236922511544151</v>
      </c>
      <c r="AL46" s="20">
        <f t="shared" si="4"/>
        <v>439.73691004093916</v>
      </c>
      <c r="AM46" s="59">
        <f t="shared" si="5"/>
        <v>733.07024337427242</v>
      </c>
      <c r="AN46" s="59">
        <f ca="1">AVERAGE(OFFSET($AM$3,0,0,'Données projet'!$E$10+1,1))-AVERAGE(OFFSET($H$3,0,0,'Données projet'!$E$10+1,1))</f>
        <v>395.40396173178527</v>
      </c>
      <c r="AO46" s="59">
        <f t="shared" si="36"/>
        <v>304.68075128568756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2.3179827463534002</v>
      </c>
      <c r="AV46" s="21">
        <f>EXP(-LN(2)/25)*AV45+(1-EXP(-LN(2)/25))/(LN(2)/25)*Calculateur!AQ46*Calculateur!AS46*VLOOKUP('Données projet'!$B$10,Paramètres!$A$1:$I$89,3,0)*0.475*44/12</f>
        <v>13.037643875469064</v>
      </c>
      <c r="AW46" s="21">
        <f>EXP(-LN(2)/2)*AW45+(1-EXP(-LN(2)/2))/(LN(2)/2)*AQ46*AT46*VLOOKUP('Données projet'!$B$10,Paramètres!$A$1:$I$89,3,0)*0.475*44/12</f>
        <v>0.28732868928666727</v>
      </c>
      <c r="AX46" s="21">
        <f t="shared" si="6"/>
        <v>15.64295531110913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36.10000000000008</v>
      </c>
      <c r="BE46" s="13">
        <f>BD46*VLOOKUP('Données projet'!$B$11,Paramètres!$A$1:$I$89,3,0)*VLOOKUP('Données projet'!$B$11,Paramètres!$A$1:$I$89,5,0)</f>
        <v>31.536960000000075</v>
      </c>
      <c r="BF46" s="13">
        <f t="shared" si="37"/>
        <v>9.725440120377133</v>
      </c>
      <c r="BG46" s="20">
        <f t="shared" si="7"/>
        <v>71.865346876323642</v>
      </c>
      <c r="BH46" s="59">
        <f t="shared" si="8"/>
        <v>365.19868020965697</v>
      </c>
      <c r="BI46" s="59">
        <f ca="1">AVERAGE(OFFSET($BH$3,0,0,'Données projet'!$E$11+1,1))-AVERAGE(OFFSET($H$3,0,0,'Données projet'!$E$11+1,1))</f>
        <v>249.21292089724221</v>
      </c>
      <c r="BJ46" s="59">
        <f t="shared" si="38"/>
        <v>640.80644476065254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87.175498164736936</v>
      </c>
      <c r="BQ46" s="21">
        <f>EXP(-LN(2)/25)*BQ45+(1-EXP(-LN(2)/25))/(LN(2)/25)*Calculateur!BL46*Calculateur!BN46*VLOOKUP('Données projet'!$B$11,Paramètres!$A$1:$I$89,3,0)*0.475*44/12</f>
        <v>74.743060243708229</v>
      </c>
      <c r="BR46" s="21">
        <f>EXP(-LN(2)/2)*BR45+(1-EXP(-LN(2)/2))/(LN(2)/2)*BL46*BO46*VLOOKUP('Données projet'!$B$11,Paramètres!$A$1:$I$89,3,0)*0.475*44/12</f>
        <v>0.91194171478658215</v>
      </c>
      <c r="BS46" s="22">
        <f t="shared" si="9"/>
        <v>162.83050012323176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5.9</v>
      </c>
      <c r="BY46" s="12">
        <f>IF('Données projet'!$A$114&gt;35,BY45+BX46-CG45,IF(A46&lt;'Données projet'!$A$114,$BV$205^A46,IF(A46='Données projet'!$A$114,'Données projet'!$B$114,BY45+BX46-CG45)))</f>
        <v>143.70000000000013</v>
      </c>
      <c r="BZ46" s="13">
        <f>BY46*VLOOKUP('Données projet'!$B$12,Paramètres!$A$1:$I$89,3,0)*VLOOKUP('Données projet'!$B$12,Paramètres!$A$1:$I$89,5,0)</f>
        <v>116.56944000000011</v>
      </c>
      <c r="CA46" s="13">
        <f t="shared" si="39"/>
        <v>30.873531869618326</v>
      </c>
      <c r="CB46" s="20">
        <f t="shared" si="10"/>
        <v>256.7965093395855</v>
      </c>
      <c r="CC46" s="59">
        <f t="shared" si="11"/>
        <v>550.12984267291881</v>
      </c>
      <c r="CD46" s="59">
        <f ca="1">AVERAGE(OFFSET($CC$3,0,0,'Données projet'!$E$12+1,1))-AVERAGE(OFFSET($H$3,0,0,'Données projet'!$E$12+1,1))</f>
        <v>192.4785660463869</v>
      </c>
      <c r="CE46" s="59">
        <f t="shared" si="40"/>
        <v>165.11095806515362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0.62596732135823707</v>
      </c>
      <c r="CL46" s="21">
        <f>EXP(-LN(2)/25)*CL45+(1-EXP(-LN(2)/25))/(LN(2)/25)*Calculateur!CG46*Calculateur!CI46*VLOOKUP('Données projet'!$B$12,Paramètres!$A$1:$I$89,3,0)*0.475*44/12</f>
        <v>3.2924257747924468</v>
      </c>
      <c r="CM46" s="21">
        <f>EXP(-LN(2)/2)*CM45+(1-EXP(-LN(2)/2))/(LN(2)/2)*CG46*CJ46*VLOOKUP('Données projet'!$B$12,Paramètres!$A$1:$I$89,3,0)*0.475*44/12</f>
        <v>8.0904289595177259E-2</v>
      </c>
      <c r="CN46" s="22">
        <f t="shared" si="12"/>
        <v>3.9992973857458614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7.5</v>
      </c>
      <c r="CT46" s="12">
        <f>IF('Données projet'!$A$140&gt;35,CT45+CS46-DB45,IF(A46&lt;'Données projet'!$A$140,$CQ$205^A46,IF(A46='Données projet'!$A$140,'Données projet'!$B$140,CT45+CS46-DB45)))</f>
        <v>139.50000000000003</v>
      </c>
      <c r="CU46" s="17">
        <f>CT46*VLOOKUP('Données projet'!$B$13,Paramètres!$A$1:$I$89,3,0)*VLOOKUP('Données projet'!$B$13,Paramètres!$A$1:$I$89,5,0)</f>
        <v>117.51480000000005</v>
      </c>
      <c r="CV46" s="13">
        <f t="shared" si="41"/>
        <v>31.094663118298502</v>
      </c>
      <c r="CW46" s="20">
        <f t="shared" si="13"/>
        <v>258.82814826436999</v>
      </c>
      <c r="CX46" s="59">
        <f t="shared" si="14"/>
        <v>552.1614815977033</v>
      </c>
      <c r="CY46" s="59">
        <f ca="1">AVERAGE(OFFSET($CX$3,0,0,'Données projet'!$E$13+1,1))-AVERAGE(OFFSET($H$3,0,0,'Données projet'!$E$13+1,1))</f>
        <v>247.67539667223065</v>
      </c>
      <c r="CZ46" s="59">
        <f t="shared" si="42"/>
        <v>174.54442616983778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0.99054169533611136</v>
      </c>
      <c r="DG46" s="21">
        <f>EXP(-LN(2)/25)*DG45+(1-EXP(-LN(2)/25))/(LN(2)/25)*Calculateur!DB46*Calculateur!DD46*VLOOKUP('Données projet'!$B$13,Paramètres!$A$1:$I$89,3,0)*0.475*44/12</f>
        <v>4.585117605674947</v>
      </c>
      <c r="DH46" s="21">
        <f>EXP(-LN(2)/2)*DH45+(1-EXP(-LN(2)/2))/(LN(2)/2)*DB46*DE46*VLOOKUP('Données projet'!$B$13,Paramètres!$A$1:$I$89,3,0)*0.475*44/12</f>
        <v>0.1272108886958126</v>
      </c>
      <c r="DI46" s="22">
        <f t="shared" si="15"/>
        <v>5.7028701897068714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5.3369963369963358</v>
      </c>
      <c r="DO46" s="12">
        <f>IF('Données projet'!$A$166&gt;35,DO45+DN46-DW45,IF(A46&lt;'Données projet'!$A$166,$DL$205^A46,IF(A46='Données projet'!$A$166,'Données projet'!$B$166,DO45+DN46-DW45)))</f>
        <v>157.08608058608053</v>
      </c>
      <c r="DP46" s="17">
        <f>DO46*VLOOKUP('Données projet'!$B$14,Paramètres!$A$1:$I$89,3,0)*VLOOKUP('Données projet'!$B$14,Paramètres!$A$1:$I$89,5,0)</f>
        <v>156.8347428571428</v>
      </c>
      <c r="DQ46" s="13">
        <f t="shared" si="43"/>
        <v>40.127754712239053</v>
      </c>
      <c r="DR46" s="20">
        <f t="shared" si="16"/>
        <v>343.04301660000675</v>
      </c>
      <c r="DS46" s="59">
        <f t="shared" si="17"/>
        <v>636.37634993334007</v>
      </c>
      <c r="DT46" s="59">
        <f ca="1">AVERAGE(OFFSET($DS$3,0,0,'Données projet'!$E$14+1,1))-AVERAGE(OFFSET($H$3,0,0,'Données projet'!$E$14+1,1))</f>
        <v>245.06609107649069</v>
      </c>
      <c r="DU46" s="59">
        <f t="shared" si="44"/>
        <v>156.24531945456499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2.6372976949420099</v>
      </c>
      <c r="EJ46" s="12">
        <f>IF('Données projet'!$A$192&gt;35,EJ45+EI46-ER45,IF(A46&lt;'Données projet'!$A$192,$EG$205^A46,IF(A46='Données projet'!$A$192,'Données projet'!$B$192,EJ45+EI46-ER45)))</f>
        <v>67.1815657675035</v>
      </c>
      <c r="EK46" s="17">
        <f>EJ46*VLOOKUP('Données projet'!$B$15,Paramètres!$A$1:$I$89,3,0)*VLOOKUP('Données projet'!$B$15,Paramètres!$A$1:$I$89,5,0)</f>
        <v>73.362269818113816</v>
      </c>
      <c r="EL46" s="13">
        <f t="shared" si="45"/>
        <v>20.506134212361626</v>
      </c>
      <c r="EM46" s="20">
        <f t="shared" si="19"/>
        <v>163.48747035307807</v>
      </c>
      <c r="EN46" s="59">
        <f t="shared" si="20"/>
        <v>456.82080368641141</v>
      </c>
      <c r="EO46" s="59">
        <f ca="1">AVERAGE(OFFSET($EN$3,0,0,'Données projet'!$E$15+1,1))-AVERAGE(OFFSET($H$3,0,0,'Données projet'!$E$15+1,1))</f>
        <v>173.63857221119594</v>
      </c>
      <c r="EP46" s="59">
        <f t="shared" si="46"/>
        <v>52.373745617370105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397.57633136094654</v>
      </c>
      <c r="O47" s="13">
        <f>N47*VLOOKUP('Données projet'!$B$9,Paramètres!$A$1:$I$89,3,0)*VLOOKUP('Données projet'!$B$9,Paramètres!$A$1:$I$89,5,0)</f>
        <v>237.75064615384605</v>
      </c>
      <c r="P47" s="13">
        <f t="shared" si="33"/>
        <v>57.955306134890677</v>
      </c>
      <c r="Q47" s="20">
        <f t="shared" si="53"/>
        <v>515.02120023621649</v>
      </c>
      <c r="R47" s="59">
        <f t="shared" si="0"/>
        <v>808.35453356954986</v>
      </c>
      <c r="S47" s="59">
        <f ca="1">AVERAGE(OFFSET($R$3,0,0,'Données projet'!$E$9+1,1))-AVERAGE(OFFSET($H$3,0,0,'Données projet'!$E$9+1,1))</f>
        <v>199.58634493109349</v>
      </c>
      <c r="T47" s="59">
        <f t="shared" si="34"/>
        <v>288.66487031729008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3.7871423905609491</v>
      </c>
      <c r="AA47" s="21">
        <f>EXP(-LN(2)/25)*AA46+(1-EXP(-LN(2)/25))/(LN(2)/25)*Calculateur!V47*Calculateur!X47*VLOOKUP('Données projet'!$B$9,Paramètres!$A$1:$I$89,3,0)*0.475*44/12</f>
        <v>11.619196045647666</v>
      </c>
      <c r="AB47" s="21">
        <f>EXP(-LN(2)/2)*AB46+(1-EXP(-LN(2)/2))/(LN(2)/2)*V47*Y47*VLOOKUP('Données projet'!$B$9,Paramètres!$A$1:$I$89,3,0)*0.475*44/12</f>
        <v>2.3046108229750895E-2</v>
      </c>
      <c r="AC47" s="22">
        <f t="shared" si="3"/>
        <v>15.429384544438365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21.4</v>
      </c>
      <c r="AI47" s="13">
        <f>IF('Données projet'!$A$62&gt;35,AI46+AH47-AQ46,IF(A47&lt;'Données projet'!$A$62,$AF$205^A47,IF(A47='Données projet'!$A$62,'Données projet'!$B$62,AI46+AH47-AQ46)))</f>
        <v>359.59999999999974</v>
      </c>
      <c r="AJ47" s="13">
        <f>AI47*VLOOKUP('Données projet'!$B$10,Paramètres!$A$1:$I$89,3,0)*VLOOKUP('Données projet'!$B$10,Paramètres!$A$1:$I$89,5,0)</f>
        <v>215.04079999999985</v>
      </c>
      <c r="AK47" s="13">
        <f t="shared" si="35"/>
        <v>53.035602019604312</v>
      </c>
      <c r="AL47" s="20">
        <f t="shared" si="4"/>
        <v>466.89973351747727</v>
      </c>
      <c r="AM47" s="59">
        <f t="shared" si="5"/>
        <v>760.23306685081059</v>
      </c>
      <c r="AN47" s="59">
        <f ca="1">AVERAGE(OFFSET($AM$3,0,0,'Données projet'!$E$10+1,1))-AVERAGE(OFFSET($H$3,0,0,'Données projet'!$E$10+1,1))</f>
        <v>395.40396173178527</v>
      </c>
      <c r="AO47" s="59">
        <f t="shared" si="36"/>
        <v>304.68075128568756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2.272528518527281</v>
      </c>
      <c r="AV47" s="21">
        <f>EXP(-LN(2)/25)*AV46+(1-EXP(-LN(2)/25))/(LN(2)/25)*Calculateur!AQ47*Calculateur!AS47*VLOOKUP('Données projet'!$B$10,Paramètres!$A$1:$I$89,3,0)*0.475*44/12</f>
        <v>12.681128818074468</v>
      </c>
      <c r="AW47" s="21">
        <f>EXP(-LN(2)/2)*AW46+(1-EXP(-LN(2)/2))/(LN(2)/2)*AQ47*AT47*VLOOKUP('Données projet'!$B$10,Paramètres!$A$1:$I$89,3,0)*0.475*44/12</f>
        <v>0.20317206462404494</v>
      </c>
      <c r="AX47" s="21">
        <f t="shared" si="6"/>
        <v>15.156829401225794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36.10000000000008</v>
      </c>
      <c r="BE47" s="13">
        <f>BD47*VLOOKUP('Données projet'!$B$11,Paramètres!$A$1:$I$89,3,0)*VLOOKUP('Données projet'!$B$11,Paramètres!$A$1:$I$89,5,0)</f>
        <v>31.536960000000075</v>
      </c>
      <c r="BF47" s="13">
        <f t="shared" si="37"/>
        <v>9.725440120377133</v>
      </c>
      <c r="BG47" s="20">
        <f t="shared" si="7"/>
        <v>71.865346876323642</v>
      </c>
      <c r="BH47" s="59">
        <f t="shared" si="8"/>
        <v>365.19868020965697</v>
      </c>
      <c r="BI47" s="59">
        <f ca="1">AVERAGE(OFFSET($BH$3,0,0,'Données projet'!$E$11+1,1))-AVERAGE(OFFSET($H$3,0,0,'Données projet'!$E$11+1,1))</f>
        <v>249.21292089724221</v>
      </c>
      <c r="BJ47" s="59">
        <f t="shared" si="38"/>
        <v>640.80644476065254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85.466039817530046</v>
      </c>
      <c r="BQ47" s="21">
        <f>EXP(-LN(2)/25)*BQ46+(1-EXP(-LN(2)/25))/(LN(2)/25)*Calculateur!BL47*Calculateur!BN47*VLOOKUP('Données projet'!$B$11,Paramètres!$A$1:$I$89,3,0)*0.475*44/12</f>
        <v>72.699207330777313</v>
      </c>
      <c r="BR47" s="21">
        <f>EXP(-LN(2)/2)*BR46+(1-EXP(-LN(2)/2))/(LN(2)/2)*BL47*BO47*VLOOKUP('Données projet'!$B$11,Paramètres!$A$1:$I$89,3,0)*0.475*44/12</f>
        <v>0.64484017057248066</v>
      </c>
      <c r="BS47" s="22">
        <f t="shared" si="9"/>
        <v>158.81008731887982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5.9</v>
      </c>
      <c r="BY47" s="12">
        <f>IF('Données projet'!$A$114&gt;35,BY46+BX47-CG46,IF(A47&lt;'Données projet'!$A$114,$BV$205^A47,IF(A47='Données projet'!$A$114,'Données projet'!$B$114,BY46+BX47-CG46)))</f>
        <v>149.60000000000014</v>
      </c>
      <c r="BZ47" s="13">
        <f>BY47*VLOOKUP('Données projet'!$B$12,Paramètres!$A$1:$I$89,3,0)*VLOOKUP('Données projet'!$B$12,Paramètres!$A$1:$I$89,5,0)</f>
        <v>121.35552000000011</v>
      </c>
      <c r="CA47" s="13">
        <f t="shared" si="39"/>
        <v>31.990945095046623</v>
      </c>
      <c r="CB47" s="20">
        <f t="shared" si="10"/>
        <v>267.07842670720635</v>
      </c>
      <c r="CC47" s="59">
        <f t="shared" si="11"/>
        <v>560.41176004053966</v>
      </c>
      <c r="CD47" s="59">
        <f ca="1">AVERAGE(OFFSET($CC$3,0,0,'Données projet'!$E$12+1,1))-AVERAGE(OFFSET($H$3,0,0,'Données projet'!$E$12+1,1))</f>
        <v>192.4785660463869</v>
      </c>
      <c r="CE47" s="59">
        <f t="shared" si="40"/>
        <v>165.11095806515362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0.61369248398876819</v>
      </c>
      <c r="CL47" s="21">
        <f>EXP(-LN(2)/25)*CL46+(1-EXP(-LN(2)/25))/(LN(2)/25)*Calculateur!CG47*Calculateur!CI47*VLOOKUP('Données projet'!$B$12,Paramètres!$A$1:$I$89,3,0)*0.475*44/12</f>
        <v>3.2023942188396006</v>
      </c>
      <c r="CM47" s="21">
        <f>EXP(-LN(2)/2)*CM46+(1-EXP(-LN(2)/2))/(LN(2)/2)*CG47*CJ47*VLOOKUP('Données projet'!$B$12,Paramètres!$A$1:$I$89,3,0)*0.475*44/12</f>
        <v>5.720797179983008E-2</v>
      </c>
      <c r="CN47" s="22">
        <f t="shared" si="12"/>
        <v>3.8732946746281987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7.5</v>
      </c>
      <c r="CT47" s="12">
        <f>IF('Données projet'!$A$140&gt;35,CT46+CS47-DB46,IF(A47&lt;'Données projet'!$A$140,$CQ$205^A47,IF(A47='Données projet'!$A$140,'Données projet'!$B$140,CT46+CS47-DB46)))</f>
        <v>147.00000000000003</v>
      </c>
      <c r="CU47" s="17">
        <f>CT47*VLOOKUP('Données projet'!$B$13,Paramètres!$A$1:$I$89,3,0)*VLOOKUP('Données projet'!$B$13,Paramètres!$A$1:$I$89,5,0)</f>
        <v>123.83280000000003</v>
      </c>
      <c r="CV47" s="13">
        <f t="shared" si="41"/>
        <v>32.567294628684579</v>
      </c>
      <c r="CW47" s="20">
        <f t="shared" si="13"/>
        <v>272.39683147829231</v>
      </c>
      <c r="CX47" s="59">
        <f t="shared" si="14"/>
        <v>565.73016481162563</v>
      </c>
      <c r="CY47" s="59">
        <f ca="1">AVERAGE(OFFSET($CX$3,0,0,'Données projet'!$E$13+1,1))-AVERAGE(OFFSET($H$3,0,0,'Données projet'!$E$13+1,1))</f>
        <v>247.67539667223065</v>
      </c>
      <c r="CZ47" s="59">
        <f t="shared" si="42"/>
        <v>174.54442616983778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0.97111777686134748</v>
      </c>
      <c r="DG47" s="21">
        <f>EXP(-LN(2)/25)*DG46+(1-EXP(-LN(2)/25))/(LN(2)/25)*Calculateur!DB47*Calculateur!DD47*VLOOKUP('Données projet'!$B$13,Paramètres!$A$1:$I$89,3,0)*0.475*44/12</f>
        <v>4.4597373236269098</v>
      </c>
      <c r="DH47" s="21">
        <f>EXP(-LN(2)/2)*DH46+(1-EXP(-LN(2)/2))/(LN(2)/2)*DB47*DE47*VLOOKUP('Données projet'!$B$13,Paramètres!$A$1:$I$89,3,0)*0.475*44/12</f>
        <v>8.9951682037576211E-2</v>
      </c>
      <c r="DI47" s="22">
        <f t="shared" si="15"/>
        <v>5.5208067825258329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162.42307692307691</v>
      </c>
      <c r="DM47" s="12">
        <f>VLOOKUP(A47,'Données projet'!$A$165:$I$185,9,0)</f>
        <v>5.3369963369963358</v>
      </c>
      <c r="DN47" s="12">
        <f t="array" ref="DN47">INDEX(DM:DM,MIN(IF(ISNUMBER(DM47:DM243),ROW(DM47:DM243),"")))</f>
        <v>5.3369963369963358</v>
      </c>
      <c r="DO47" s="12">
        <f>IF('Données projet'!$A$166&gt;35,DO46+DN47-DW46,IF(A47&lt;'Données projet'!$A$166,$DL$205^A47,IF(A47='Données projet'!$A$166,'Données projet'!$B$166,DO46+DN47-DW46)))</f>
        <v>162.42307692307685</v>
      </c>
      <c r="DP47" s="17">
        <f>DO47*VLOOKUP('Données projet'!$B$14,Paramètres!$A$1:$I$89,3,0)*VLOOKUP('Données projet'!$B$14,Paramètres!$A$1:$I$89,5,0)</f>
        <v>162.16319999999993</v>
      </c>
      <c r="DQ47" s="13">
        <f t="shared" si="43"/>
        <v>41.330049199441142</v>
      </c>
      <c r="DR47" s="20">
        <f t="shared" si="16"/>
        <v>354.41740902235983</v>
      </c>
      <c r="DS47" s="59">
        <f t="shared" si="17"/>
        <v>647.75074235569309</v>
      </c>
      <c r="DT47" s="59">
        <f ca="1">AVERAGE(OFFSET($DS$3,0,0,'Données projet'!$E$14+1,1))-AVERAGE(OFFSET($H$3,0,0,'Données projet'!$E$14+1,1))</f>
        <v>245.06609107649069</v>
      </c>
      <c r="DU47" s="59">
        <f t="shared" si="44"/>
        <v>156.24531945456499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64.416666666666657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2.6372976949420099</v>
      </c>
      <c r="EJ47" s="12">
        <f>IF('Données projet'!$A$192&gt;35,EJ46+EI47-ER46,IF(A47&lt;'Données projet'!$A$192,$EG$205^A47,IF(A47='Données projet'!$A$192,'Données projet'!$B$192,EJ46+EI47-ER46)))</f>
        <v>69.818863462445506</v>
      </c>
      <c r="EK47" s="17">
        <f>EJ47*VLOOKUP('Données projet'!$B$15,Paramètres!$A$1:$I$89,3,0)*VLOOKUP('Données projet'!$B$15,Paramètres!$A$1:$I$89,5,0)</f>
        <v>76.242198900990502</v>
      </c>
      <c r="EL47" s="13">
        <f t="shared" si="45"/>
        <v>21.215825372387421</v>
      </c>
      <c r="EM47" s="20">
        <f t="shared" si="19"/>
        <v>169.73939227613323</v>
      </c>
      <c r="EN47" s="59">
        <f t="shared" si="20"/>
        <v>463.07272560946654</v>
      </c>
      <c r="EO47" s="59">
        <f ca="1">AVERAGE(OFFSET($EN$3,0,0,'Données projet'!$E$15+1,1))-AVERAGE(OFFSET($H$3,0,0,'Données projet'!$E$15+1,1))</f>
        <v>173.63857221119594</v>
      </c>
      <c r="EP47" s="59">
        <f t="shared" si="46"/>
        <v>52.373745617370105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412.49230769230746</v>
      </c>
      <c r="O48" s="13">
        <f>N48*VLOOKUP('Données projet'!$B$9,Paramètres!$A$1:$I$89,3,0)*VLOOKUP('Données projet'!$B$9,Paramètres!$A$1:$I$89,5,0)</f>
        <v>246.67039999999986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199.58634493109349</v>
      </c>
      <c r="T48" s="59">
        <f t="shared" si="34"/>
        <v>288.66487031729008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3.7128788382108207</v>
      </c>
      <c r="AA48" s="21">
        <f>EXP(-LN(2)/25)*AA47+(1-EXP(-LN(2)/25))/(LN(2)/25)*Calculateur!V48*Calculateur!X48*VLOOKUP('Données projet'!$B$9,Paramètres!$A$1:$I$89,3,0)*0.475*44/12</f>
        <v>11.301468518752467</v>
      </c>
      <c r="AB48" s="21">
        <f>EXP(-LN(2)/2)*AB47+(1-EXP(-LN(2)/2))/(LN(2)/2)*V48*Y48*VLOOKUP('Données projet'!$B$9,Paramètres!$A$1:$I$89,3,0)*0.475*44/12</f>
        <v>1.6296059409215958E-2</v>
      </c>
      <c r="AC48" s="22">
        <f t="shared" si="3"/>
        <v>15.030643416372504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21.4</v>
      </c>
      <c r="AI48" s="13">
        <f>IF('Données projet'!$A$62&gt;35,AI47+AH48-AQ47,IF(A48&lt;'Données projet'!$A$62,$AF$205^A48,IF(A48='Données projet'!$A$62,'Données projet'!$B$62,AI47+AH48-AQ47)))</f>
        <v>380.99999999999972</v>
      </c>
      <c r="AJ48" s="13">
        <f>AI48*VLOOKUP('Données projet'!$B$10,Paramètres!$A$1:$I$89,3,0)*VLOOKUP('Données projet'!$B$10,Paramètres!$A$1:$I$89,5,0)</f>
        <v>227.83799999999985</v>
      </c>
      <c r="AK48" s="13">
        <f t="shared" si="35"/>
        <v>55.814949938288564</v>
      </c>
      <c r="AL48" s="20">
        <f t="shared" si="4"/>
        <v>494.02888780918562</v>
      </c>
      <c r="AM48" s="59">
        <f t="shared" si="5"/>
        <v>787.36222114251893</v>
      </c>
      <c r="AN48" s="59">
        <f ca="1">AVERAGE(OFFSET($AM$3,0,0,'Données projet'!$E$10+1,1))-AVERAGE(OFFSET($H$3,0,0,'Données projet'!$E$10+1,1))</f>
        <v>395.40396173178527</v>
      </c>
      <c r="AO48" s="59">
        <f t="shared" si="36"/>
        <v>304.68075128568756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2.2279656203844906</v>
      </c>
      <c r="AV48" s="21">
        <f>EXP(-LN(2)/25)*AV47+(1-EXP(-LN(2)/25))/(LN(2)/25)*Calculateur!AQ48*Calculateur!AS48*VLOOKUP('Données projet'!$B$10,Paramètres!$A$1:$I$89,3,0)*0.475*44/12</f>
        <v>12.334362683672641</v>
      </c>
      <c r="AW48" s="21">
        <f>EXP(-LN(2)/2)*AW47+(1-EXP(-LN(2)/2))/(LN(2)/2)*AQ48*AT48*VLOOKUP('Données projet'!$B$10,Paramètres!$A$1:$I$89,3,0)*0.475*44/12</f>
        <v>0.14366434464333364</v>
      </c>
      <c r="AX48" s="21">
        <f t="shared" si="6"/>
        <v>14.705992648700466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36.10000000000008</v>
      </c>
      <c r="BE48" s="13">
        <f>BD48*VLOOKUP('Données projet'!$B$11,Paramètres!$A$1:$I$89,3,0)*VLOOKUP('Données projet'!$B$11,Paramètres!$A$1:$I$89,5,0)</f>
        <v>31.536960000000075</v>
      </c>
      <c r="BF48" s="13">
        <f t="shared" si="37"/>
        <v>9.725440120377133</v>
      </c>
      <c r="BG48" s="20">
        <f t="shared" si="7"/>
        <v>71.865346876323642</v>
      </c>
      <c r="BH48" s="59">
        <f t="shared" si="8"/>
        <v>365.19868020965697</v>
      </c>
      <c r="BI48" s="59">
        <f ca="1">AVERAGE(OFFSET($BH$3,0,0,'Données projet'!$E$11+1,1))-AVERAGE(OFFSET($H$3,0,0,'Données projet'!$E$11+1,1))</f>
        <v>249.21292089724221</v>
      </c>
      <c r="BJ48" s="59">
        <f t="shared" si="38"/>
        <v>640.80644476065254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83.790102905845245</v>
      </c>
      <c r="BQ48" s="21">
        <f>EXP(-LN(2)/25)*BQ47+(1-EXP(-LN(2)/25))/(LN(2)/25)*Calculateur!BL48*Calculateur!BN48*VLOOKUP('Données projet'!$B$11,Paramètres!$A$1:$I$89,3,0)*0.475*44/12</f>
        <v>70.711243683232055</v>
      </c>
      <c r="BR48" s="21">
        <f>EXP(-LN(2)/2)*BR47+(1-EXP(-LN(2)/2))/(LN(2)/2)*BL48*BO48*VLOOKUP('Données projet'!$B$11,Paramètres!$A$1:$I$89,3,0)*0.475*44/12</f>
        <v>0.45597085739329107</v>
      </c>
      <c r="BS48" s="22">
        <f t="shared" si="9"/>
        <v>154.95731744647057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5.9</v>
      </c>
      <c r="BY48" s="12">
        <f>IF('Données projet'!$A$114&gt;35,BY47+BX48-CG47,IF(A48&lt;'Données projet'!$A$114,$BV$205^A48,IF(A48='Données projet'!$A$114,'Données projet'!$B$114,BY47+BX48-CG47)))</f>
        <v>155.50000000000014</v>
      </c>
      <c r="BZ48" s="13">
        <f>BY48*VLOOKUP('Données projet'!$B$12,Paramètres!$A$1:$I$89,3,0)*VLOOKUP('Données projet'!$B$12,Paramètres!$A$1:$I$89,5,0)</f>
        <v>126.14160000000011</v>
      </c>
      <c r="CA48" s="13">
        <f t="shared" si="39"/>
        <v>33.103239031264849</v>
      </c>
      <c r="CB48" s="20">
        <f t="shared" si="10"/>
        <v>277.35142797945315</v>
      </c>
      <c r="CC48" s="59">
        <f t="shared" si="11"/>
        <v>570.68476131278646</v>
      </c>
      <c r="CD48" s="59">
        <f ca="1">AVERAGE(OFFSET($CC$3,0,0,'Données projet'!$E$12+1,1))-AVERAGE(OFFSET($H$3,0,0,'Données projet'!$E$12+1,1))</f>
        <v>192.4785660463869</v>
      </c>
      <c r="CE48" s="59">
        <f t="shared" si="40"/>
        <v>165.11095806515362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0.60165834869320312</v>
      </c>
      <c r="CL48" s="21">
        <f>EXP(-LN(2)/25)*CL47+(1-EXP(-LN(2)/25))/(LN(2)/25)*Calculateur!CG48*Calculateur!CI48*VLOOKUP('Données projet'!$B$12,Paramètres!$A$1:$I$89,3,0)*0.475*44/12</f>
        <v>3.1148245805188388</v>
      </c>
      <c r="CM48" s="21">
        <f>EXP(-LN(2)/2)*CM47+(1-EXP(-LN(2)/2))/(LN(2)/2)*CG48*CJ48*VLOOKUP('Données projet'!$B$12,Paramètres!$A$1:$I$89,3,0)*0.475*44/12</f>
        <v>4.0452144797588629E-2</v>
      </c>
      <c r="CN48" s="22">
        <f t="shared" si="12"/>
        <v>3.7569350740096308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7.5</v>
      </c>
      <c r="CT48" s="12">
        <f>IF('Données projet'!$A$140&gt;35,CT47+CS48-DB47,IF(A48&lt;'Données projet'!$A$140,$CQ$205^A48,IF(A48='Données projet'!$A$140,'Données projet'!$B$140,CT47+CS48-DB47)))</f>
        <v>154.50000000000003</v>
      </c>
      <c r="CU48" s="17">
        <f>CT48*VLOOKUP('Données projet'!$B$13,Paramètres!$A$1:$I$89,3,0)*VLOOKUP('Données projet'!$B$13,Paramètres!$A$1:$I$89,5,0)</f>
        <v>130.15080000000003</v>
      </c>
      <c r="CV48" s="13">
        <f t="shared" si="41"/>
        <v>34.031202433281528</v>
      </c>
      <c r="CW48" s="20">
        <f t="shared" si="13"/>
        <v>285.95032090463206</v>
      </c>
      <c r="CX48" s="59">
        <f t="shared" si="14"/>
        <v>579.28365423796538</v>
      </c>
      <c r="CY48" s="59">
        <f ca="1">AVERAGE(OFFSET($CX$3,0,0,'Données projet'!$E$13+1,1))-AVERAGE(OFFSET($H$3,0,0,'Données projet'!$E$13+1,1))</f>
        <v>247.67539667223065</v>
      </c>
      <c r="CZ48" s="59">
        <f t="shared" si="42"/>
        <v>174.54442616983778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0.95207474958045324</v>
      </c>
      <c r="DG48" s="21">
        <f>EXP(-LN(2)/25)*DG47+(1-EXP(-LN(2)/25))/(LN(2)/25)*Calculateur!DB48*Calculateur!DD48*VLOOKUP('Données projet'!$B$13,Paramètres!$A$1:$I$89,3,0)*0.475*44/12</f>
        <v>4.3377855719849387</v>
      </c>
      <c r="DH48" s="21">
        <f>EXP(-LN(2)/2)*DH47+(1-EXP(-LN(2)/2))/(LN(2)/2)*DB48*DE48*VLOOKUP('Données projet'!$B$13,Paramètres!$A$1:$I$89,3,0)*0.475*44/12</f>
        <v>6.3605444347906298E-2</v>
      </c>
      <c r="DI48" s="22">
        <f t="shared" si="15"/>
        <v>5.353465765913298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6.8260073260073284</v>
      </c>
      <c r="DO48" s="12">
        <f>IF('Données projet'!$A$166&gt;35,DO47+DN48-DW47,IF(A48&lt;'Données projet'!$A$166,$DL$205^A48,IF(A48='Données projet'!$A$166,'Données projet'!$B$166,DO47+DN48-DW47)))</f>
        <v>104.83241758241752</v>
      </c>
      <c r="DP48" s="17">
        <f>DO48*VLOOKUP('Données projet'!$B$14,Paramètres!$A$1:$I$89,3,0)*VLOOKUP('Données projet'!$B$14,Paramètres!$A$1:$I$89,5,0)</f>
        <v>104.66468571428567</v>
      </c>
      <c r="DQ48" s="13">
        <f t="shared" si="43"/>
        <v>28.070328709305645</v>
      </c>
      <c r="DR48" s="20">
        <f t="shared" si="16"/>
        <v>231.18015012108819</v>
      </c>
      <c r="DS48" s="59">
        <f t="shared" si="17"/>
        <v>524.51348345442148</v>
      </c>
      <c r="DT48" s="59">
        <f ca="1">AVERAGE(OFFSET($DS$3,0,0,'Données projet'!$E$14+1,1))-AVERAGE(OFFSET($H$3,0,0,'Données projet'!$E$14+1,1))</f>
        <v>245.06609107649069</v>
      </c>
      <c r="DU48" s="59">
        <f t="shared" si="44"/>
        <v>156.24531945456499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2.6372976949420099</v>
      </c>
      <c r="EJ48" s="12">
        <f>IF('Données projet'!$A$192&gt;35,EJ47+EI48-ER47,IF(A48&lt;'Données projet'!$A$192,$EG$205^A48,IF(A48='Données projet'!$A$192,'Données projet'!$B$192,EJ47+EI48-ER47)))</f>
        <v>72.456161157387513</v>
      </c>
      <c r="EK48" s="17">
        <f>EJ48*VLOOKUP('Données projet'!$B$15,Paramètres!$A$1:$I$89,3,0)*VLOOKUP('Données projet'!$B$15,Paramètres!$A$1:$I$89,5,0)</f>
        <v>79.122127983867159</v>
      </c>
      <c r="EL48" s="13">
        <f t="shared" si="45"/>
        <v>21.922402210892315</v>
      </c>
      <c r="EM48" s="20">
        <f t="shared" si="19"/>
        <v>175.98589008920609</v>
      </c>
      <c r="EN48" s="59">
        <f t="shared" si="20"/>
        <v>469.31922342253938</v>
      </c>
      <c r="EO48" s="59">
        <f ca="1">AVERAGE(OFFSET($EN$3,0,0,'Données projet'!$E$15+1,1))-AVERAGE(OFFSET($H$3,0,0,'Données projet'!$E$15+1,1))</f>
        <v>173.63857221119594</v>
      </c>
      <c r="EP48" s="59">
        <f t="shared" si="46"/>
        <v>52.373745617370105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199.58634493109349</v>
      </c>
      <c r="T49" s="59">
        <f t="shared" si="34"/>
        <v>288.66487031729008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3.640071548825984</v>
      </c>
      <c r="AA49" s="21">
        <f>EXP(-LN(2)/25)*AA48+(1-EXP(-LN(2)/25))/(LN(2)/25)*Calculateur!V49*Calculateur!X49*VLOOKUP('Données projet'!$B$9,Paramètres!$A$1:$I$89,3,0)*0.475*44/12</f>
        <v>10.992429267788781</v>
      </c>
      <c r="AB49" s="21">
        <f>EXP(-LN(2)/2)*AB48+(1-EXP(-LN(2)/2))/(LN(2)/2)*V49*Y49*VLOOKUP('Données projet'!$B$9,Paramètres!$A$1:$I$89,3,0)*0.475*44/12</f>
        <v>1.1523054114875447E-2</v>
      </c>
      <c r="AC49" s="22">
        <f t="shared" si="3"/>
        <v>14.64402387072964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21.4</v>
      </c>
      <c r="AI49" s="13">
        <f>IF('Données projet'!$A$62&gt;35,AI48+AH49-AQ48,IF(A49&lt;'Données projet'!$A$62,$AF$205^A49,IF(A49='Données projet'!$A$62,'Données projet'!$B$62,AI48+AH49-AQ48)))</f>
        <v>402.39999999999969</v>
      </c>
      <c r="AJ49" s="13">
        <f>AI49*VLOOKUP('Données projet'!$B$10,Paramètres!$A$1:$I$89,3,0)*VLOOKUP('Données projet'!$B$10,Paramètres!$A$1:$I$89,5,0)</f>
        <v>240.63519999999983</v>
      </c>
      <c r="AK49" s="13">
        <f t="shared" si="35"/>
        <v>58.576175825686029</v>
      </c>
      <c r="AL49" s="20">
        <f t="shared" si="4"/>
        <v>521.12647956306955</v>
      </c>
      <c r="AM49" s="59">
        <f t="shared" si="5"/>
        <v>814.45981289640281</v>
      </c>
      <c r="AN49" s="59">
        <f ca="1">AVERAGE(OFFSET($AM$3,0,0,'Données projet'!$E$10+1,1))-AVERAGE(OFFSET($H$3,0,0,'Données projet'!$E$10+1,1))</f>
        <v>395.40396173178527</v>
      </c>
      <c r="AO49" s="59">
        <f t="shared" si="36"/>
        <v>304.68075128568756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2.1842765734935967</v>
      </c>
      <c r="AV49" s="21">
        <f>EXP(-LN(2)/25)*AV48+(1-EXP(-LN(2)/25))/(LN(2)/25)*Calculateur!AQ49*Calculateur!AS49*VLOOKUP('Données projet'!$B$10,Paramètres!$A$1:$I$89,3,0)*0.475*44/12</f>
        <v>11.99707888745167</v>
      </c>
      <c r="AW49" s="21">
        <f>EXP(-LN(2)/2)*AW48+(1-EXP(-LN(2)/2))/(LN(2)/2)*AQ49*AT49*VLOOKUP('Données projet'!$B$10,Paramètres!$A$1:$I$89,3,0)*0.475*44/12</f>
        <v>0.10158603231202247</v>
      </c>
      <c r="AX49" s="21">
        <f t="shared" si="6"/>
        <v>14.282941493257288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36.10000000000008</v>
      </c>
      <c r="BE49" s="13">
        <f>BD49*VLOOKUP('Données projet'!$B$11,Paramètres!$A$1:$I$89,3,0)*VLOOKUP('Données projet'!$B$11,Paramètres!$A$1:$I$89,5,0)</f>
        <v>31.536960000000075</v>
      </c>
      <c r="BF49" s="13">
        <f t="shared" si="37"/>
        <v>9.725440120377133</v>
      </c>
      <c r="BG49" s="20">
        <f t="shared" si="7"/>
        <v>71.865346876323642</v>
      </c>
      <c r="BH49" s="59">
        <f t="shared" si="8"/>
        <v>365.19868020965697</v>
      </c>
      <c r="BI49" s="59">
        <f ca="1">AVERAGE(OFFSET($BH$3,0,0,'Données projet'!$E$11+1,1))-AVERAGE(OFFSET($H$3,0,0,'Données projet'!$E$11+1,1))</f>
        <v>249.21292089724221</v>
      </c>
      <c r="BJ49" s="59">
        <f t="shared" si="38"/>
        <v>640.80644476065254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82.147030094778003</v>
      </c>
      <c r="BQ49" s="21">
        <f>EXP(-LN(2)/25)*BQ48+(1-EXP(-LN(2)/25))/(LN(2)/25)*Calculateur!BL49*Calculateur!BN49*VLOOKUP('Données projet'!$B$11,Paramètres!$A$1:$I$89,3,0)*0.475*44/12</f>
        <v>68.777641006171379</v>
      </c>
      <c r="BR49" s="21">
        <f>EXP(-LN(2)/2)*BR48+(1-EXP(-LN(2)/2))/(LN(2)/2)*BL49*BO49*VLOOKUP('Données projet'!$B$11,Paramètres!$A$1:$I$89,3,0)*0.475*44/12</f>
        <v>0.32242008528624033</v>
      </c>
      <c r="BS49" s="22">
        <f t="shared" si="9"/>
        <v>151.24709118623562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5.9</v>
      </c>
      <c r="BY49" s="12">
        <f>IF('Données projet'!$A$114&gt;35,BY48+BX49-CG48,IF(A49&lt;'Données projet'!$A$114,$BV$205^A49,IF(A49='Données projet'!$A$114,'Données projet'!$B$114,BY48+BX49-CG48)))</f>
        <v>161.40000000000015</v>
      </c>
      <c r="BZ49" s="13">
        <f>BY49*VLOOKUP('Données projet'!$B$12,Paramètres!$A$1:$I$89,3,0)*VLOOKUP('Données projet'!$B$12,Paramètres!$A$1:$I$89,5,0)</f>
        <v>130.92768000000012</v>
      </c>
      <c r="CA49" s="13">
        <f t="shared" si="39"/>
        <v>34.210630151715982</v>
      </c>
      <c r="CB49" s="20">
        <f t="shared" si="10"/>
        <v>287.61589018090552</v>
      </c>
      <c r="CC49" s="59">
        <f t="shared" si="11"/>
        <v>580.94922351423884</v>
      </c>
      <c r="CD49" s="59">
        <f ca="1">AVERAGE(OFFSET($CC$3,0,0,'Données projet'!$E$12+1,1))-AVERAGE(OFFSET($H$3,0,0,'Données projet'!$E$12+1,1))</f>
        <v>192.4785660463869</v>
      </c>
      <c r="CE49" s="59">
        <f t="shared" si="40"/>
        <v>165.11095806515362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0.58986019545068635</v>
      </c>
      <c r="CL49" s="21">
        <f>EXP(-LN(2)/25)*CL48+(1-EXP(-LN(2)/25))/(LN(2)/25)*Calculateur!CG49*Calculateur!CI49*VLOOKUP('Données projet'!$B$12,Paramètres!$A$1:$I$89,3,0)*0.475*44/12</f>
        <v>3.0296495385630453</v>
      </c>
      <c r="CM49" s="21">
        <f>EXP(-LN(2)/2)*CM48+(1-EXP(-LN(2)/2))/(LN(2)/2)*CG49*CJ49*VLOOKUP('Données projet'!$B$12,Paramètres!$A$1:$I$89,3,0)*0.475*44/12</f>
        <v>2.860398589991504E-2</v>
      </c>
      <c r="CN49" s="22">
        <f t="shared" si="12"/>
        <v>3.6481137199136464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7.5</v>
      </c>
      <c r="CT49" s="12">
        <f>IF('Données projet'!$A$140&gt;35,CT48+CS49-DB48,IF(A49&lt;'Données projet'!$A$140,$CQ$205^A49,IF(A49='Données projet'!$A$140,'Données projet'!$B$140,CT48+CS49-DB48)))</f>
        <v>162.00000000000003</v>
      </c>
      <c r="CU49" s="17">
        <f>CT49*VLOOKUP('Données projet'!$B$13,Paramètres!$A$1:$I$89,3,0)*VLOOKUP('Données projet'!$B$13,Paramètres!$A$1:$I$89,5,0)</f>
        <v>136.46880000000004</v>
      </c>
      <c r="CV49" s="13">
        <f t="shared" si="41"/>
        <v>35.486858352195902</v>
      </c>
      <c r="CW49" s="20">
        <f t="shared" si="13"/>
        <v>299.48943829674124</v>
      </c>
      <c r="CX49" s="59">
        <f t="shared" si="14"/>
        <v>592.82277163007461</v>
      </c>
      <c r="CY49" s="59">
        <f ca="1">AVERAGE(OFFSET($CX$3,0,0,'Données projet'!$E$13+1,1))-AVERAGE(OFFSET($H$3,0,0,'Données projet'!$E$13+1,1))</f>
        <v>247.67539667223065</v>
      </c>
      <c r="CZ49" s="59">
        <f t="shared" si="42"/>
        <v>174.54442616983778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0.93340514444943756</v>
      </c>
      <c r="DG49" s="21">
        <f>EXP(-LN(2)/25)*DG48+(1-EXP(-LN(2)/25))/(LN(2)/25)*Calculateur!DB49*Calculateur!DD49*VLOOKUP('Données projet'!$B$13,Paramètres!$A$1:$I$89,3,0)*0.475*44/12</f>
        <v>4.2191685974047815</v>
      </c>
      <c r="DH49" s="21">
        <f>EXP(-LN(2)/2)*DH48+(1-EXP(-LN(2)/2))/(LN(2)/2)*DB49*DE49*VLOOKUP('Données projet'!$B$13,Paramètres!$A$1:$I$89,3,0)*0.475*44/12</f>
        <v>4.4975841018788106E-2</v>
      </c>
      <c r="DI49" s="22">
        <f t="shared" si="15"/>
        <v>5.1975495828730072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6.8260073260073284</v>
      </c>
      <c r="DO49" s="12">
        <f>IF('Données projet'!$A$166&gt;35,DO48+DN49-DW48,IF(A49&lt;'Données projet'!$A$166,$DL$205^A49,IF(A49='Données projet'!$A$166,'Données projet'!$B$166,DO48+DN49-DW48)))</f>
        <v>111.65842490842485</v>
      </c>
      <c r="DP49" s="17">
        <f>DO49*VLOOKUP('Données projet'!$B$14,Paramètres!$A$1:$I$89,3,0)*VLOOKUP('Données projet'!$B$14,Paramètres!$A$1:$I$89,5,0)</f>
        <v>111.47977142857138</v>
      </c>
      <c r="DQ49" s="13">
        <f t="shared" si="43"/>
        <v>29.679358653347098</v>
      </c>
      <c r="DR49" s="20">
        <f t="shared" si="16"/>
        <v>245.85215155934134</v>
      </c>
      <c r="DS49" s="59">
        <f t="shared" si="17"/>
        <v>539.18548489267459</v>
      </c>
      <c r="DT49" s="59">
        <f ca="1">AVERAGE(OFFSET($DS$3,0,0,'Données projet'!$E$14+1,1))-AVERAGE(OFFSET($H$3,0,0,'Données projet'!$E$14+1,1))</f>
        <v>245.06609107649069</v>
      </c>
      <c r="DU49" s="59">
        <f t="shared" si="44"/>
        <v>156.24531945456499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2.6372976949420099</v>
      </c>
      <c r="EJ49" s="12">
        <f>IF('Données projet'!$A$192&gt;35,EJ48+EI49-ER48,IF(A49&lt;'Données projet'!$A$192,$EG$205^A49,IF(A49='Données projet'!$A$192,'Données projet'!$B$192,EJ48+EI49-ER48)))</f>
        <v>75.093458852329519</v>
      </c>
      <c r="EK49" s="17">
        <f>EJ49*VLOOKUP('Données projet'!$B$15,Paramètres!$A$1:$I$89,3,0)*VLOOKUP('Données projet'!$B$15,Paramètres!$A$1:$I$89,5,0)</f>
        <v>82.002057066743831</v>
      </c>
      <c r="EL49" s="13">
        <f t="shared" si="45"/>
        <v>22.625991068362598</v>
      </c>
      <c r="EM49" s="20">
        <f t="shared" si="19"/>
        <v>182.22718383531037</v>
      </c>
      <c r="EN49" s="59">
        <f t="shared" si="20"/>
        <v>475.56051716864368</v>
      </c>
      <c r="EO49" s="59">
        <f ca="1">AVERAGE(OFFSET($EN$3,0,0,'Données projet'!$E$15+1,1))-AVERAGE(OFFSET($H$3,0,0,'Données projet'!$E$15+1,1))</f>
        <v>173.63857221119594</v>
      </c>
      <c r="EP49" s="59">
        <f t="shared" si="46"/>
        <v>52.373745617370105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199.58634493109349</v>
      </c>
      <c r="T50" s="59">
        <f t="shared" si="34"/>
        <v>288.66487031729008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3.5686919659779224</v>
      </c>
      <c r="AA50" s="21">
        <f>EXP(-LN(2)/25)*AA49+(1-EXP(-LN(2)/25))/(LN(2)/25)*Calculateur!V50*Calculateur!X50*VLOOKUP('Données projet'!$B$9,Paramètres!$A$1:$I$89,3,0)*0.475*44/12</f>
        <v>10.691840711394365</v>
      </c>
      <c r="AB50" s="21">
        <f>EXP(-LN(2)/2)*AB49+(1-EXP(-LN(2)/2))/(LN(2)/2)*V50*Y50*VLOOKUP('Données projet'!$B$9,Paramètres!$A$1:$I$89,3,0)*0.475*44/12</f>
        <v>8.1480297046079789E-3</v>
      </c>
      <c r="AC50" s="22">
        <f t="shared" si="3"/>
        <v>14.268680707076896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21.4</v>
      </c>
      <c r="AI50" s="13">
        <f>IF('Données projet'!$A$62&gt;35,AI49+AH50-AQ49,IF(A50&lt;'Données projet'!$A$62,$AF$205^A50,IF(A50='Données projet'!$A$62,'Données projet'!$B$62,AI49+AH50-AQ49)))</f>
        <v>423.79999999999967</v>
      </c>
      <c r="AJ50" s="13">
        <f>AI50*VLOOKUP('Données projet'!$B$10,Paramètres!$A$1:$I$89,3,0)*VLOOKUP('Données projet'!$B$10,Paramètres!$A$1:$I$89,5,0)</f>
        <v>253.43239999999983</v>
      </c>
      <c r="AK50" s="13">
        <f t="shared" si="35"/>
        <v>61.320353323034375</v>
      </c>
      <c r="AL50" s="20">
        <f t="shared" si="4"/>
        <v>548.19437870428453</v>
      </c>
      <c r="AM50" s="59">
        <f t="shared" si="5"/>
        <v>841.5277120376179</v>
      </c>
      <c r="AN50" s="59">
        <f ca="1">AVERAGE(OFFSET($AM$3,0,0,'Données projet'!$E$10+1,1))-AVERAGE(OFFSET($H$3,0,0,'Données projet'!$E$10+1,1))</f>
        <v>395.40396173178527</v>
      </c>
      <c r="AO50" s="59">
        <f t="shared" si="36"/>
        <v>304.68075128568756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2.1414442421645457</v>
      </c>
      <c r="AV50" s="21">
        <f>EXP(-LN(2)/25)*AV49+(1-EXP(-LN(2)/25))/(LN(2)/25)*Calculateur!AQ50*Calculateur!AS50*VLOOKUP('Données projet'!$B$10,Paramètres!$A$1:$I$89,3,0)*0.475*44/12</f>
        <v>11.669018134375344</v>
      </c>
      <c r="AW50" s="21">
        <f>EXP(-LN(2)/2)*AW49+(1-EXP(-LN(2)/2))/(LN(2)/2)*AQ50*AT50*VLOOKUP('Données projet'!$B$10,Paramètres!$A$1:$I$89,3,0)*0.475*44/12</f>
        <v>7.1832172321666818E-2</v>
      </c>
      <c r="AX50" s="21">
        <f t="shared" si="6"/>
        <v>13.882294548861557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36.10000000000008</v>
      </c>
      <c r="BE50" s="13">
        <f>BD50*VLOOKUP('Données projet'!$B$11,Paramètres!$A$1:$I$89,3,0)*VLOOKUP('Données projet'!$B$11,Paramètres!$A$1:$I$89,5,0)</f>
        <v>31.536960000000075</v>
      </c>
      <c r="BF50" s="13">
        <f t="shared" si="37"/>
        <v>9.725440120377133</v>
      </c>
      <c r="BG50" s="20">
        <f t="shared" si="7"/>
        <v>71.865346876323642</v>
      </c>
      <c r="BH50" s="59">
        <f t="shared" si="8"/>
        <v>365.19868020965697</v>
      </c>
      <c r="BI50" s="59">
        <f ca="1">AVERAGE(OFFSET($BH$3,0,0,'Données projet'!$E$11+1,1))-AVERAGE(OFFSET($H$3,0,0,'Données projet'!$E$11+1,1))</f>
        <v>249.21292089724221</v>
      </c>
      <c r="BJ50" s="59">
        <f t="shared" si="38"/>
        <v>640.80644476065254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80.536176939360331</v>
      </c>
      <c r="BQ50" s="21">
        <f>EXP(-LN(2)/25)*BQ49+(1-EXP(-LN(2)/25))/(LN(2)/25)*Calculateur!BL50*Calculateur!BN50*VLOOKUP('Données projet'!$B$11,Paramètres!$A$1:$I$89,3,0)*0.475*44/12</f>
        <v>66.896912795998674</v>
      </c>
      <c r="BR50" s="21">
        <f>EXP(-LN(2)/2)*BR49+(1-EXP(-LN(2)/2))/(LN(2)/2)*BL50*BO50*VLOOKUP('Données projet'!$B$11,Paramètres!$A$1:$I$89,3,0)*0.475*44/12</f>
        <v>0.22798542869664554</v>
      </c>
      <c r="BS50" s="22">
        <f t="shared" si="9"/>
        <v>147.66107516405566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5.9</v>
      </c>
      <c r="BY50" s="12">
        <f>IF('Données projet'!$A$114&gt;35,BY49+BX50-CG49,IF(A50&lt;'Données projet'!$A$114,$BV$205^A50,IF(A50='Données projet'!$A$114,'Données projet'!$B$114,BY49+BX50-CG49)))</f>
        <v>167.30000000000015</v>
      </c>
      <c r="BZ50" s="13">
        <f>BY50*VLOOKUP('Données projet'!$B$12,Paramètres!$A$1:$I$89,3,0)*VLOOKUP('Données projet'!$B$12,Paramètres!$A$1:$I$89,5,0)</f>
        <v>135.71376000000012</v>
      </c>
      <c r="CA50" s="13">
        <f t="shared" si="39"/>
        <v>35.313318206525366</v>
      </c>
      <c r="CB50" s="20">
        <f t="shared" si="10"/>
        <v>297.87216120969856</v>
      </c>
      <c r="CC50" s="59">
        <f t="shared" si="11"/>
        <v>591.20549454303182</v>
      </c>
      <c r="CD50" s="59">
        <f ca="1">AVERAGE(OFFSET($CC$3,0,0,'Données projet'!$E$12+1,1))-AVERAGE(OFFSET($H$3,0,0,'Données projet'!$E$12+1,1))</f>
        <v>192.4785660463869</v>
      </c>
      <c r="CE50" s="59">
        <f t="shared" si="40"/>
        <v>165.11095806515362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0.57829339679709235</v>
      </c>
      <c r="CL50" s="21">
        <f>EXP(-LN(2)/25)*CL49+(1-EXP(-LN(2)/25))/(LN(2)/25)*Calculateur!CG50*Calculateur!CI50*VLOOKUP('Données projet'!$B$12,Paramètres!$A$1:$I$89,3,0)*0.475*44/12</f>
        <v>2.9468036126086941</v>
      </c>
      <c r="CM50" s="21">
        <f>EXP(-LN(2)/2)*CM49+(1-EXP(-LN(2)/2))/(LN(2)/2)*CG50*CJ50*VLOOKUP('Données projet'!$B$12,Paramètres!$A$1:$I$89,3,0)*0.475*44/12</f>
        <v>2.0226072398794315E-2</v>
      </c>
      <c r="CN50" s="22">
        <f t="shared" si="12"/>
        <v>3.5453230818045807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7.5</v>
      </c>
      <c r="CT50" s="12">
        <f>IF('Données projet'!$A$140&gt;35,CT49+CS50-DB49,IF(A50&lt;'Données projet'!$A$140,$CQ$205^A50,IF(A50='Données projet'!$A$140,'Données projet'!$B$140,CT49+CS50-DB49)))</f>
        <v>169.50000000000003</v>
      </c>
      <c r="CU50" s="17">
        <f>CT50*VLOOKUP('Données projet'!$B$13,Paramètres!$A$1:$I$89,3,0)*VLOOKUP('Données projet'!$B$13,Paramètres!$A$1:$I$89,5,0)</f>
        <v>142.78680000000003</v>
      </c>
      <c r="CV50" s="13">
        <f t="shared" si="41"/>
        <v>36.934688049401593</v>
      </c>
      <c r="CW50" s="20">
        <f t="shared" si="13"/>
        <v>313.01492501937446</v>
      </c>
      <c r="CX50" s="59">
        <f t="shared" si="14"/>
        <v>606.34825835270772</v>
      </c>
      <c r="CY50" s="59">
        <f ca="1">AVERAGE(OFFSET($CX$3,0,0,'Données projet'!$E$13+1,1))-AVERAGE(OFFSET($H$3,0,0,'Données projet'!$E$13+1,1))</f>
        <v>247.67539667223065</v>
      </c>
      <c r="CZ50" s="59">
        <f t="shared" si="42"/>
        <v>174.54442616983778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0.91510163888770646</v>
      </c>
      <c r="DG50" s="21">
        <f>EXP(-LN(2)/25)*DG49+(1-EXP(-LN(2)/25))/(LN(2)/25)*Calculateur!DB50*Calculateur!DD50*VLOOKUP('Données projet'!$B$13,Paramètres!$A$1:$I$89,3,0)*0.475*44/12</f>
        <v>4.1037952102323141</v>
      </c>
      <c r="DH50" s="21">
        <f>EXP(-LN(2)/2)*DH49+(1-EXP(-LN(2)/2))/(LN(2)/2)*DB50*DE50*VLOOKUP('Données projet'!$B$13,Paramètres!$A$1:$I$89,3,0)*0.475*44/12</f>
        <v>3.1802722173953149E-2</v>
      </c>
      <c r="DI50" s="22">
        <f t="shared" si="15"/>
        <v>5.0506995712939737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6.8260073260073284</v>
      </c>
      <c r="DO50" s="12">
        <f>IF('Données projet'!$A$166&gt;35,DO49+DN50-DW49,IF(A50&lt;'Données projet'!$A$166,$DL$205^A50,IF(A50='Données projet'!$A$166,'Données projet'!$B$166,DO49+DN50-DW49)))</f>
        <v>118.48443223443218</v>
      </c>
      <c r="DP50" s="17">
        <f>DO50*VLOOKUP('Données projet'!$B$14,Paramètres!$A$1:$I$89,3,0)*VLOOKUP('Données projet'!$B$14,Paramètres!$A$1:$I$89,5,0)</f>
        <v>118.29485714285708</v>
      </c>
      <c r="DQ50" s="13">
        <f t="shared" si="43"/>
        <v>31.276972079204548</v>
      </c>
      <c r="DR50" s="20">
        <f t="shared" si="16"/>
        <v>260.50426922842399</v>
      </c>
      <c r="DS50" s="59">
        <f t="shared" si="17"/>
        <v>553.83760256175731</v>
      </c>
      <c r="DT50" s="59">
        <f ca="1">AVERAGE(OFFSET($DS$3,0,0,'Données projet'!$E$14+1,1))-AVERAGE(OFFSET($H$3,0,0,'Données projet'!$E$14+1,1))</f>
        <v>245.06609107649069</v>
      </c>
      <c r="DU50" s="59">
        <f t="shared" si="44"/>
        <v>156.24531945456499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2.6372976949420099</v>
      </c>
      <c r="EJ50" s="12">
        <f>IF('Données projet'!$A$192&gt;35,EJ49+EI50-ER49,IF(A50&lt;'Données projet'!$A$192,$EG$205^A50,IF(A50='Données projet'!$A$192,'Données projet'!$B$192,EJ49+EI50-ER49)))</f>
        <v>77.730756547271525</v>
      </c>
      <c r="EK50" s="17">
        <f>EJ50*VLOOKUP('Données projet'!$B$15,Paramètres!$A$1:$I$89,3,0)*VLOOKUP('Données projet'!$B$15,Paramètres!$A$1:$I$89,5,0)</f>
        <v>84.881986149620502</v>
      </c>
      <c r="EL50" s="13">
        <f t="shared" si="45"/>
        <v>23.326708907893494</v>
      </c>
      <c r="EM50" s="20">
        <f t="shared" si="19"/>
        <v>188.46347722517021</v>
      </c>
      <c r="EN50" s="59">
        <f t="shared" si="20"/>
        <v>481.79681055850352</v>
      </c>
      <c r="EO50" s="59">
        <f ca="1">AVERAGE(OFFSET($EN$3,0,0,'Données projet'!$E$15+1,1))-AVERAGE(OFFSET($H$3,0,0,'Données projet'!$E$15+1,1))</f>
        <v>173.63857221119594</v>
      </c>
      <c r="EP50" s="59">
        <f t="shared" si="46"/>
        <v>52.373745617370105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199.58634493109349</v>
      </c>
      <c r="T51" s="59">
        <f t="shared" si="34"/>
        <v>288.66487031729008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3.4987120932122644</v>
      </c>
      <c r="AA51" s="21">
        <f>EXP(-LN(2)/25)*AA50+(1-EXP(-LN(2)/25))/(LN(2)/25)*Calculateur!V51*Calculateur!X51*VLOOKUP('Données projet'!$B$9,Paramètres!$A$1:$I$89,3,0)*0.475*44/12</f>
        <v>10.39947176488182</v>
      </c>
      <c r="AB51" s="21">
        <f>EXP(-LN(2)/2)*AB50+(1-EXP(-LN(2)/2))/(LN(2)/2)*V51*Y51*VLOOKUP('Données projet'!$B$9,Paramètres!$A$1:$I$89,3,0)*0.475*44/12</f>
        <v>5.7615270574377236E-3</v>
      </c>
      <c r="AC51" s="22">
        <f t="shared" si="3"/>
        <v>13.903945385151522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21.4</v>
      </c>
      <c r="AI51" s="13">
        <f>IF('Données projet'!$A$62&gt;35,AI50+AH51-AQ50,IF(A51&lt;'Données projet'!$A$62,$AF$205^A51,IF(A51='Données projet'!$A$62,'Données projet'!$B$62,AI50+AH51-AQ50)))</f>
        <v>445.19999999999965</v>
      </c>
      <c r="AJ51" s="13">
        <f>AI51*VLOOKUP('Données projet'!$B$10,Paramètres!$A$1:$I$89,3,0)*VLOOKUP('Données projet'!$B$10,Paramètres!$A$1:$I$89,5,0)</f>
        <v>266.22959999999983</v>
      </c>
      <c r="AK51" s="13">
        <f t="shared" si="35"/>
        <v>64.048441518652197</v>
      </c>
      <c r="AL51" s="20">
        <f t="shared" si="4"/>
        <v>575.23425564498564</v>
      </c>
      <c r="AM51" s="59">
        <f t="shared" si="5"/>
        <v>868.56758897831901</v>
      </c>
      <c r="AN51" s="59">
        <f ca="1">AVERAGE(OFFSET($AM$3,0,0,'Données projet'!$E$10+1,1))-AVERAGE(OFFSET($H$3,0,0,'Données projet'!$E$10+1,1))</f>
        <v>395.40396173178527</v>
      </c>
      <c r="AO51" s="59">
        <f t="shared" si="36"/>
        <v>304.68075128568756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2.0994518267277149</v>
      </c>
      <c r="AV51" s="21">
        <f>EXP(-LN(2)/25)*AV50+(1-EXP(-LN(2)/25))/(LN(2)/25)*Calculateur!AQ51*Calculateur!AS51*VLOOKUP('Données projet'!$B$10,Paramètres!$A$1:$I$89,3,0)*0.475*44/12</f>
        <v>11.349928219843857</v>
      </c>
      <c r="AW51" s="21">
        <f>EXP(-LN(2)/2)*AW50+(1-EXP(-LN(2)/2))/(LN(2)/2)*AQ51*AT51*VLOOKUP('Données projet'!$B$10,Paramètres!$A$1:$I$89,3,0)*0.475*44/12</f>
        <v>5.0793016156011235E-2</v>
      </c>
      <c r="AX51" s="21">
        <f t="shared" si="6"/>
        <v>13.500173062727583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36.10000000000008</v>
      </c>
      <c r="BE51" s="13">
        <f>BD51*VLOOKUP('Données projet'!$B$11,Paramètres!$A$1:$I$89,3,0)*VLOOKUP('Données projet'!$B$11,Paramètres!$A$1:$I$89,5,0)</f>
        <v>31.536960000000075</v>
      </c>
      <c r="BF51" s="13">
        <f t="shared" si="37"/>
        <v>9.725440120377133</v>
      </c>
      <c r="BG51" s="20">
        <f t="shared" si="7"/>
        <v>71.865346876323642</v>
      </c>
      <c r="BH51" s="59">
        <f t="shared" si="8"/>
        <v>365.19868020965697</v>
      </c>
      <c r="BI51" s="59">
        <f ca="1">AVERAGE(OFFSET($BH$3,0,0,'Données projet'!$E$11+1,1))-AVERAGE(OFFSET($H$3,0,0,'Données projet'!$E$11+1,1))</f>
        <v>249.21292089724221</v>
      </c>
      <c r="BJ51" s="59">
        <f t="shared" si="38"/>
        <v>640.80644476065254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78.956911631796999</v>
      </c>
      <c r="BQ51" s="21">
        <f>EXP(-LN(2)/25)*BQ50+(1-EXP(-LN(2)/25))/(LN(2)/25)*Calculateur!BL51*Calculateur!BN51*VLOOKUP('Données projet'!$B$11,Paramètres!$A$1:$I$89,3,0)*0.475*44/12</f>
        <v>65.067613197636348</v>
      </c>
      <c r="BR51" s="21">
        <f>EXP(-LN(2)/2)*BR50+(1-EXP(-LN(2)/2))/(LN(2)/2)*BL51*BO51*VLOOKUP('Données projet'!$B$11,Paramètres!$A$1:$I$89,3,0)*0.475*44/12</f>
        <v>0.16121004264312017</v>
      </c>
      <c r="BS51" s="22">
        <f t="shared" si="9"/>
        <v>144.18573487207647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5.9</v>
      </c>
      <c r="BY51" s="12">
        <f>IF('Données projet'!$A$114&gt;35,BY50+BX51-CG50,IF(A51&lt;'Données projet'!$A$114,$BV$205^A51,IF(A51='Données projet'!$A$114,'Données projet'!$B$114,BY50+BX51-CG50)))</f>
        <v>173.20000000000016</v>
      </c>
      <c r="BZ51" s="13">
        <f>BY51*VLOOKUP('Données projet'!$B$12,Paramètres!$A$1:$I$89,3,0)*VLOOKUP('Données projet'!$B$12,Paramètres!$A$1:$I$89,5,0)</f>
        <v>140.49984000000015</v>
      </c>
      <c r="CA51" s="13">
        <f t="shared" si="39"/>
        <v>36.411488058235619</v>
      </c>
      <c r="CB51" s="20">
        <f t="shared" si="10"/>
        <v>308.12056303476061</v>
      </c>
      <c r="CC51" s="59">
        <f t="shared" si="11"/>
        <v>601.45389636809387</v>
      </c>
      <c r="CD51" s="59">
        <f ca="1">AVERAGE(OFFSET($CC$3,0,0,'Données projet'!$E$12+1,1))-AVERAGE(OFFSET($H$3,0,0,'Données projet'!$E$12+1,1))</f>
        <v>192.4785660463869</v>
      </c>
      <c r="CE51" s="59">
        <f t="shared" si="40"/>
        <v>165.11095806515362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0.56695341601004479</v>
      </c>
      <c r="CL51" s="21">
        <f>EXP(-LN(2)/25)*CL50+(1-EXP(-LN(2)/25))/(LN(2)/25)*Calculateur!CG51*Calculateur!CI51*VLOOKUP('Données projet'!$B$12,Paramètres!$A$1:$I$89,3,0)*0.475*44/12</f>
        <v>2.8662231128562423</v>
      </c>
      <c r="CM51" s="21">
        <f>EXP(-LN(2)/2)*CM50+(1-EXP(-LN(2)/2))/(LN(2)/2)*CG51*CJ51*VLOOKUP('Données projet'!$B$12,Paramètres!$A$1:$I$89,3,0)*0.475*44/12</f>
        <v>1.430199294995752E-2</v>
      </c>
      <c r="CN51" s="22">
        <f t="shared" si="12"/>
        <v>3.4474785218162447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7.5</v>
      </c>
      <c r="CT51" s="12">
        <f>IF('Données projet'!$A$140&gt;35,CT50+CS51-DB50,IF(A51&lt;'Données projet'!$A$140,$CQ$205^A51,IF(A51='Données projet'!$A$140,'Données projet'!$B$140,CT50+CS51-DB50)))</f>
        <v>177.00000000000003</v>
      </c>
      <c r="CU51" s="17">
        <f>CT51*VLOOKUP('Données projet'!$B$13,Paramètres!$A$1:$I$89,3,0)*VLOOKUP('Données projet'!$B$13,Paramètres!$A$1:$I$89,5,0)</f>
        <v>149.10480000000004</v>
      </c>
      <c r="CV51" s="13">
        <f t="shared" si="41"/>
        <v>38.375077389658919</v>
      </c>
      <c r="CW51" s="20">
        <f t="shared" si="13"/>
        <v>326.52745312032266</v>
      </c>
      <c r="CX51" s="59">
        <f t="shared" si="14"/>
        <v>619.86078645365592</v>
      </c>
      <c r="CY51" s="59">
        <f ca="1">AVERAGE(OFFSET($CX$3,0,0,'Données projet'!$E$13+1,1))-AVERAGE(OFFSET($H$3,0,0,'Données projet'!$E$13+1,1))</f>
        <v>247.67539667223065</v>
      </c>
      <c r="CZ51" s="59">
        <f t="shared" si="42"/>
        <v>174.54442616983778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0.89715705390600486</v>
      </c>
      <c r="DG51" s="21">
        <f>EXP(-LN(2)/25)*DG50+(1-EXP(-LN(2)/25))/(LN(2)/25)*Calculateur!DB51*Calculateur!DD51*VLOOKUP('Données projet'!$B$13,Paramètres!$A$1:$I$89,3,0)*0.475*44/12</f>
        <v>3.9915767143993008</v>
      </c>
      <c r="DH51" s="21">
        <f>EXP(-LN(2)/2)*DH50+(1-EXP(-LN(2)/2))/(LN(2)/2)*DB51*DE51*VLOOKUP('Données projet'!$B$13,Paramètres!$A$1:$I$89,3,0)*0.475*44/12</f>
        <v>2.2487920509394053E-2</v>
      </c>
      <c r="DI51" s="22">
        <f t="shared" si="15"/>
        <v>4.9112216888146998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6.8260073260073284</v>
      </c>
      <c r="DO51" s="12">
        <f>IF('Données projet'!$A$166&gt;35,DO50+DN51-DW50,IF(A51&lt;'Données projet'!$A$166,$DL$205^A51,IF(A51='Données projet'!$A$166,'Données projet'!$B$166,DO50+DN51-DW50)))</f>
        <v>125.31043956043951</v>
      </c>
      <c r="DP51" s="17">
        <f>DO51*VLOOKUP('Données projet'!$B$14,Paramètres!$A$1:$I$89,3,0)*VLOOKUP('Données projet'!$B$14,Paramètres!$A$1:$I$89,5,0)</f>
        <v>125.1099428571428</v>
      </c>
      <c r="DQ51" s="13">
        <f t="shared" si="43"/>
        <v>32.863901639130368</v>
      </c>
      <c r="DR51" s="20">
        <f t="shared" si="16"/>
        <v>275.13777916434242</v>
      </c>
      <c r="DS51" s="59">
        <f t="shared" si="17"/>
        <v>568.47111249767568</v>
      </c>
      <c r="DT51" s="59">
        <f ca="1">AVERAGE(OFFSET($DS$3,0,0,'Données projet'!$E$14+1,1))-AVERAGE(OFFSET($H$3,0,0,'Données projet'!$E$14+1,1))</f>
        <v>245.06609107649069</v>
      </c>
      <c r="DU51" s="59">
        <f t="shared" si="44"/>
        <v>156.24531945456499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2.6372976949420099</v>
      </c>
      <c r="EJ51" s="12">
        <f>IF('Données projet'!$A$192&gt;35,EJ50+EI51-ER50,IF(A51&lt;'Données projet'!$A$192,$EG$205^A51,IF(A51='Données projet'!$A$192,'Données projet'!$B$192,EJ50+EI51-ER50)))</f>
        <v>80.368054242213532</v>
      </c>
      <c r="EK51" s="17">
        <f>EJ51*VLOOKUP('Données projet'!$B$15,Paramètres!$A$1:$I$89,3,0)*VLOOKUP('Données projet'!$B$15,Paramètres!$A$1:$I$89,5,0)</f>
        <v>87.761915232497174</v>
      </c>
      <c r="EL51" s="13">
        <f t="shared" si="45"/>
        <v>24.024664305531459</v>
      </c>
      <c r="EM51" s="20">
        <f t="shared" si="19"/>
        <v>194.6949593620665</v>
      </c>
      <c r="EN51" s="59">
        <f t="shared" si="20"/>
        <v>488.02829269539984</v>
      </c>
      <c r="EO51" s="59">
        <f ca="1">AVERAGE(OFFSET($EN$3,0,0,'Données projet'!$E$15+1,1))-AVERAGE(OFFSET($H$3,0,0,'Données projet'!$E$15+1,1))</f>
        <v>173.63857221119594</v>
      </c>
      <c r="EP51" s="59">
        <f t="shared" si="46"/>
        <v>52.373745617370105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199.58634493109349</v>
      </c>
      <c r="T52" s="59">
        <f t="shared" si="34"/>
        <v>288.66487031729008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3.4301044830680332</v>
      </c>
      <c r="AA52" s="21">
        <f>EXP(-LN(2)/25)*AA51+(1-EXP(-LN(2)/25))/(LN(2)/25)*Calculateur!V52*Calculateur!X52*VLOOKUP('Données projet'!$B$9,Paramètres!$A$1:$I$89,3,0)*0.475*44/12</f>
        <v>10.115097662586676</v>
      </c>
      <c r="AB52" s="21">
        <f>EXP(-LN(2)/2)*AB51+(1-EXP(-LN(2)/2))/(LN(2)/2)*V52*Y52*VLOOKUP('Données projet'!$B$9,Paramètres!$A$1:$I$89,3,0)*0.475*44/12</f>
        <v>4.0740148523039895E-3</v>
      </c>
      <c r="AC52" s="22">
        <f t="shared" si="3"/>
        <v>13.549276160507013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21.4</v>
      </c>
      <c r="AI52" s="13">
        <f>IF('Données projet'!$A$62&gt;35,AI51+AH52-AQ51,IF(A52&lt;'Données projet'!$A$62,$AF$205^A52,IF(A52='Données projet'!$A$62,'Données projet'!$B$62,AI51+AH52-AQ51)))</f>
        <v>466.59999999999962</v>
      </c>
      <c r="AJ52" s="13">
        <f>AI52*VLOOKUP('Données projet'!$B$10,Paramètres!$A$1:$I$89,3,0)*VLOOKUP('Données projet'!$B$10,Paramètres!$A$1:$I$89,5,0)</f>
        <v>279.02679999999981</v>
      </c>
      <c r="AK52" s="13">
        <f t="shared" si="35"/>
        <v>66.761302087713716</v>
      </c>
      <c r="AL52" s="20">
        <f t="shared" si="4"/>
        <v>602.247611136101</v>
      </c>
      <c r="AM52" s="59">
        <f t="shared" si="5"/>
        <v>895.58094446943437</v>
      </c>
      <c r="AN52" s="59">
        <f ca="1">AVERAGE(OFFSET($AM$3,0,0,'Données projet'!$E$10+1,1))-AVERAGE(OFFSET($H$3,0,0,'Données projet'!$E$10+1,1))</f>
        <v>395.40396173178527</v>
      </c>
      <c r="AO52" s="59">
        <f t="shared" si="36"/>
        <v>304.68075128568756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2.0582828569447558</v>
      </c>
      <c r="AV52" s="21">
        <f>EXP(-LN(2)/25)*AV51+(1-EXP(-LN(2)/25))/(LN(2)/25)*Calculateur!AQ52*Calculateur!AS52*VLOOKUP('Données projet'!$B$10,Paramètres!$A$1:$I$89,3,0)*0.475*44/12</f>
        <v>11.039563835805442</v>
      </c>
      <c r="AW52" s="21">
        <f>EXP(-LN(2)/2)*AW51+(1-EXP(-LN(2)/2))/(LN(2)/2)*AQ52*AT52*VLOOKUP('Données projet'!$B$10,Paramètres!$A$1:$I$89,3,0)*0.475*44/12</f>
        <v>3.5916086160833409E-2</v>
      </c>
      <c r="AX52" s="21">
        <f t="shared" si="6"/>
        <v>13.133762778911031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36.10000000000008</v>
      </c>
      <c r="BE52" s="13">
        <f>BD52*VLOOKUP('Données projet'!$B$11,Paramètres!$A$1:$I$89,3,0)*VLOOKUP('Données projet'!$B$11,Paramètres!$A$1:$I$89,5,0)</f>
        <v>31.536960000000075</v>
      </c>
      <c r="BF52" s="13">
        <f t="shared" si="37"/>
        <v>9.725440120377133</v>
      </c>
      <c r="BG52" s="20">
        <f t="shared" si="7"/>
        <v>71.865346876323642</v>
      </c>
      <c r="BH52" s="59">
        <f t="shared" si="8"/>
        <v>365.19868020965697</v>
      </c>
      <c r="BI52" s="59">
        <f ca="1">AVERAGE(OFFSET($BH$3,0,0,'Données projet'!$E$11+1,1))-AVERAGE(OFFSET($H$3,0,0,'Données projet'!$E$11+1,1))</f>
        <v>249.21292089724221</v>
      </c>
      <c r="BJ52" s="59">
        <f t="shared" si="38"/>
        <v>640.80644476065254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77.408614753658256</v>
      </c>
      <c r="BQ52" s="21">
        <f>EXP(-LN(2)/25)*BQ51+(1-EXP(-LN(2)/25))/(LN(2)/25)*Calculateur!BL52*Calculateur!BN52*VLOOKUP('Données projet'!$B$11,Paramètres!$A$1:$I$89,3,0)*0.475*44/12</f>
        <v>63.28833589298992</v>
      </c>
      <c r="BR52" s="21">
        <f>EXP(-LN(2)/2)*BR51+(1-EXP(-LN(2)/2))/(LN(2)/2)*BL52*BO52*VLOOKUP('Données projet'!$B$11,Paramètres!$A$1:$I$89,3,0)*0.475*44/12</f>
        <v>0.11399271434832277</v>
      </c>
      <c r="BS52" s="22">
        <f t="shared" si="9"/>
        <v>140.8109433609965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5.9</v>
      </c>
      <c r="BY52" s="12">
        <f>IF('Données projet'!$A$114&gt;35,BY51+BX52-CG51,IF(A52&lt;'Données projet'!$A$114,$BV$205^A52,IF(A52='Données projet'!$A$114,'Données projet'!$B$114,BY51+BX52-CG51)))</f>
        <v>179.10000000000016</v>
      </c>
      <c r="BZ52" s="13">
        <f>BY52*VLOOKUP('Données projet'!$B$12,Paramètres!$A$1:$I$89,3,0)*VLOOKUP('Données projet'!$B$12,Paramètres!$A$1:$I$89,5,0)</f>
        <v>145.28592000000015</v>
      </c>
      <c r="CA52" s="13">
        <f t="shared" si="39"/>
        <v>37.505311260379507</v>
      </c>
      <c r="CB52" s="20">
        <f t="shared" si="10"/>
        <v>318.36139444516124</v>
      </c>
      <c r="CC52" s="59">
        <f t="shared" si="11"/>
        <v>611.69472777849455</v>
      </c>
      <c r="CD52" s="59">
        <f ca="1">AVERAGE(OFFSET($CC$3,0,0,'Données projet'!$E$12+1,1))-AVERAGE(OFFSET($H$3,0,0,'Données projet'!$E$12+1,1))</f>
        <v>192.4785660463869</v>
      </c>
      <c r="CE52" s="59">
        <f t="shared" si="40"/>
        <v>165.11095806515362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0.55583580532952592</v>
      </c>
      <c r="CL52" s="21">
        <f>EXP(-LN(2)/25)*CL51+(1-EXP(-LN(2)/25))/(LN(2)/25)*Calculateur!CG52*Calculateur!CI52*VLOOKUP('Données projet'!$B$12,Paramètres!$A$1:$I$89,3,0)*0.475*44/12</f>
        <v>2.7878460911070655</v>
      </c>
      <c r="CM52" s="21">
        <f>EXP(-LN(2)/2)*CM51+(1-EXP(-LN(2)/2))/(LN(2)/2)*CG52*CJ52*VLOOKUP('Données projet'!$B$12,Paramètres!$A$1:$I$89,3,0)*0.475*44/12</f>
        <v>1.0113036199397157E-2</v>
      </c>
      <c r="CN52" s="22">
        <f t="shared" si="12"/>
        <v>3.3537949326359886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7.5</v>
      </c>
      <c r="CT52" s="12">
        <f>IF('Données projet'!$A$140&gt;35,CT51+CS52-DB51,IF(A52&lt;'Données projet'!$A$140,$CQ$205^A52,IF(A52='Données projet'!$A$140,'Données projet'!$B$140,CT51+CS52-DB51)))</f>
        <v>184.50000000000003</v>
      </c>
      <c r="CU52" s="17">
        <f>CT52*VLOOKUP('Données projet'!$B$13,Paramètres!$A$1:$I$89,3,0)*VLOOKUP('Données projet'!$B$13,Paramètres!$A$1:$I$89,5,0)</f>
        <v>155.42280000000005</v>
      </c>
      <c r="CV52" s="13">
        <f t="shared" si="41"/>
        <v>39.808377687614154</v>
      </c>
      <c r="CW52" s="20">
        <f t="shared" si="13"/>
        <v>340.02763447259474</v>
      </c>
      <c r="CX52" s="59">
        <f t="shared" si="14"/>
        <v>633.36096780592811</v>
      </c>
      <c r="CY52" s="59">
        <f ca="1">AVERAGE(OFFSET($CX$3,0,0,'Données projet'!$E$13+1,1))-AVERAGE(OFFSET($H$3,0,0,'Données projet'!$E$13+1,1))</f>
        <v>247.67539667223065</v>
      </c>
      <c r="CZ52" s="59">
        <f t="shared" si="42"/>
        <v>174.54442616983778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0.87956435129067834</v>
      </c>
      <c r="DG52" s="21">
        <f>EXP(-LN(2)/25)*DG51+(1-EXP(-LN(2)/25))/(LN(2)/25)*Calculateur!DB52*Calculateur!DD52*VLOOKUP('Données projet'!$B$13,Paramètres!$A$1:$I$89,3,0)*0.475*44/12</f>
        <v>3.8824268392361554</v>
      </c>
      <c r="DH52" s="21">
        <f>EXP(-LN(2)/2)*DH51+(1-EXP(-LN(2)/2))/(LN(2)/2)*DB52*DE52*VLOOKUP('Données projet'!$B$13,Paramètres!$A$1:$I$89,3,0)*0.475*44/12</f>
        <v>1.5901361086976575E-2</v>
      </c>
      <c r="DI52" s="22">
        <f t="shared" si="15"/>
        <v>4.7778925516138102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6.8260073260073284</v>
      </c>
      <c r="DO52" s="12">
        <f>IF('Données projet'!$A$166&gt;35,DO51+DN52-DW51,IF(A52&lt;'Données projet'!$A$166,$DL$205^A52,IF(A52='Données projet'!$A$166,'Données projet'!$B$166,DO51+DN52-DW51)))</f>
        <v>132.13644688644683</v>
      </c>
      <c r="DP52" s="17">
        <f>DO52*VLOOKUP('Données projet'!$B$14,Paramètres!$A$1:$I$89,3,0)*VLOOKUP('Données projet'!$B$14,Paramètres!$A$1:$I$89,5,0)</f>
        <v>131.92502857142853</v>
      </c>
      <c r="DQ52" s="13">
        <f t="shared" si="43"/>
        <v>34.440795658146151</v>
      </c>
      <c r="DR52" s="20">
        <f t="shared" si="16"/>
        <v>289.75381053317591</v>
      </c>
      <c r="DS52" s="59">
        <f t="shared" si="17"/>
        <v>583.08714386650922</v>
      </c>
      <c r="DT52" s="59">
        <f ca="1">AVERAGE(OFFSET($DS$3,0,0,'Données projet'!$E$14+1,1))-AVERAGE(OFFSET($H$3,0,0,'Données projet'!$E$14+1,1))</f>
        <v>245.06609107649069</v>
      </c>
      <c r="DU52" s="59">
        <f t="shared" si="44"/>
        <v>156.24531945456499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2.6372976949420099</v>
      </c>
      <c r="EJ52" s="12">
        <f>IF('Données projet'!$A$192&gt;35,EJ51+EI52-ER51,IF(A52&lt;'Données projet'!$A$192,$EG$205^A52,IF(A52='Données projet'!$A$192,'Données projet'!$B$192,EJ51+EI52-ER51)))</f>
        <v>83.005351937155538</v>
      </c>
      <c r="EK52" s="17">
        <f>EJ52*VLOOKUP('Données projet'!$B$15,Paramètres!$A$1:$I$89,3,0)*VLOOKUP('Données projet'!$B$15,Paramètres!$A$1:$I$89,5,0)</f>
        <v>90.641844315373845</v>
      </c>
      <c r="EL52" s="13">
        <f t="shared" si="45"/>
        <v>24.719958306971282</v>
      </c>
      <c r="EM52" s="20">
        <f t="shared" si="19"/>
        <v>200.92180623391775</v>
      </c>
      <c r="EN52" s="59">
        <f t="shared" si="20"/>
        <v>494.25513956725104</v>
      </c>
      <c r="EO52" s="59">
        <f ca="1">AVERAGE(OFFSET($EN$3,0,0,'Données projet'!$E$15+1,1))-AVERAGE(OFFSET($H$3,0,0,'Données projet'!$E$15+1,1))</f>
        <v>173.63857221119594</v>
      </c>
      <c r="EP52" s="59">
        <f t="shared" si="46"/>
        <v>52.373745617370105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199.58634493109349</v>
      </c>
      <c r="T53" s="59">
        <f t="shared" si="34"/>
        <v>288.66487031729008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3.3628422263122202</v>
      </c>
      <c r="AA53" s="21">
        <f>EXP(-LN(2)/25)*AA52+(1-EXP(-LN(2)/25))/(LN(2)/25)*Calculateur!V53*Calculateur!X53*VLOOKUP('Données projet'!$B$9,Paramètres!$A$1:$I$89,3,0)*0.475*44/12</f>
        <v>9.8384997850733757</v>
      </c>
      <c r="AB53" s="21">
        <f>EXP(-LN(2)/2)*AB52+(1-EXP(-LN(2)/2))/(LN(2)/2)*V53*Y53*VLOOKUP('Données projet'!$B$9,Paramètres!$A$1:$I$89,3,0)*0.475*44/12</f>
        <v>2.8807635287188618E-3</v>
      </c>
      <c r="AC53" s="22">
        <f t="shared" si="3"/>
        <v>13.204222774914314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488</v>
      </c>
      <c r="AG53" s="12">
        <f>VLOOKUP(A53,'Données projet'!$A$61:$I$81,9,0)</f>
        <v>21.4</v>
      </c>
      <c r="AH53" s="12">
        <f t="array" ref="AH53">INDEX(AG:AG,MIN(IF(ISNUMBER(AG53:AG249),ROW(AG53:AG249),"")))</f>
        <v>21.4</v>
      </c>
      <c r="AI53" s="13">
        <f>IF('Données projet'!$A$62&gt;35,AI52+AH53-AQ52,IF(A53&lt;'Données projet'!$A$62,$AF$205^A53,IF(A53='Données projet'!$A$62,'Données projet'!$B$62,AI52+AH53-AQ52)))</f>
        <v>487.9999999999996</v>
      </c>
      <c r="AJ53" s="13">
        <f>AI53*VLOOKUP('Données projet'!$B$10,Paramètres!$A$1:$I$89,3,0)*VLOOKUP('Données projet'!$B$10,Paramètres!$A$1:$I$89,5,0)</f>
        <v>291.82399999999978</v>
      </c>
      <c r="AK53" s="13">
        <f t="shared" si="35"/>
        <v>69.459713198729148</v>
      </c>
      <c r="AL53" s="20">
        <f t="shared" si="4"/>
        <v>629.23580048778615</v>
      </c>
      <c r="AM53" s="59">
        <f t="shared" si="5"/>
        <v>922.56913382111952</v>
      </c>
      <c r="AN53" s="59">
        <f ca="1">AVERAGE(OFFSET($AM$3,0,0,'Données projet'!$E$10+1,1))-AVERAGE(OFFSET($H$3,0,0,'Données projet'!$E$10+1,1))</f>
        <v>395.40396173178527</v>
      </c>
      <c r="AO53" s="59">
        <f t="shared" si="36"/>
        <v>304.68075128568756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125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2.0179211855486487</v>
      </c>
      <c r="AV53" s="21">
        <f>EXP(-LN(2)/25)*AV52+(1-EXP(-LN(2)/25))/(LN(2)/25)*Calculateur!AQ53*Calculateur!AS53*VLOOKUP('Données projet'!$B$10,Paramètres!$A$1:$I$89,3,0)*0.475*44/12</f>
        <v>10.737686382169912</v>
      </c>
      <c r="AW53" s="21">
        <f>EXP(-LN(2)/2)*AW52+(1-EXP(-LN(2)/2))/(LN(2)/2)*AQ53*AT53*VLOOKUP('Données projet'!$B$10,Paramètres!$A$1:$I$89,3,0)*0.475*44/12</f>
        <v>2.5396508078005618E-2</v>
      </c>
      <c r="AX53" s="21">
        <f t="shared" si="6"/>
        <v>12.781004075796565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36.10000000000008</v>
      </c>
      <c r="BE53" s="13">
        <f>BD53*VLOOKUP('Données projet'!$B$11,Paramètres!$A$1:$I$89,3,0)*VLOOKUP('Données projet'!$B$11,Paramètres!$A$1:$I$89,5,0)</f>
        <v>31.536960000000075</v>
      </c>
      <c r="BF53" s="13">
        <f t="shared" si="37"/>
        <v>9.725440120377133</v>
      </c>
      <c r="BG53" s="20">
        <f t="shared" si="7"/>
        <v>71.865346876323642</v>
      </c>
      <c r="BH53" s="59">
        <f t="shared" si="8"/>
        <v>365.19868020965697</v>
      </c>
      <c r="BI53" s="59">
        <f ca="1">AVERAGE(OFFSET($BH$3,0,0,'Données projet'!$E$11+1,1))-AVERAGE(OFFSET($H$3,0,0,'Données projet'!$E$11+1,1))</f>
        <v>249.21292089724221</v>
      </c>
      <c r="BJ53" s="59">
        <f t="shared" si="38"/>
        <v>640.80644476065254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75.890679032931956</v>
      </c>
      <c r="BQ53" s="21">
        <f>EXP(-LN(2)/25)*BQ52+(1-EXP(-LN(2)/25))/(LN(2)/25)*Calculateur!BL53*Calculateur!BN53*VLOOKUP('Données projet'!$B$11,Paramètres!$A$1:$I$89,3,0)*0.475*44/12</f>
        <v>61.557713019807174</v>
      </c>
      <c r="BR53" s="21">
        <f>EXP(-LN(2)/2)*BR52+(1-EXP(-LN(2)/2))/(LN(2)/2)*BL53*BO53*VLOOKUP('Données projet'!$B$11,Paramètres!$A$1:$I$89,3,0)*0.475*44/12</f>
        <v>8.0605021321560083E-2</v>
      </c>
      <c r="BS53" s="22">
        <f t="shared" si="9"/>
        <v>137.5289970740607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185</v>
      </c>
      <c r="BW53" s="12">
        <f>VLOOKUP(A53,'Données projet'!$A$113:$I$133,9,0)</f>
        <v>5.9</v>
      </c>
      <c r="BX53" s="12">
        <f t="array" ref="BX53">INDEX(BW:BW,MIN(IF(ISNUMBER(BW53:BW249),ROW(BW53:BW249),"")))</f>
        <v>5.9</v>
      </c>
      <c r="BY53" s="12">
        <f>IF('Données projet'!$A$114&gt;35,BY52+BX53-CG52,IF(A53&lt;'Données projet'!$A$114,$BV$205^A53,IF(A53='Données projet'!$A$114,'Données projet'!$B$114,BY52+BX53-CG52)))</f>
        <v>185.00000000000017</v>
      </c>
      <c r="BZ53" s="13">
        <f>BY53*VLOOKUP('Données projet'!$B$12,Paramètres!$A$1:$I$89,3,0)*VLOOKUP('Données projet'!$B$12,Paramètres!$A$1:$I$89,5,0)</f>
        <v>150.07200000000014</v>
      </c>
      <c r="CA53" s="13">
        <f t="shared" si="39"/>
        <v>38.594947422201493</v>
      </c>
      <c r="CB53" s="20">
        <f t="shared" si="10"/>
        <v>328.59493342700119</v>
      </c>
      <c r="CC53" s="59">
        <f t="shared" si="11"/>
        <v>621.92826676033451</v>
      </c>
      <c r="CD53" s="59">
        <f ca="1">AVERAGE(OFFSET($CC$3,0,0,'Données projet'!$E$12+1,1))-AVERAGE(OFFSET($H$3,0,0,'Données projet'!$E$12+1,1))</f>
        <v>192.4785660463869</v>
      </c>
      <c r="CE53" s="59">
        <f t="shared" si="40"/>
        <v>165.11095806515362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0.54493620421337907</v>
      </c>
      <c r="CL53" s="21">
        <f>EXP(-LN(2)/25)*CL52+(1-EXP(-LN(2)/25))/(LN(2)/25)*Calculateur!CG53*Calculateur!CI53*VLOOKUP('Données projet'!$B$12,Paramètres!$A$1:$I$89,3,0)*0.475*44/12</f>
        <v>2.7116122931392885</v>
      </c>
      <c r="CM53" s="21">
        <f>EXP(-LN(2)/2)*CM52+(1-EXP(-LN(2)/2))/(LN(2)/2)*CG53*CJ53*VLOOKUP('Données projet'!$B$12,Paramètres!$A$1:$I$89,3,0)*0.475*44/12</f>
        <v>7.1509964749787601E-3</v>
      </c>
      <c r="CN53" s="22">
        <f t="shared" si="12"/>
        <v>3.2636994938276462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192</v>
      </c>
      <c r="CR53" s="12">
        <f>VLOOKUP(A53,'Données projet'!$A$139:$I$159,9,0)</f>
        <v>7.5</v>
      </c>
      <c r="CS53" s="12">
        <f t="array" ref="CS53">INDEX(CR:CR,MIN(IF(ISNUMBER(CR53:CR249),ROW(CR53:CR249),"")))</f>
        <v>7.5</v>
      </c>
      <c r="CT53" s="12">
        <f>IF('Données projet'!$A$140&gt;35,CT52+CS53-DB52,IF(A53&lt;'Données projet'!$A$140,$CQ$205^A53,IF(A53='Données projet'!$A$140,'Données projet'!$B$140,CT52+CS53-DB52)))</f>
        <v>192.00000000000003</v>
      </c>
      <c r="CU53" s="17">
        <f>CT53*VLOOKUP('Données projet'!$B$13,Paramètres!$A$1:$I$89,3,0)*VLOOKUP('Données projet'!$B$13,Paramètres!$A$1:$I$89,5,0)</f>
        <v>161.74080000000004</v>
      </c>
      <c r="CV53" s="13">
        <f t="shared" si="41"/>
        <v>41.234910079352424</v>
      </c>
      <c r="CW53" s="20">
        <f t="shared" si="13"/>
        <v>353.51602838820554</v>
      </c>
      <c r="CX53" s="59">
        <f t="shared" si="14"/>
        <v>646.8493617215388</v>
      </c>
      <c r="CY53" s="59">
        <f ca="1">AVERAGE(OFFSET($CX$3,0,0,'Données projet'!$E$13+1,1))-AVERAGE(OFFSET($H$3,0,0,'Données projet'!$E$13+1,1))</f>
        <v>247.67539667223065</v>
      </c>
      <c r="CZ53" s="59">
        <f t="shared" si="42"/>
        <v>174.54442616983778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0.86231663084314925</v>
      </c>
      <c r="DG53" s="21">
        <f>EXP(-LN(2)/25)*DG52+(1-EXP(-LN(2)/25))/(LN(2)/25)*Calculateur!DB53*Calculateur!DD53*VLOOKUP('Données projet'!$B$13,Paramètres!$A$1:$I$89,3,0)*0.475*44/12</f>
        <v>3.7762616731492886</v>
      </c>
      <c r="DH53" s="21">
        <f>EXP(-LN(2)/2)*DH52+(1-EXP(-LN(2)/2))/(LN(2)/2)*DB53*DE53*VLOOKUP('Données projet'!$B$13,Paramètres!$A$1:$I$89,3,0)*0.475*44/12</f>
        <v>1.1243960254697026E-2</v>
      </c>
      <c r="DI53" s="22">
        <f t="shared" si="15"/>
        <v>4.6498222642471356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6.8260073260073284</v>
      </c>
      <c r="DO53" s="12">
        <f>IF('Données projet'!$A$166&gt;35,DO52+DN53-DW52,IF(A53&lt;'Données projet'!$A$166,$DL$205^A53,IF(A53='Données projet'!$A$166,'Données projet'!$B$166,DO52+DN53-DW52)))</f>
        <v>138.96245421245416</v>
      </c>
      <c r="DP53" s="17">
        <f>DO53*VLOOKUP('Données projet'!$B$14,Paramètres!$A$1:$I$89,3,0)*VLOOKUP('Données projet'!$B$14,Paramètres!$A$1:$I$89,5,0)</f>
        <v>138.74011428571424</v>
      </c>
      <c r="DQ53" s="13">
        <f t="shared" si="43"/>
        <v>36.008231694539887</v>
      </c>
      <c r="DR53" s="20">
        <f t="shared" si="16"/>
        <v>304.35336924894256</v>
      </c>
      <c r="DS53" s="59">
        <f t="shared" si="17"/>
        <v>597.68670258227587</v>
      </c>
      <c r="DT53" s="59">
        <f ca="1">AVERAGE(OFFSET($DS$3,0,0,'Données projet'!$E$14+1,1))-AVERAGE(OFFSET($H$3,0,0,'Données projet'!$E$14+1,1))</f>
        <v>245.06609107649069</v>
      </c>
      <c r="DU53" s="59">
        <f t="shared" si="44"/>
        <v>156.24531945456499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85.642649632097587</v>
      </c>
      <c r="EH53" s="12">
        <f>VLOOKUP(A53,'Données projet'!$A$191:$I$211,9,0)</f>
        <v>2.6372976949420099</v>
      </c>
      <c r="EI53" s="12">
        <f t="array" ref="EI53">INDEX(EH:EH,MIN(IF(ISNUMBER(EH53:EH249),ROW(EH53:EH249),"")))</f>
        <v>2.6372976949420099</v>
      </c>
      <c r="EJ53" s="12">
        <f>IF('Données projet'!$A$192&gt;35,EJ52+EI53-ER52,IF(A53&lt;'Données projet'!$A$192,$EG$205^A53,IF(A53='Données projet'!$A$192,'Données projet'!$B$192,EJ52+EI53-ER52)))</f>
        <v>85.642649632097545</v>
      </c>
      <c r="EK53" s="17">
        <f>EJ53*VLOOKUP('Données projet'!$B$15,Paramètres!$A$1:$I$89,3,0)*VLOOKUP('Données projet'!$B$15,Paramètres!$A$1:$I$89,5,0)</f>
        <v>93.521773398250517</v>
      </c>
      <c r="EL53" s="13">
        <f t="shared" si="45"/>
        <v>25.412685172316824</v>
      </c>
      <c r="EM53" s="20">
        <f t="shared" si="19"/>
        <v>207.14418201040476</v>
      </c>
      <c r="EN53" s="59">
        <f t="shared" si="20"/>
        <v>500.47751534373811</v>
      </c>
      <c r="EO53" s="59">
        <f ca="1">AVERAGE(OFFSET($EN$3,0,0,'Données projet'!$E$15+1,1))-AVERAGE(OFFSET($H$3,0,0,'Données projet'!$E$15+1,1))</f>
        <v>173.63857221119594</v>
      </c>
      <c r="EP53" s="59">
        <f t="shared" si="46"/>
        <v>52.373745617370105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199.58634493109349</v>
      </c>
      <c r="T54" s="59">
        <f t="shared" si="34"/>
        <v>288.66487031729008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3.296898941385463</v>
      </c>
      <c r="AA54" s="21">
        <f>EXP(-LN(2)/25)*AA53+(1-EXP(-LN(2)/25))/(LN(2)/25)*Calculateur!V54*Calculateur!X54*VLOOKUP('Données projet'!$B$9,Paramètres!$A$1:$I$89,3,0)*0.475*44/12</f>
        <v>9.5694654910663264</v>
      </c>
      <c r="AB54" s="21">
        <f>EXP(-LN(2)/2)*AB53+(1-EXP(-LN(2)/2))/(LN(2)/2)*V54*Y54*VLOOKUP('Données projet'!$B$9,Paramètres!$A$1:$I$89,3,0)*0.475*44/12</f>
        <v>2.0370074261519947E-3</v>
      </c>
      <c r="AC54" s="22">
        <f t="shared" si="3"/>
        <v>12.868401439877941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20.5</v>
      </c>
      <c r="AI54" s="13">
        <f>IF('Données projet'!$A$62&gt;35,AI53+AH54-AQ53,IF(A54&lt;'Données projet'!$A$62,$AF$205^A54,IF(A54='Données projet'!$A$62,'Données projet'!$B$62,AI53+AH54-AQ53)))</f>
        <v>383.4999999999996</v>
      </c>
      <c r="AJ54" s="13">
        <f>AI54*VLOOKUP('Données projet'!$B$10,Paramètres!$A$1:$I$89,3,0)*VLOOKUP('Données projet'!$B$10,Paramètres!$A$1:$I$89,5,0)</f>
        <v>229.33299999999977</v>
      </c>
      <c r="AK54" s="13">
        <f t="shared" si="35"/>
        <v>56.138436168749294</v>
      </c>
      <c r="AL54" s="20">
        <f t="shared" si="4"/>
        <v>497.19608466057122</v>
      </c>
      <c r="AM54" s="59">
        <f t="shared" si="5"/>
        <v>790.52941799390453</v>
      </c>
      <c r="AN54" s="59">
        <f ca="1">AVERAGE(OFFSET($AM$3,0,0,'Données projet'!$E$10+1,1))-AVERAGE(OFFSET($H$3,0,0,'Données projet'!$E$10+1,1))</f>
        <v>395.40396173178527</v>
      </c>
      <c r="AO54" s="59">
        <f t="shared" si="36"/>
        <v>304.68075128568756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1.9783509819104306</v>
      </c>
      <c r="AV54" s="21">
        <f>EXP(-LN(2)/25)*AV53+(1-EXP(-LN(2)/25))/(LN(2)/25)*Calculateur!AQ54*Calculateur!AS54*VLOOKUP('Données projet'!$B$10,Paramètres!$A$1:$I$89,3,0)*0.475*44/12</f>
        <v>10.444063783379089</v>
      </c>
      <c r="AW54" s="21">
        <f>EXP(-LN(2)/2)*AW53+(1-EXP(-LN(2)/2))/(LN(2)/2)*AQ54*AT54*VLOOKUP('Données projet'!$B$10,Paramètres!$A$1:$I$89,3,0)*0.475*44/12</f>
        <v>1.7958043080416704E-2</v>
      </c>
      <c r="AX54" s="21">
        <f t="shared" si="6"/>
        <v>12.440372808369936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36.10000000000008</v>
      </c>
      <c r="BE54" s="13">
        <f>BD54*VLOOKUP('Données projet'!$B$11,Paramètres!$A$1:$I$89,3,0)*VLOOKUP('Données projet'!$B$11,Paramètres!$A$1:$I$89,5,0)</f>
        <v>31.536960000000075</v>
      </c>
      <c r="BF54" s="13">
        <f t="shared" si="37"/>
        <v>9.725440120377133</v>
      </c>
      <c r="BG54" s="20">
        <f t="shared" si="7"/>
        <v>71.865346876323642</v>
      </c>
      <c r="BH54" s="59">
        <f t="shared" si="8"/>
        <v>365.19868020965697</v>
      </c>
      <c r="BI54" s="59">
        <f ca="1">AVERAGE(OFFSET($BH$3,0,0,'Données projet'!$E$11+1,1))-AVERAGE(OFFSET($H$3,0,0,'Données projet'!$E$11+1,1))</f>
        <v>249.21292089724221</v>
      </c>
      <c r="BJ54" s="59">
        <f t="shared" si="38"/>
        <v>640.80644476065254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74.402509105839741</v>
      </c>
      <c r="BQ54" s="21">
        <f>EXP(-LN(2)/25)*BQ53+(1-EXP(-LN(2)/25))/(LN(2)/25)*Calculateur!BL54*Calculateur!BN54*VLOOKUP('Données projet'!$B$11,Paramètres!$A$1:$I$89,3,0)*0.475*44/12</f>
        <v>59.874414120101115</v>
      </c>
      <c r="BR54" s="21">
        <f>EXP(-LN(2)/2)*BR53+(1-EXP(-LN(2)/2))/(LN(2)/2)*BL54*BO54*VLOOKUP('Données projet'!$B$11,Paramètres!$A$1:$I$89,3,0)*0.475*44/12</f>
        <v>5.6996357174161384E-2</v>
      </c>
      <c r="BS54" s="22">
        <f t="shared" si="9"/>
        <v>134.33391958311503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5.4</v>
      </c>
      <c r="BY54" s="12">
        <f>IF('Données projet'!$A$114&gt;35,BY53+BX54-CG53,IF(A54&lt;'Données projet'!$A$114,$BV$205^A54,IF(A54='Données projet'!$A$114,'Données projet'!$B$114,BY53+BX54-CG53)))</f>
        <v>162.40000000000018</v>
      </c>
      <c r="BZ54" s="13">
        <f>BY54*VLOOKUP('Données projet'!$B$12,Paramètres!$A$1:$I$89,3,0)*VLOOKUP('Données projet'!$B$12,Paramètres!$A$1:$I$89,5,0)</f>
        <v>131.73888000000014</v>
      </c>
      <c r="CA54" s="13">
        <f t="shared" si="39"/>
        <v>34.397852193895893</v>
      </c>
      <c r="CB54" s="20">
        <f t="shared" si="10"/>
        <v>289.35480857103556</v>
      </c>
      <c r="CC54" s="59">
        <f t="shared" si="11"/>
        <v>582.68814190436888</v>
      </c>
      <c r="CD54" s="59">
        <f ca="1">AVERAGE(OFFSET($CC$3,0,0,'Données projet'!$E$12+1,1))-AVERAGE(OFFSET($H$3,0,0,'Données projet'!$E$12+1,1))</f>
        <v>192.4785660463869</v>
      </c>
      <c r="CE54" s="59">
        <f t="shared" si="40"/>
        <v>165.11095806515362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0.53425033762701968</v>
      </c>
      <c r="CL54" s="21">
        <f>EXP(-LN(2)/25)*CL53+(1-EXP(-LN(2)/25))/(LN(2)/25)*Calculateur!CG54*Calculateur!CI54*VLOOKUP('Données projet'!$B$12,Paramètres!$A$1:$I$89,3,0)*0.475*44/12</f>
        <v>2.6374631123859018</v>
      </c>
      <c r="CM54" s="21">
        <f>EXP(-LN(2)/2)*CM53+(1-EXP(-LN(2)/2))/(LN(2)/2)*CG54*CJ54*VLOOKUP('Données projet'!$B$12,Paramètres!$A$1:$I$89,3,0)*0.475*44/12</f>
        <v>5.0565180996985787E-3</v>
      </c>
      <c r="CN54" s="22">
        <f t="shared" si="12"/>
        <v>3.17676996811262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</v>
      </c>
      <c r="CT54" s="12">
        <f>IF('Données projet'!$A$140&gt;35,CT53+CS54-DB53,IF(A54&lt;'Données projet'!$A$140,$CQ$205^A54,IF(A54='Données projet'!$A$140,'Données projet'!$B$140,CT53+CS54-DB53)))</f>
        <v>156.20000000000002</v>
      </c>
      <c r="CU54" s="17">
        <f>CT54*VLOOKUP('Données projet'!$B$13,Paramètres!$A$1:$I$89,3,0)*VLOOKUP('Données projet'!$B$13,Paramètres!$A$1:$I$89,5,0)</f>
        <v>131.58288000000002</v>
      </c>
      <c r="CV54" s="13">
        <f t="shared" si="41"/>
        <v>34.361858401483424</v>
      </c>
      <c r="CW54" s="20">
        <f t="shared" si="13"/>
        <v>289.02041938258367</v>
      </c>
      <c r="CX54" s="59">
        <f t="shared" si="14"/>
        <v>582.35375271591693</v>
      </c>
      <c r="CY54" s="59">
        <f ca="1">AVERAGE(OFFSET($CX$3,0,0,'Données projet'!$E$13+1,1))-AVERAGE(OFFSET($H$3,0,0,'Données projet'!$E$13+1,1))</f>
        <v>247.67539667223065</v>
      </c>
      <c r="CZ54" s="59">
        <f t="shared" si="42"/>
        <v>174.54442616983778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0.84540712767352555</v>
      </c>
      <c r="DG54" s="21">
        <f>EXP(-LN(2)/25)*DG53+(1-EXP(-LN(2)/25))/(LN(2)/25)*Calculateur!DB54*Calculateur!DD54*VLOOKUP('Données projet'!$B$13,Paramètres!$A$1:$I$89,3,0)*0.475*44/12</f>
        <v>3.6729995991120505</v>
      </c>
      <c r="DH54" s="21">
        <f>EXP(-LN(2)/2)*DH53+(1-EXP(-LN(2)/2))/(LN(2)/2)*DB54*DE54*VLOOKUP('Données projet'!$B$13,Paramètres!$A$1:$I$89,3,0)*0.475*44/12</f>
        <v>7.9506805434882873E-3</v>
      </c>
      <c r="DI54" s="22">
        <f t="shared" si="15"/>
        <v>4.5263574073290647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145.78846153846155</v>
      </c>
      <c r="DM54" s="12">
        <f>VLOOKUP(A54,'Données projet'!$A$165:$I$185,9,0)</f>
        <v>6.8260073260073284</v>
      </c>
      <c r="DN54" s="12">
        <f t="array" ref="DN54">INDEX(DM:DM,MIN(IF(ISNUMBER(DM54:DM250),ROW(DM54:DM250),"")))</f>
        <v>6.8260073260073284</v>
      </c>
      <c r="DO54" s="12">
        <f>IF('Données projet'!$A$166&gt;35,DO53+DN54-DW53,IF(A54&lt;'Données projet'!$A$166,$DL$205^A54,IF(A54='Données projet'!$A$166,'Données projet'!$B$166,DO53+DN54-DW53)))</f>
        <v>145.78846153846149</v>
      </c>
      <c r="DP54" s="17">
        <f>DO54*VLOOKUP('Données projet'!$B$14,Paramètres!$A$1:$I$89,3,0)*VLOOKUP('Données projet'!$B$14,Paramètres!$A$1:$I$89,5,0)</f>
        <v>145.55519999999996</v>
      </c>
      <c r="DQ54" s="13">
        <f t="shared" si="43"/>
        <v>37.566727360298493</v>
      </c>
      <c r="DR54" s="20">
        <f t="shared" si="16"/>
        <v>318.93735681918645</v>
      </c>
      <c r="DS54" s="59">
        <f t="shared" si="17"/>
        <v>612.27069015251982</v>
      </c>
      <c r="DT54" s="59">
        <f ca="1">AVERAGE(OFFSET($DS$3,0,0,'Données projet'!$E$14+1,1))-AVERAGE(OFFSET($H$3,0,0,'Données projet'!$E$14+1,1))</f>
        <v>245.06609107649069</v>
      </c>
      <c r="DU54" s="59">
        <f t="shared" si="44"/>
        <v>156.24531945456499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37.685897435897431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2.9265002849096136</v>
      </c>
      <c r="EJ54" s="12">
        <f>IF('Données projet'!$A$192&gt;35,EJ53+EI54-ER53,IF(A54&lt;'Données projet'!$A$192,$EG$205^A54,IF(A54='Données projet'!$A$192,'Données projet'!$B$192,EJ53+EI54-ER53)))</f>
        <v>88.569149917007152</v>
      </c>
      <c r="EK54" s="17">
        <f>EJ54*VLOOKUP('Données projet'!$B$15,Paramètres!$A$1:$I$89,3,0)*VLOOKUP('Données projet'!$B$15,Paramètres!$A$1:$I$89,5,0)</f>
        <v>96.717511709371806</v>
      </c>
      <c r="EL54" s="13">
        <f t="shared" si="45"/>
        <v>26.178477451282994</v>
      </c>
      <c r="EM54" s="20">
        <f t="shared" si="19"/>
        <v>214.04384778814043</v>
      </c>
      <c r="EN54" s="59">
        <f t="shared" si="20"/>
        <v>507.37718112147377</v>
      </c>
      <c r="EO54" s="59">
        <f ca="1">AVERAGE(OFFSET($EN$3,0,0,'Données projet'!$E$15+1,1))-AVERAGE(OFFSET($H$3,0,0,'Données projet'!$E$15+1,1))</f>
        <v>173.63857221119594</v>
      </c>
      <c r="EP54" s="59">
        <f t="shared" si="46"/>
        <v>52.373745617370105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199.58634493109349</v>
      </c>
      <c r="T55" s="59">
        <f t="shared" si="34"/>
        <v>288.66487031729008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3.2322487640546873</v>
      </c>
      <c r="AA55" s="21">
        <f>EXP(-LN(2)/25)*AA54+(1-EXP(-LN(2)/25))/(LN(2)/25)*Calculateur!V55*Calculateur!X55*VLOOKUP('Données projet'!$B$9,Paramètres!$A$1:$I$89,3,0)*0.475*44/12</f>
        <v>9.3077879539767991</v>
      </c>
      <c r="AB55" s="21">
        <f>EXP(-LN(2)/2)*AB54+(1-EXP(-LN(2)/2))/(LN(2)/2)*V55*Y55*VLOOKUP('Données projet'!$B$9,Paramètres!$A$1:$I$89,3,0)*0.475*44/12</f>
        <v>1.4403817643594309E-3</v>
      </c>
      <c r="AC55" s="22">
        <f t="shared" si="3"/>
        <v>12.541477099795847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20.5</v>
      </c>
      <c r="AI55" s="13">
        <f>IF('Données projet'!$A$62&gt;35,AI54+AH55-AQ54,IF(A55&lt;'Données projet'!$A$62,$AF$205^A55,IF(A55='Données projet'!$A$62,'Données projet'!$B$62,AI54+AH55-AQ54)))</f>
        <v>403.9999999999996</v>
      </c>
      <c r="AJ55" s="13">
        <f>AI55*VLOOKUP('Données projet'!$B$10,Paramètres!$A$1:$I$89,3,0)*VLOOKUP('Données projet'!$B$10,Paramètres!$A$1:$I$89,5,0)</f>
        <v>241.59199999999979</v>
      </c>
      <c r="AK55" s="13">
        <f t="shared" si="35"/>
        <v>58.78192512694978</v>
      </c>
      <c r="AL55" s="20">
        <f t="shared" si="4"/>
        <v>523.15125292943719</v>
      </c>
      <c r="AM55" s="59">
        <f t="shared" si="5"/>
        <v>816.48458626277056</v>
      </c>
      <c r="AN55" s="59">
        <f ca="1">AVERAGE(OFFSET($AM$3,0,0,'Données projet'!$E$10+1,1))-AVERAGE(OFFSET($H$3,0,0,'Données projet'!$E$10+1,1))</f>
        <v>395.40396173178527</v>
      </c>
      <c r="AO55" s="59">
        <f t="shared" si="36"/>
        <v>304.68075128568756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1.9395567258301167</v>
      </c>
      <c r="AV55" s="21">
        <f>EXP(-LN(2)/25)*AV54+(1-EXP(-LN(2)/25))/(LN(2)/25)*Calculateur!AQ55*Calculateur!AS55*VLOOKUP('Données projet'!$B$10,Paramètres!$A$1:$I$89,3,0)*0.475*44/12</f>
        <v>10.158470309993143</v>
      </c>
      <c r="AW55" s="21">
        <f>EXP(-LN(2)/2)*AW54+(1-EXP(-LN(2)/2))/(LN(2)/2)*AQ55*AT55*VLOOKUP('Données projet'!$B$10,Paramètres!$A$1:$I$89,3,0)*0.475*44/12</f>
        <v>1.2698254039002809E-2</v>
      </c>
      <c r="AX55" s="21">
        <f t="shared" si="6"/>
        <v>12.110725289862264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36.10000000000008</v>
      </c>
      <c r="BE55" s="13">
        <f>BD55*VLOOKUP('Données projet'!$B$11,Paramètres!$A$1:$I$89,3,0)*VLOOKUP('Données projet'!$B$11,Paramètres!$A$1:$I$89,5,0)</f>
        <v>31.536960000000075</v>
      </c>
      <c r="BF55" s="13">
        <f t="shared" si="37"/>
        <v>9.725440120377133</v>
      </c>
      <c r="BG55" s="20">
        <f t="shared" si="7"/>
        <v>71.865346876323642</v>
      </c>
      <c r="BH55" s="59">
        <f t="shared" si="8"/>
        <v>365.19868020965697</v>
      </c>
      <c r="BI55" s="59">
        <f ca="1">AVERAGE(OFFSET($BH$3,0,0,'Données projet'!$E$11+1,1))-AVERAGE(OFFSET($H$3,0,0,'Données projet'!$E$11+1,1))</f>
        <v>249.21292089724221</v>
      </c>
      <c r="BJ55" s="59">
        <f t="shared" si="38"/>
        <v>640.80644476065254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72.943521283323776</v>
      </c>
      <c r="BQ55" s="21">
        <f>EXP(-LN(2)/25)*BQ54+(1-EXP(-LN(2)/25))/(LN(2)/25)*Calculateur!BL55*Calculateur!BN55*VLOOKUP('Données projet'!$B$11,Paramètres!$A$1:$I$89,3,0)*0.475*44/12</f>
        <v>58.237145117328353</v>
      </c>
      <c r="BR55" s="21">
        <f>EXP(-LN(2)/2)*BR54+(1-EXP(-LN(2)/2))/(LN(2)/2)*BL55*BO55*VLOOKUP('Données projet'!$B$11,Paramètres!$A$1:$I$89,3,0)*0.475*44/12</f>
        <v>4.0302510660780042E-2</v>
      </c>
      <c r="BS55" s="22">
        <f t="shared" si="9"/>
        <v>131.22096891131289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5.4</v>
      </c>
      <c r="BY55" s="12">
        <f>IF('Données projet'!$A$114&gt;35,BY54+BX55-CG54,IF(A55&lt;'Données projet'!$A$114,$BV$205^A55,IF(A55='Données projet'!$A$114,'Données projet'!$B$114,BY54+BX55-CG54)))</f>
        <v>167.80000000000018</v>
      </c>
      <c r="BZ55" s="13">
        <f>BY55*VLOOKUP('Données projet'!$B$12,Paramètres!$A$1:$I$89,3,0)*VLOOKUP('Données projet'!$B$12,Paramètres!$A$1:$I$89,5,0)</f>
        <v>136.11936000000017</v>
      </c>
      <c r="CA55" s="13">
        <f t="shared" si="39"/>
        <v>35.406556182020907</v>
      </c>
      <c r="CB55" s="20">
        <f t="shared" si="10"/>
        <v>298.74097068368673</v>
      </c>
      <c r="CC55" s="59">
        <f t="shared" si="11"/>
        <v>592.07430401702004</v>
      </c>
      <c r="CD55" s="59">
        <f ca="1">AVERAGE(OFFSET($CC$3,0,0,'Données projet'!$E$12+1,1))-AVERAGE(OFFSET($H$3,0,0,'Données projet'!$E$12+1,1))</f>
        <v>192.4785660463869</v>
      </c>
      <c r="CE55" s="59">
        <f t="shared" si="40"/>
        <v>165.11095806515362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0.52377401436668369</v>
      </c>
      <c r="CL55" s="21">
        <f>EXP(-LN(2)/25)*CL54+(1-EXP(-LN(2)/25))/(LN(2)/25)*Calculateur!CG55*Calculateur!CI55*VLOOKUP('Données projet'!$B$12,Paramètres!$A$1:$I$89,3,0)*0.475*44/12</f>
        <v>2.5653415448795522</v>
      </c>
      <c r="CM55" s="21">
        <f>EXP(-LN(2)/2)*CM54+(1-EXP(-LN(2)/2))/(LN(2)/2)*CG55*CJ55*VLOOKUP('Données projet'!$B$12,Paramètres!$A$1:$I$89,3,0)*0.475*44/12</f>
        <v>3.57549823748938E-3</v>
      </c>
      <c r="CN55" s="22">
        <f t="shared" si="12"/>
        <v>3.0926910574837256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</v>
      </c>
      <c r="CT55" s="12">
        <f>IF('Données projet'!$A$140&gt;35,CT54+CS55-DB54,IF(A55&lt;'Données projet'!$A$140,$CQ$205^A55,IF(A55='Données projet'!$A$140,'Données projet'!$B$140,CT54+CS55-DB54)))</f>
        <v>163.4</v>
      </c>
      <c r="CU55" s="17">
        <f>CT55*VLOOKUP('Données projet'!$B$13,Paramètres!$A$1:$I$89,3,0)*VLOOKUP('Données projet'!$B$13,Paramètres!$A$1:$I$89,5,0)</f>
        <v>137.64816000000002</v>
      </c>
      <c r="CV55" s="13">
        <f t="shared" si="41"/>
        <v>35.757701898726467</v>
      </c>
      <c r="CW55" s="20">
        <f t="shared" si="13"/>
        <v>302.01520947361524</v>
      </c>
      <c r="CX55" s="59">
        <f t="shared" si="14"/>
        <v>595.34854280694856</v>
      </c>
      <c r="CY55" s="59">
        <f ca="1">AVERAGE(OFFSET($CX$3,0,0,'Données projet'!$E$13+1,1))-AVERAGE(OFFSET($H$3,0,0,'Données projet'!$E$13+1,1))</f>
        <v>247.67539667223065</v>
      </c>
      <c r="CZ55" s="59">
        <f t="shared" si="42"/>
        <v>174.54442616983778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0.82882920954727968</v>
      </c>
      <c r="DG55" s="21">
        <f>EXP(-LN(2)/25)*DG54+(1-EXP(-LN(2)/25))/(LN(2)/25)*Calculateur!DB55*Calculateur!DD55*VLOOKUP('Données projet'!$B$13,Paramètres!$A$1:$I$89,3,0)*0.475*44/12</f>
        <v>3.5725612319196776</v>
      </c>
      <c r="DH55" s="21">
        <f>EXP(-LN(2)/2)*DH54+(1-EXP(-LN(2)/2))/(LN(2)/2)*DB55*DE55*VLOOKUP('Données projet'!$B$13,Paramètres!$A$1:$I$89,3,0)*0.475*44/12</f>
        <v>5.6219801273485132E-3</v>
      </c>
      <c r="DI55" s="22">
        <f t="shared" si="15"/>
        <v>4.4070124215943061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6.3942307692307665</v>
      </c>
      <c r="DO55" s="12">
        <f>IF('Données projet'!$A$166&gt;35,DO54+DN55-DW54,IF(A55&lt;'Données projet'!$A$166,$DL$205^A55,IF(A55='Données projet'!$A$166,'Données projet'!$B$166,DO54+DN55-DW54)))</f>
        <v>114.49679487179483</v>
      </c>
      <c r="DP55" s="17">
        <f>DO55*VLOOKUP('Données projet'!$B$14,Paramètres!$A$1:$I$89,3,0)*VLOOKUP('Données projet'!$B$14,Paramètres!$A$1:$I$89,5,0)</f>
        <v>114.31359999999997</v>
      </c>
      <c r="DQ55" s="13">
        <f t="shared" si="43"/>
        <v>30.3450160123191</v>
      </c>
      <c r="DR55" s="20">
        <f t="shared" si="16"/>
        <v>251.94708955478904</v>
      </c>
      <c r="DS55" s="59">
        <f t="shared" si="17"/>
        <v>545.2804228881223</v>
      </c>
      <c r="DT55" s="59">
        <f ca="1">AVERAGE(OFFSET($DS$3,0,0,'Données projet'!$E$14+1,1))-AVERAGE(OFFSET($H$3,0,0,'Données projet'!$E$14+1,1))</f>
        <v>245.06609107649069</v>
      </c>
      <c r="DU55" s="59">
        <f t="shared" si="44"/>
        <v>156.24531945456499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2.9265002849096136</v>
      </c>
      <c r="EJ55" s="12">
        <f>IF('Données projet'!$A$192&gt;35,EJ54+EI55-ER54,IF(A55&lt;'Données projet'!$A$192,$EG$205^A55,IF(A55='Données projet'!$A$192,'Données projet'!$B$192,EJ54+EI55-ER54)))</f>
        <v>91.49565020191676</v>
      </c>
      <c r="EK55" s="17">
        <f>EJ55*VLOOKUP('Données projet'!$B$15,Paramètres!$A$1:$I$89,3,0)*VLOOKUP('Données projet'!$B$15,Paramètres!$A$1:$I$89,5,0)</f>
        <v>99.913250020493095</v>
      </c>
      <c r="EL55" s="13">
        <f t="shared" si="45"/>
        <v>26.941329518204519</v>
      </c>
      <c r="EM55" s="20">
        <f t="shared" si="19"/>
        <v>220.93839269656499</v>
      </c>
      <c r="EN55" s="59">
        <f t="shared" si="20"/>
        <v>514.27172602989833</v>
      </c>
      <c r="EO55" s="59">
        <f ca="1">AVERAGE(OFFSET($EN$3,0,0,'Données projet'!$E$15+1,1))-AVERAGE(OFFSET($H$3,0,0,'Données projet'!$E$15+1,1))</f>
        <v>173.63857221119594</v>
      </c>
      <c r="EP55" s="59">
        <f t="shared" si="46"/>
        <v>52.373745617370105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199.58634493109349</v>
      </c>
      <c r="T56" s="59">
        <f t="shared" si="34"/>
        <v>288.66487031729008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3.1688663372686539</v>
      </c>
      <c r="AA56" s="21">
        <f>EXP(-LN(2)/25)*AA55+(1-EXP(-LN(2)/25))/(LN(2)/25)*Calculateur!V56*Calculateur!X56*VLOOKUP('Données projet'!$B$9,Paramètres!$A$1:$I$89,3,0)*0.475*44/12</f>
        <v>9.053266002900008</v>
      </c>
      <c r="AB56" s="21">
        <f>EXP(-LN(2)/2)*AB55+(1-EXP(-LN(2)/2))/(LN(2)/2)*V56*Y56*VLOOKUP('Données projet'!$B$9,Paramètres!$A$1:$I$89,3,0)*0.475*44/12</f>
        <v>1.0185037130759974E-3</v>
      </c>
      <c r="AC56" s="22">
        <f t="shared" si="3"/>
        <v>12.223150843881738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20.5</v>
      </c>
      <c r="AI56" s="13">
        <f>IF('Données projet'!$A$62&gt;35,AI55+AH56-AQ55,IF(A56&lt;'Données projet'!$A$62,$AF$205^A56,IF(A56='Données projet'!$A$62,'Données projet'!$B$62,AI55+AH56-AQ55)))</f>
        <v>424.4999999999996</v>
      </c>
      <c r="AJ56" s="13">
        <f>AI56*VLOOKUP('Données projet'!$B$10,Paramètres!$A$1:$I$89,3,0)*VLOOKUP('Données projet'!$B$10,Paramètres!$A$1:$I$89,5,0)</f>
        <v>253.85099999999977</v>
      </c>
      <c r="AK56" s="13">
        <f t="shared" si="35"/>
        <v>61.409839451305558</v>
      </c>
      <c r="AL56" s="20">
        <f t="shared" si="4"/>
        <v>549.07929537769007</v>
      </c>
      <c r="AM56" s="59">
        <f t="shared" si="5"/>
        <v>842.41262871102344</v>
      </c>
      <c r="AN56" s="59">
        <f ca="1">AVERAGE(OFFSET($AM$3,0,0,'Données projet'!$E$10+1,1))-AVERAGE(OFFSET($H$3,0,0,'Données projet'!$E$10+1,1))</f>
        <v>395.40396173178527</v>
      </c>
      <c r="AO56" s="59">
        <f t="shared" si="36"/>
        <v>304.68075128568756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1.9015232014493781</v>
      </c>
      <c r="AV56" s="21">
        <f>EXP(-LN(2)/25)*AV55+(1-EXP(-LN(2)/25))/(LN(2)/25)*Calculateur!AQ56*Calculateur!AS56*VLOOKUP('Données projet'!$B$10,Paramètres!$A$1:$I$89,3,0)*0.475*44/12</f>
        <v>9.8806864051556449</v>
      </c>
      <c r="AW56" s="21">
        <f>EXP(-LN(2)/2)*AW55+(1-EXP(-LN(2)/2))/(LN(2)/2)*AQ56*AT56*VLOOKUP('Données projet'!$B$10,Paramètres!$A$1:$I$89,3,0)*0.475*44/12</f>
        <v>8.9790215402083522E-3</v>
      </c>
      <c r="AX56" s="21">
        <f t="shared" si="6"/>
        <v>11.79118862814523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36.10000000000008</v>
      </c>
      <c r="BE56" s="13">
        <f>BD56*VLOOKUP('Données projet'!$B$11,Paramètres!$A$1:$I$89,3,0)*VLOOKUP('Données projet'!$B$11,Paramètres!$A$1:$I$89,5,0)</f>
        <v>31.536960000000075</v>
      </c>
      <c r="BF56" s="13">
        <f t="shared" si="37"/>
        <v>9.725440120377133</v>
      </c>
      <c r="BG56" s="20">
        <f t="shared" si="7"/>
        <v>71.865346876323642</v>
      </c>
      <c r="BH56" s="59">
        <f t="shared" si="8"/>
        <v>365.19868020965697</v>
      </c>
      <c r="BI56" s="59">
        <f ca="1">AVERAGE(OFFSET($BH$3,0,0,'Données projet'!$E$11+1,1))-AVERAGE(OFFSET($H$3,0,0,'Données projet'!$E$11+1,1))</f>
        <v>249.21292089724221</v>
      </c>
      <c r="BJ56" s="59">
        <f t="shared" si="38"/>
        <v>640.80644476065254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71.51314332211264</v>
      </c>
      <c r="BQ56" s="21">
        <f>EXP(-LN(2)/25)*BQ55+(1-EXP(-LN(2)/25))/(LN(2)/25)*Calculateur!BL56*Calculateur!BN56*VLOOKUP('Données projet'!$B$11,Paramètres!$A$1:$I$89,3,0)*0.475*44/12</f>
        <v>56.644647321536652</v>
      </c>
      <c r="BR56" s="21">
        <f>EXP(-LN(2)/2)*BR55+(1-EXP(-LN(2)/2))/(LN(2)/2)*BL56*BO56*VLOOKUP('Données projet'!$B$11,Paramètres!$A$1:$I$89,3,0)*0.475*44/12</f>
        <v>2.8498178587080692E-2</v>
      </c>
      <c r="BS56" s="22">
        <f t="shared" si="9"/>
        <v>128.18628882223638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5.4</v>
      </c>
      <c r="BY56" s="12">
        <f>IF('Données projet'!$A$114&gt;35,BY55+BX56-CG55,IF(A56&lt;'Données projet'!$A$114,$BV$205^A56,IF(A56='Données projet'!$A$114,'Données projet'!$B$114,BY55+BX56-CG55)))</f>
        <v>173.20000000000019</v>
      </c>
      <c r="BZ56" s="13">
        <f>BY56*VLOOKUP('Données projet'!$B$12,Paramètres!$A$1:$I$89,3,0)*VLOOKUP('Données projet'!$B$12,Paramètres!$A$1:$I$89,5,0)</f>
        <v>140.49984000000018</v>
      </c>
      <c r="CA56" s="13">
        <f t="shared" si="39"/>
        <v>36.411488058235619</v>
      </c>
      <c r="CB56" s="20">
        <f t="shared" si="10"/>
        <v>308.12056303476066</v>
      </c>
      <c r="CC56" s="59">
        <f t="shared" si="11"/>
        <v>601.45389636809398</v>
      </c>
      <c r="CD56" s="59">
        <f ca="1">AVERAGE(OFFSET($CC$3,0,0,'Données projet'!$E$12+1,1))-AVERAGE(OFFSET($H$3,0,0,'Données projet'!$E$12+1,1))</f>
        <v>192.4785660463869</v>
      </c>
      <c r="CE56" s="59">
        <f t="shared" si="40"/>
        <v>165.11095806515362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0.51350312541555665</v>
      </c>
      <c r="CL56" s="21">
        <f>EXP(-LN(2)/25)*CL55+(1-EXP(-LN(2)/25))/(LN(2)/25)*Calculateur!CG56*Calculateur!CI56*VLOOKUP('Données projet'!$B$12,Paramètres!$A$1:$I$89,3,0)*0.475*44/12</f>
        <v>2.4951921454293724</v>
      </c>
      <c r="CM56" s="21">
        <f>EXP(-LN(2)/2)*CM55+(1-EXP(-LN(2)/2))/(LN(2)/2)*CG56*CJ56*VLOOKUP('Données projet'!$B$12,Paramètres!$A$1:$I$89,3,0)*0.475*44/12</f>
        <v>2.5282590498492893E-3</v>
      </c>
      <c r="CN56" s="22">
        <f t="shared" si="12"/>
        <v>3.0112235298947785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</v>
      </c>
      <c r="CT56" s="12">
        <f>IF('Données projet'!$A$140&gt;35,CT55+CS56-DB55,IF(A56&lt;'Données projet'!$A$140,$CQ$205^A56,IF(A56='Données projet'!$A$140,'Données projet'!$B$140,CT55+CS56-DB55)))</f>
        <v>170.6</v>
      </c>
      <c r="CU56" s="17">
        <f>CT56*VLOOKUP('Données projet'!$B$13,Paramètres!$A$1:$I$89,3,0)*VLOOKUP('Données projet'!$B$13,Paramètres!$A$1:$I$89,5,0)</f>
        <v>143.71344000000002</v>
      </c>
      <c r="CV56" s="13">
        <f t="shared" si="41"/>
        <v>37.146401990372148</v>
      </c>
      <c r="CW56" s="20">
        <f t="shared" si="13"/>
        <v>314.99755813323151</v>
      </c>
      <c r="CX56" s="59">
        <f t="shared" si="14"/>
        <v>608.33089146656482</v>
      </c>
      <c r="CY56" s="59">
        <f ca="1">AVERAGE(OFFSET($CX$3,0,0,'Données projet'!$E$13+1,1))-AVERAGE(OFFSET($H$3,0,0,'Données projet'!$E$13+1,1))</f>
        <v>247.67539667223065</v>
      </c>
      <c r="CZ56" s="59">
        <f t="shared" si="42"/>
        <v>174.54442616983778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0.81257637428395779</v>
      </c>
      <c r="DG56" s="21">
        <f>EXP(-LN(2)/25)*DG55+(1-EXP(-LN(2)/25))/(LN(2)/25)*Calculateur!DB56*Calculateur!DD56*VLOOKUP('Données projet'!$B$13,Paramètres!$A$1:$I$89,3,0)*0.475*44/12</f>
        <v>3.4748693571600038</v>
      </c>
      <c r="DH56" s="21">
        <f>EXP(-LN(2)/2)*DH55+(1-EXP(-LN(2)/2))/(LN(2)/2)*DB56*DE56*VLOOKUP('Données projet'!$B$13,Paramètres!$A$1:$I$89,3,0)*0.475*44/12</f>
        <v>3.9753402717441436E-3</v>
      </c>
      <c r="DI56" s="22">
        <f t="shared" si="15"/>
        <v>4.2914210717157051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6.3942307692307665</v>
      </c>
      <c r="DO56" s="12">
        <f>IF('Données projet'!$A$166&gt;35,DO55+DN56-DW55,IF(A56&lt;'Données projet'!$A$166,$DL$205^A56,IF(A56='Données projet'!$A$166,'Données projet'!$B$166,DO55+DN56-DW55)))</f>
        <v>120.89102564102561</v>
      </c>
      <c r="DP56" s="17">
        <f>DO56*VLOOKUP('Données projet'!$B$14,Paramètres!$A$1:$I$89,3,0)*VLOOKUP('Données projet'!$B$14,Paramètres!$A$1:$I$89,5,0)</f>
        <v>120.69759999999997</v>
      </c>
      <c r="DQ56" s="13">
        <f t="shared" si="43"/>
        <v>31.837648108420023</v>
      </c>
      <c r="DR56" s="20">
        <f t="shared" si="16"/>
        <v>265.66555712216478</v>
      </c>
      <c r="DS56" s="59">
        <f t="shared" si="17"/>
        <v>558.9988904554981</v>
      </c>
      <c r="DT56" s="59">
        <f ca="1">AVERAGE(OFFSET($DS$3,0,0,'Données projet'!$E$14+1,1))-AVERAGE(OFFSET($H$3,0,0,'Données projet'!$E$14+1,1))</f>
        <v>245.06609107649069</v>
      </c>
      <c r="DU56" s="59">
        <f t="shared" si="44"/>
        <v>156.24531945456499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2.9265002849096136</v>
      </c>
      <c r="EJ56" s="12">
        <f>IF('Données projet'!$A$192&gt;35,EJ55+EI56-ER55,IF(A56&lt;'Données projet'!$A$192,$EG$205^A56,IF(A56='Données projet'!$A$192,'Données projet'!$B$192,EJ55+EI56-ER55)))</f>
        <v>94.422150486826368</v>
      </c>
      <c r="EK56" s="17">
        <f>EJ56*VLOOKUP('Données projet'!$B$15,Paramètres!$A$1:$I$89,3,0)*VLOOKUP('Données projet'!$B$15,Paramètres!$A$1:$I$89,5,0)</f>
        <v>103.1089883316144</v>
      </c>
      <c r="EL56" s="13">
        <f t="shared" si="45"/>
        <v>27.701346203841776</v>
      </c>
      <c r="EM56" s="20">
        <f t="shared" si="19"/>
        <v>227.82799931591947</v>
      </c>
      <c r="EN56" s="59">
        <f t="shared" si="20"/>
        <v>521.16133264925281</v>
      </c>
      <c r="EO56" s="59">
        <f ca="1">AVERAGE(OFFSET($EN$3,0,0,'Données projet'!$E$15+1,1))-AVERAGE(OFFSET($H$3,0,0,'Données projet'!$E$15+1,1))</f>
        <v>173.63857221119594</v>
      </c>
      <c r="EP56" s="59">
        <f t="shared" si="46"/>
        <v>52.373745617370105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199.58634493109349</v>
      </c>
      <c r="T57" s="59">
        <f t="shared" si="34"/>
        <v>288.66487031729008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3.1067268012124316</v>
      </c>
      <c r="AA57" s="21">
        <f>EXP(-LN(2)/25)*AA56+(1-EXP(-LN(2)/25))/(LN(2)/25)*Calculateur!V57*Calculateur!X57*VLOOKUP('Données projet'!$B$9,Paramètres!$A$1:$I$89,3,0)*0.475*44/12</f>
        <v>8.8057039679601399</v>
      </c>
      <c r="AB57" s="21">
        <f>EXP(-LN(2)/2)*AB56+(1-EXP(-LN(2)/2))/(LN(2)/2)*V57*Y57*VLOOKUP('Données projet'!$B$9,Paramètres!$A$1:$I$89,3,0)*0.475*44/12</f>
        <v>7.2019088217971546E-4</v>
      </c>
      <c r="AC57" s="22">
        <f t="shared" si="3"/>
        <v>11.913150960054752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20.5</v>
      </c>
      <c r="AI57" s="13">
        <f>IF('Données projet'!$A$62&gt;35,AI56+AH57-AQ56,IF(A57&lt;'Données projet'!$A$62,$AF$205^A57,IF(A57='Données projet'!$A$62,'Données projet'!$B$62,AI56+AH57-AQ56)))</f>
        <v>444.9999999999996</v>
      </c>
      <c r="AJ57" s="13">
        <f>AI57*VLOOKUP('Données projet'!$B$10,Paramètres!$A$1:$I$89,3,0)*VLOOKUP('Données projet'!$B$10,Paramètres!$A$1:$I$89,5,0)</f>
        <v>266.10999999999979</v>
      </c>
      <c r="AK57" s="13">
        <f t="shared" si="35"/>
        <v>64.023017132832891</v>
      </c>
      <c r="AL57" s="20">
        <f t="shared" si="4"/>
        <v>574.98167150635015</v>
      </c>
      <c r="AM57" s="59">
        <f t="shared" si="5"/>
        <v>868.31500483968352</v>
      </c>
      <c r="AN57" s="59">
        <f ca="1">AVERAGE(OFFSET($AM$3,0,0,'Données projet'!$E$10+1,1))-AVERAGE(OFFSET($H$3,0,0,'Données projet'!$E$10+1,1))</f>
        <v>395.40396173178527</v>
      </c>
      <c r="AO57" s="59">
        <f t="shared" si="36"/>
        <v>304.68075128568756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1.8642354912835866</v>
      </c>
      <c r="AV57" s="21">
        <f>EXP(-LN(2)/25)*AV56+(1-EXP(-LN(2)/25))/(LN(2)/25)*Calculateur!AQ57*Calculateur!AS57*VLOOKUP('Données projet'!$B$10,Paramètres!$A$1:$I$89,3,0)*0.475*44/12</f>
        <v>9.6104985158039486</v>
      </c>
      <c r="AW57" s="21">
        <f>EXP(-LN(2)/2)*AW56+(1-EXP(-LN(2)/2))/(LN(2)/2)*AQ57*AT57*VLOOKUP('Données projet'!$B$10,Paramètres!$A$1:$I$89,3,0)*0.475*44/12</f>
        <v>6.3491270195014044E-3</v>
      </c>
      <c r="AX57" s="21">
        <f t="shared" si="6"/>
        <v>11.481083134107037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36.10000000000008</v>
      </c>
      <c r="BE57" s="13">
        <f>BD57*VLOOKUP('Données projet'!$B$11,Paramètres!$A$1:$I$89,3,0)*VLOOKUP('Données projet'!$B$11,Paramètres!$A$1:$I$89,5,0)</f>
        <v>31.536960000000075</v>
      </c>
      <c r="BF57" s="13">
        <f t="shared" si="37"/>
        <v>9.725440120377133</v>
      </c>
      <c r="BG57" s="20">
        <f t="shared" si="7"/>
        <v>71.865346876323642</v>
      </c>
      <c r="BH57" s="59">
        <f t="shared" si="8"/>
        <v>365.19868020965697</v>
      </c>
      <c r="BI57" s="59">
        <f ca="1">AVERAGE(OFFSET($BH$3,0,0,'Données projet'!$E$11+1,1))-AVERAGE(OFFSET($H$3,0,0,'Données projet'!$E$11+1,1))</f>
        <v>249.21292089724221</v>
      </c>
      <c r="BJ57" s="59">
        <f t="shared" si="38"/>
        <v>640.80644476065254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70.110814200276451</v>
      </c>
      <c r="BQ57" s="21">
        <f>EXP(-LN(2)/25)*BQ56+(1-EXP(-LN(2)/25))/(LN(2)/25)*Calculateur!BL57*Calculateur!BN57*VLOOKUP('Données projet'!$B$11,Paramètres!$A$1:$I$89,3,0)*0.475*44/12</f>
        <v>55.095696461716692</v>
      </c>
      <c r="BR57" s="21">
        <f>EXP(-LN(2)/2)*BR56+(1-EXP(-LN(2)/2))/(LN(2)/2)*BL57*BO57*VLOOKUP('Données projet'!$B$11,Paramètres!$A$1:$I$89,3,0)*0.475*44/12</f>
        <v>2.0151255330390021E-2</v>
      </c>
      <c r="BS57" s="22">
        <f t="shared" si="9"/>
        <v>125.22666191732354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5.4</v>
      </c>
      <c r="BY57" s="12">
        <f>IF('Données projet'!$A$114&gt;35,BY56+BX57-CG56,IF(A57&lt;'Données projet'!$A$114,$BV$205^A57,IF(A57='Données projet'!$A$114,'Données projet'!$B$114,BY56+BX57-CG56)))</f>
        <v>178.60000000000019</v>
      </c>
      <c r="BZ57" s="13">
        <f>BY57*VLOOKUP('Données projet'!$B$12,Paramètres!$A$1:$I$89,3,0)*VLOOKUP('Données projet'!$B$12,Paramètres!$A$1:$I$89,5,0)</f>
        <v>144.88032000000015</v>
      </c>
      <c r="CA57" s="13">
        <f t="shared" si="39"/>
        <v>37.412778923310448</v>
      </c>
      <c r="CB57" s="20">
        <f t="shared" si="10"/>
        <v>317.49381395809928</v>
      </c>
      <c r="CC57" s="59">
        <f t="shared" si="11"/>
        <v>610.82714729143254</v>
      </c>
      <c r="CD57" s="59">
        <f ca="1">AVERAGE(OFFSET($CC$3,0,0,'Données projet'!$E$12+1,1))-AVERAGE(OFFSET($H$3,0,0,'Données projet'!$E$12+1,1))</f>
        <v>192.4785660463869</v>
      </c>
      <c r="CE57" s="59">
        <f t="shared" si="40"/>
        <v>165.11095806515362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0.50343364233213761</v>
      </c>
      <c r="CL57" s="21">
        <f>EXP(-LN(2)/25)*CL56+(1-EXP(-LN(2)/25))/(LN(2)/25)*Calculateur!CG57*Calculateur!CI57*VLOOKUP('Données projet'!$B$12,Paramètres!$A$1:$I$89,3,0)*0.475*44/12</f>
        <v>2.4269609849961542</v>
      </c>
      <c r="CM57" s="21">
        <f>EXP(-LN(2)/2)*CM56+(1-EXP(-LN(2)/2))/(LN(2)/2)*CG57*CJ57*VLOOKUP('Données projet'!$B$12,Paramètres!$A$1:$I$89,3,0)*0.475*44/12</f>
        <v>1.78774911874469E-3</v>
      </c>
      <c r="CN57" s="22">
        <f t="shared" si="12"/>
        <v>2.9321823764470363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</v>
      </c>
      <c r="CT57" s="12">
        <f>IF('Données projet'!$A$140&gt;35,CT56+CS57-DB56,IF(A57&lt;'Données projet'!$A$140,$CQ$205^A57,IF(A57='Données projet'!$A$140,'Données projet'!$B$140,CT56+CS57-DB56)))</f>
        <v>177.79999999999998</v>
      </c>
      <c r="CU57" s="17">
        <f>CT57*VLOOKUP('Données projet'!$B$13,Paramètres!$A$1:$I$89,3,0)*VLOOKUP('Données projet'!$B$13,Paramètres!$A$1:$I$89,5,0)</f>
        <v>149.77871999999999</v>
      </c>
      <c r="CV57" s="13">
        <f t="shared" si="41"/>
        <v>38.528294627003653</v>
      </c>
      <c r="CW57" s="20">
        <f t="shared" si="13"/>
        <v>327.96805047536463</v>
      </c>
      <c r="CX57" s="59">
        <f t="shared" si="14"/>
        <v>621.30138380869789</v>
      </c>
      <c r="CY57" s="59">
        <f ca="1">AVERAGE(OFFSET($CX$3,0,0,'Données projet'!$E$13+1,1))-AVERAGE(OFFSET($H$3,0,0,'Données projet'!$E$13+1,1))</f>
        <v>247.67539667223065</v>
      </c>
      <c r="CZ57" s="59">
        <f t="shared" si="42"/>
        <v>174.54442616983778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0.79664224720689902</v>
      </c>
      <c r="DG57" s="21">
        <f>EXP(-LN(2)/25)*DG56+(1-EXP(-LN(2)/25))/(LN(2)/25)*Calculateur!DB57*Calculateur!DD57*VLOOKUP('Données projet'!$B$13,Paramètres!$A$1:$I$89,3,0)*0.475*44/12</f>
        <v>3.3798488718530257</v>
      </c>
      <c r="DH57" s="21">
        <f>EXP(-LN(2)/2)*DH56+(1-EXP(-LN(2)/2))/(LN(2)/2)*DB57*DE57*VLOOKUP('Données projet'!$B$13,Paramètres!$A$1:$I$89,3,0)*0.475*44/12</f>
        <v>2.8109900636742566E-3</v>
      </c>
      <c r="DI57" s="22">
        <f t="shared" si="15"/>
        <v>4.1793021091235989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6.3942307692307665</v>
      </c>
      <c r="DO57" s="12">
        <f>IF('Données projet'!$A$166&gt;35,DO56+DN57-DW56,IF(A57&lt;'Données projet'!$A$166,$DL$205^A57,IF(A57='Données projet'!$A$166,'Données projet'!$B$166,DO56+DN57-DW56)))</f>
        <v>127.28525641025638</v>
      </c>
      <c r="DP57" s="17">
        <f>DO57*VLOOKUP('Données projet'!$B$14,Paramètres!$A$1:$I$89,3,0)*VLOOKUP('Données projet'!$B$14,Paramètres!$A$1:$I$89,5,0)</f>
        <v>127.08159999999998</v>
      </c>
      <c r="DQ57" s="13">
        <f t="shared" si="43"/>
        <v>33.321114252058038</v>
      </c>
      <c r="DR57" s="20">
        <f t="shared" si="16"/>
        <v>279.36806065566765</v>
      </c>
      <c r="DS57" s="59">
        <f t="shared" si="17"/>
        <v>572.70139398900096</v>
      </c>
      <c r="DT57" s="59">
        <f ca="1">AVERAGE(OFFSET($DS$3,0,0,'Données projet'!$E$14+1,1))-AVERAGE(OFFSET($H$3,0,0,'Données projet'!$E$14+1,1))</f>
        <v>245.06609107649069</v>
      </c>
      <c r="DU57" s="59">
        <f t="shared" si="44"/>
        <v>156.24531945456499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2.9265002849096136</v>
      </c>
      <c r="EJ57" s="12">
        <f>IF('Données projet'!$A$192&gt;35,EJ56+EI57-ER56,IF(A57&lt;'Données projet'!$A$192,$EG$205^A57,IF(A57='Données projet'!$A$192,'Données projet'!$B$192,EJ56+EI57-ER56)))</f>
        <v>97.348650771735976</v>
      </c>
      <c r="EK57" s="17">
        <f>EJ57*VLOOKUP('Données projet'!$B$15,Paramètres!$A$1:$I$89,3,0)*VLOOKUP('Données projet'!$B$15,Paramètres!$A$1:$I$89,5,0)</f>
        <v>106.30472664273567</v>
      </c>
      <c r="EL57" s="13">
        <f t="shared" si="45"/>
        <v>28.458625471608368</v>
      </c>
      <c r="EM57" s="20">
        <f t="shared" si="19"/>
        <v>234.71283826581586</v>
      </c>
      <c r="EN57" s="59">
        <f t="shared" si="20"/>
        <v>528.04617159914915</v>
      </c>
      <c r="EO57" s="59">
        <f ca="1">AVERAGE(OFFSET($EN$3,0,0,'Données projet'!$E$15+1,1))-AVERAGE(OFFSET($H$3,0,0,'Données projet'!$E$15+1,1))</f>
        <v>173.63857221119594</v>
      </c>
      <c r="EP57" s="59">
        <f t="shared" si="46"/>
        <v>52.373745617370105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199.58634493109349</v>
      </c>
      <c r="T58" s="59">
        <f t="shared" si="34"/>
        <v>288.66487031729008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3.0458057835568972</v>
      </c>
      <c r="AA58" s="21">
        <f>EXP(-LN(2)/25)*AA57+(1-EXP(-LN(2)/25))/(LN(2)/25)*Calculateur!V58*Calculateur!X58*VLOOKUP('Données projet'!$B$9,Paramètres!$A$1:$I$89,3,0)*0.475*44/12</f>
        <v>8.5649115298844247</v>
      </c>
      <c r="AB58" s="21">
        <f>EXP(-LN(2)/2)*AB57+(1-EXP(-LN(2)/2))/(LN(2)/2)*V58*Y58*VLOOKUP('Données projet'!$B$9,Paramètres!$A$1:$I$89,3,0)*0.475*44/12</f>
        <v>5.0925185653799868E-4</v>
      </c>
      <c r="AC58" s="22">
        <f t="shared" si="3"/>
        <v>11.61122656529786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20.5</v>
      </c>
      <c r="AI58" s="13">
        <f>IF('Données projet'!$A$62&gt;35,AI57+AH58-AQ57,IF(A58&lt;'Données projet'!$A$62,$AF$205^A58,IF(A58='Données projet'!$A$62,'Données projet'!$B$62,AI57+AH58-AQ57)))</f>
        <v>465.4999999999996</v>
      </c>
      <c r="AJ58" s="13">
        <f>AI58*VLOOKUP('Données projet'!$B$10,Paramètres!$A$1:$I$89,3,0)*VLOOKUP('Données projet'!$B$10,Paramètres!$A$1:$I$89,5,0)</f>
        <v>278.3689999999998</v>
      </c>
      <c r="AK58" s="13">
        <f t="shared" si="35"/>
        <v>66.622214590592932</v>
      </c>
      <c r="AL58" s="20">
        <f t="shared" si="4"/>
        <v>600.85969874528234</v>
      </c>
      <c r="AM58" s="59">
        <f t="shared" si="5"/>
        <v>894.19303207861572</v>
      </c>
      <c r="AN58" s="59">
        <f ca="1">AVERAGE(OFFSET($AM$3,0,0,'Données projet'!$E$10+1,1))-AVERAGE(OFFSET($H$3,0,0,'Données projet'!$E$10+1,1))</f>
        <v>395.40396173178527</v>
      </c>
      <c r="AO58" s="59">
        <f t="shared" si="36"/>
        <v>304.68075128568756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1.8276789703708887</v>
      </c>
      <c r="AV58" s="21">
        <f>EXP(-LN(2)/25)*AV57+(1-EXP(-LN(2)/25))/(LN(2)/25)*Calculateur!AQ58*Calculateur!AS58*VLOOKUP('Données projet'!$B$10,Paramètres!$A$1:$I$89,3,0)*0.475*44/12</f>
        <v>9.3476989284951379</v>
      </c>
      <c r="AW58" s="21">
        <f>EXP(-LN(2)/2)*AW57+(1-EXP(-LN(2)/2))/(LN(2)/2)*AQ58*AT58*VLOOKUP('Données projet'!$B$10,Paramètres!$A$1:$I$89,3,0)*0.475*44/12</f>
        <v>4.4895107701041761E-3</v>
      </c>
      <c r="AX58" s="21">
        <f t="shared" si="6"/>
        <v>11.179867409636131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36.10000000000008</v>
      </c>
      <c r="BE58" s="13">
        <f>BD58*VLOOKUP('Données projet'!$B$11,Paramètres!$A$1:$I$89,3,0)*VLOOKUP('Données projet'!$B$11,Paramètres!$A$1:$I$89,5,0)</f>
        <v>31.536960000000075</v>
      </c>
      <c r="BF58" s="13">
        <f t="shared" si="37"/>
        <v>9.725440120377133</v>
      </c>
      <c r="BG58" s="20">
        <f t="shared" si="7"/>
        <v>71.865346876323642</v>
      </c>
      <c r="BH58" s="59">
        <f t="shared" si="8"/>
        <v>365.19868020965697</v>
      </c>
      <c r="BI58" s="59">
        <f ca="1">AVERAGE(OFFSET($BH$3,0,0,'Données projet'!$E$11+1,1))-AVERAGE(OFFSET($H$3,0,0,'Données projet'!$E$11+1,1))</f>
        <v>249.21292089724221</v>
      </c>
      <c r="BJ58" s="59">
        <f t="shared" si="38"/>
        <v>640.80644476065254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68.735983897183161</v>
      </c>
      <c r="BQ58" s="21">
        <f>EXP(-LN(2)/25)*BQ57+(1-EXP(-LN(2)/25))/(LN(2)/25)*Calculateur!BL58*Calculateur!BN58*VLOOKUP('Données projet'!$B$11,Paramètres!$A$1:$I$89,3,0)*0.475*44/12</f>
        <v>53.589101744614297</v>
      </c>
      <c r="BR58" s="21">
        <f>EXP(-LN(2)/2)*BR57+(1-EXP(-LN(2)/2))/(LN(2)/2)*BL58*BO58*VLOOKUP('Données projet'!$B$11,Paramètres!$A$1:$I$89,3,0)*0.475*44/12</f>
        <v>1.4249089293540346E-2</v>
      </c>
      <c r="BS58" s="22">
        <f t="shared" si="9"/>
        <v>122.339334731091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5.4</v>
      </c>
      <c r="BY58" s="12">
        <f>IF('Données projet'!$A$114&gt;35,BY57+BX58-CG57,IF(A58&lt;'Données projet'!$A$114,$BV$205^A58,IF(A58='Données projet'!$A$114,'Données projet'!$B$114,BY57+BX58-CG57)))</f>
        <v>184.0000000000002</v>
      </c>
      <c r="BZ58" s="13">
        <f>BY58*VLOOKUP('Données projet'!$B$12,Paramètres!$A$1:$I$89,3,0)*VLOOKUP('Données projet'!$B$12,Paramètres!$A$1:$I$89,5,0)</f>
        <v>149.26080000000016</v>
      </c>
      <c r="CA58" s="13">
        <f t="shared" si="39"/>
        <v>38.410551499792945</v>
      </c>
      <c r="CB58" s="20">
        <f t="shared" si="10"/>
        <v>326.86093719547301</v>
      </c>
      <c r="CC58" s="59">
        <f t="shared" si="11"/>
        <v>620.19427052880633</v>
      </c>
      <c r="CD58" s="59">
        <f ca="1">AVERAGE(OFFSET($CC$3,0,0,'Données projet'!$E$12+1,1))-AVERAGE(OFFSET($H$3,0,0,'Données projet'!$E$12+1,1))</f>
        <v>192.4785660463869</v>
      </c>
      <c r="CE58" s="59">
        <f t="shared" si="40"/>
        <v>165.11095806515362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0.49356161567020612</v>
      </c>
      <c r="CL58" s="21">
        <f>EXP(-LN(2)/25)*CL57+(1-EXP(-LN(2)/25))/(LN(2)/25)*Calculateur!CG58*Calculateur!CI58*VLOOKUP('Données projet'!$B$12,Paramètres!$A$1:$I$89,3,0)*0.475*44/12</f>
        <v>2.3605956092331031</v>
      </c>
      <c r="CM58" s="21">
        <f>EXP(-LN(2)/2)*CM57+(1-EXP(-LN(2)/2))/(LN(2)/2)*CG58*CJ58*VLOOKUP('Données projet'!$B$12,Paramètres!$A$1:$I$89,3,0)*0.475*44/12</f>
        <v>1.2641295249246447E-3</v>
      </c>
      <c r="CN58" s="22">
        <f t="shared" si="12"/>
        <v>2.8554213544282336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</v>
      </c>
      <c r="CT58" s="12">
        <f>IF('Données projet'!$A$140&gt;35,CT57+CS58-DB57,IF(A58&lt;'Données projet'!$A$140,$CQ$205^A58,IF(A58='Données projet'!$A$140,'Données projet'!$B$140,CT57+CS58-DB57)))</f>
        <v>184.99999999999997</v>
      </c>
      <c r="CU58" s="17">
        <f>CT58*VLOOKUP('Données projet'!$B$13,Paramètres!$A$1:$I$89,3,0)*VLOOKUP('Données projet'!$B$13,Paramètres!$A$1:$I$89,5,0)</f>
        <v>155.84399999999999</v>
      </c>
      <c r="CV58" s="13">
        <f t="shared" si="41"/>
        <v>39.903687010744221</v>
      </c>
      <c r="CW58" s="20">
        <f t="shared" si="13"/>
        <v>340.92722154371285</v>
      </c>
      <c r="CX58" s="59">
        <f t="shared" si="14"/>
        <v>634.26055487704616</v>
      </c>
      <c r="CY58" s="59">
        <f ca="1">AVERAGE(OFFSET($CX$3,0,0,'Données projet'!$E$13+1,1))-AVERAGE(OFFSET($H$3,0,0,'Données projet'!$E$13+1,1))</f>
        <v>247.67539667223065</v>
      </c>
      <c r="CZ58" s="59">
        <f t="shared" si="42"/>
        <v>174.54442616983778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0.78102057864296348</v>
      </c>
      <c r="DG58" s="21">
        <f>EXP(-LN(2)/25)*DG57+(1-EXP(-LN(2)/25))/(LN(2)/25)*Calculateur!DB58*Calculateur!DD58*VLOOKUP('Données projet'!$B$13,Paramètres!$A$1:$I$89,3,0)*0.475*44/12</f>
        <v>3.2874267267136772</v>
      </c>
      <c r="DH58" s="21">
        <f>EXP(-LN(2)/2)*DH57+(1-EXP(-LN(2)/2))/(LN(2)/2)*DB58*DE58*VLOOKUP('Données projet'!$B$13,Paramètres!$A$1:$I$89,3,0)*0.475*44/12</f>
        <v>1.9876701358720718E-3</v>
      </c>
      <c r="DI58" s="22">
        <f t="shared" si="15"/>
        <v>4.0704349754925122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6.3942307692307665</v>
      </c>
      <c r="DO58" s="12">
        <f>IF('Données projet'!$A$166&gt;35,DO57+DN58-DW57,IF(A58&lt;'Données projet'!$A$166,$DL$205^A58,IF(A58='Données projet'!$A$166,'Données projet'!$B$166,DO57+DN58-DW57)))</f>
        <v>133.67948717948715</v>
      </c>
      <c r="DP58" s="17">
        <f>DO58*VLOOKUP('Données projet'!$B$14,Paramètres!$A$1:$I$89,3,0)*VLOOKUP('Données projet'!$B$14,Paramètres!$A$1:$I$89,5,0)</f>
        <v>133.46559999999999</v>
      </c>
      <c r="DQ58" s="13">
        <f t="shared" si="43"/>
        <v>34.795927437889411</v>
      </c>
      <c r="DR58" s="20">
        <f t="shared" si="16"/>
        <v>293.05549362099072</v>
      </c>
      <c r="DS58" s="59">
        <f t="shared" si="17"/>
        <v>586.38882695432403</v>
      </c>
      <c r="DT58" s="59">
        <f ca="1">AVERAGE(OFFSET($DS$3,0,0,'Données projet'!$E$14+1,1))-AVERAGE(OFFSET($H$3,0,0,'Données projet'!$E$14+1,1))</f>
        <v>245.06609107649069</v>
      </c>
      <c r="DU58" s="59">
        <f t="shared" si="44"/>
        <v>156.24531945456499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2.9265002849096136</v>
      </c>
      <c r="EJ58" s="12">
        <f>IF('Données projet'!$A$192&gt;35,EJ57+EI58-ER57,IF(A58&lt;'Données projet'!$A$192,$EG$205^A58,IF(A58='Données projet'!$A$192,'Données projet'!$B$192,EJ57+EI58-ER57)))</f>
        <v>100.27515105664558</v>
      </c>
      <c r="EK58" s="17">
        <f>EJ58*VLOOKUP('Données projet'!$B$15,Paramètres!$A$1:$I$89,3,0)*VLOOKUP('Données projet'!$B$15,Paramètres!$A$1:$I$89,5,0)</f>
        <v>109.50046495385698</v>
      </c>
      <c r="EL58" s="13">
        <f t="shared" si="45"/>
        <v>29.213259060210348</v>
      </c>
      <c r="EM58" s="20">
        <f t="shared" si="19"/>
        <v>241.59306932450059</v>
      </c>
      <c r="EN58" s="59">
        <f t="shared" si="20"/>
        <v>534.92640265783393</v>
      </c>
      <c r="EO58" s="59">
        <f ca="1">AVERAGE(OFFSET($EN$3,0,0,'Données projet'!$E$15+1,1))-AVERAGE(OFFSET($H$3,0,0,'Données projet'!$E$15+1,1))</f>
        <v>173.63857221119594</v>
      </c>
      <c r="EP58" s="59">
        <f t="shared" si="46"/>
        <v>52.373745617370105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199.58634493109349</v>
      </c>
      <c r="T59" s="59">
        <f t="shared" si="34"/>
        <v>288.66487031729008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2.986079389899436</v>
      </c>
      <c r="AA59" s="21">
        <f>EXP(-LN(2)/25)*AA58+(1-EXP(-LN(2)/25))/(LN(2)/25)*Calculateur!V59*Calculateur!X59*VLOOKUP('Données projet'!$B$9,Paramètres!$A$1:$I$89,3,0)*0.475*44/12</f>
        <v>8.330703573690613</v>
      </c>
      <c r="AB59" s="21">
        <f>EXP(-LN(2)/2)*AB58+(1-EXP(-LN(2)/2))/(LN(2)/2)*V59*Y59*VLOOKUP('Données projet'!$B$9,Paramètres!$A$1:$I$89,3,0)*0.475*44/12</f>
        <v>3.6009544108985773E-4</v>
      </c>
      <c r="AC59" s="22">
        <f t="shared" si="3"/>
        <v>11.317143059031139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20.5</v>
      </c>
      <c r="AI59" s="13">
        <f>IF('Données projet'!$A$62&gt;35,AI58+AH59-AQ58,IF(A59&lt;'Données projet'!$A$62,$AF$205^A59,IF(A59='Données projet'!$A$62,'Données projet'!$B$62,AI58+AH59-AQ58)))</f>
        <v>485.9999999999996</v>
      </c>
      <c r="AJ59" s="13">
        <f>AI59*VLOOKUP('Données projet'!$B$10,Paramètres!$A$1:$I$89,3,0)*VLOOKUP('Données projet'!$B$10,Paramètres!$A$1:$I$89,5,0)</f>
        <v>290.62799999999982</v>
      </c>
      <c r="AK59" s="13">
        <f t="shared" si="35"/>
        <v>69.208117853196882</v>
      </c>
      <c r="AL59" s="20">
        <f t="shared" si="4"/>
        <v>626.71457192765092</v>
      </c>
      <c r="AM59" s="59">
        <f t="shared" si="5"/>
        <v>920.04790526098418</v>
      </c>
      <c r="AN59" s="59">
        <f ca="1">AVERAGE(OFFSET($AM$3,0,0,'Données projet'!$E$10+1,1))-AVERAGE(OFFSET($H$3,0,0,'Données projet'!$E$10+1,1))</f>
        <v>395.40396173178527</v>
      </c>
      <c r="AO59" s="59">
        <f t="shared" si="36"/>
        <v>304.68075128568756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1.7918393005360127</v>
      </c>
      <c r="AV59" s="21">
        <f>EXP(-LN(2)/25)*AV58+(1-EXP(-LN(2)/25))/(LN(2)/25)*Calculateur!AQ59*Calculateur!AS59*VLOOKUP('Données projet'!$B$10,Paramètres!$A$1:$I$89,3,0)*0.475*44/12</f>
        <v>9.0920856097213161</v>
      </c>
      <c r="AW59" s="21">
        <f>EXP(-LN(2)/2)*AW58+(1-EXP(-LN(2)/2))/(LN(2)/2)*AQ59*AT59*VLOOKUP('Données projet'!$B$10,Paramètres!$A$1:$I$89,3,0)*0.475*44/12</f>
        <v>3.1745635097507022E-3</v>
      </c>
      <c r="AX59" s="21">
        <f t="shared" si="6"/>
        <v>10.88709947376708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36.10000000000008</v>
      </c>
      <c r="BE59" s="13">
        <f>BD59*VLOOKUP('Données projet'!$B$11,Paramètres!$A$1:$I$89,3,0)*VLOOKUP('Données projet'!$B$11,Paramètres!$A$1:$I$89,5,0)</f>
        <v>31.536960000000075</v>
      </c>
      <c r="BF59" s="13">
        <f t="shared" si="37"/>
        <v>9.725440120377133</v>
      </c>
      <c r="BG59" s="20">
        <f t="shared" si="7"/>
        <v>71.865346876323642</v>
      </c>
      <c r="BH59" s="59">
        <f t="shared" si="8"/>
        <v>365.19868020965697</v>
      </c>
      <c r="BI59" s="59">
        <f ca="1">AVERAGE(OFFSET($BH$3,0,0,'Données projet'!$E$11+1,1))-AVERAGE(OFFSET($H$3,0,0,'Données projet'!$E$11+1,1))</f>
        <v>249.21292089724221</v>
      </c>
      <c r="BJ59" s="59">
        <f t="shared" si="38"/>
        <v>640.80644476065254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67.388113177769839</v>
      </c>
      <c r="BQ59" s="21">
        <f>EXP(-LN(2)/25)*BQ58+(1-EXP(-LN(2)/25))/(LN(2)/25)*Calculateur!BL59*Calculateur!BN59*VLOOKUP('Données projet'!$B$11,Paramètres!$A$1:$I$89,3,0)*0.475*44/12</f>
        <v>52.123704939279435</v>
      </c>
      <c r="BR59" s="21">
        <f>EXP(-LN(2)/2)*BR58+(1-EXP(-LN(2)/2))/(LN(2)/2)*BL59*BO59*VLOOKUP('Données projet'!$B$11,Paramètres!$A$1:$I$89,3,0)*0.475*44/12</f>
        <v>1.007562766519501E-2</v>
      </c>
      <c r="BS59" s="22">
        <f t="shared" si="9"/>
        <v>119.52189374471448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5.4</v>
      </c>
      <c r="BY59" s="12">
        <f>IF('Données projet'!$A$114&gt;35,BY58+BX59-CG58,IF(A59&lt;'Données projet'!$A$114,$BV$205^A59,IF(A59='Données projet'!$A$114,'Données projet'!$B$114,BY58+BX59-CG58)))</f>
        <v>189.4000000000002</v>
      </c>
      <c r="BZ59" s="13">
        <f>BY59*VLOOKUP('Données projet'!$B$12,Paramètres!$A$1:$I$89,3,0)*VLOOKUP('Données projet'!$B$12,Paramètres!$A$1:$I$89,5,0)</f>
        <v>153.64128000000019</v>
      </c>
      <c r="CA59" s="13">
        <f t="shared" si="39"/>
        <v>39.404920897415366</v>
      </c>
      <c r="CB59" s="20">
        <f t="shared" si="10"/>
        <v>336.22213322966542</v>
      </c>
      <c r="CC59" s="59">
        <f t="shared" si="11"/>
        <v>629.55546656299873</v>
      </c>
      <c r="CD59" s="59">
        <f ca="1">AVERAGE(OFFSET($CC$3,0,0,'Données projet'!$E$12+1,1))-AVERAGE(OFFSET($H$3,0,0,'Données projet'!$E$12+1,1))</f>
        <v>192.4785660463869</v>
      </c>
      <c r="CE59" s="59">
        <f t="shared" si="40"/>
        <v>165.11095806515362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0.48388317342977344</v>
      </c>
      <c r="CL59" s="21">
        <f>EXP(-LN(2)/25)*CL58+(1-EXP(-LN(2)/25))/(LN(2)/25)*Calculateur!CG59*Calculateur!CI59*VLOOKUP('Données projet'!$B$12,Paramètres!$A$1:$I$89,3,0)*0.475*44/12</f>
        <v>2.2960449981602959</v>
      </c>
      <c r="CM59" s="21">
        <f>EXP(-LN(2)/2)*CM58+(1-EXP(-LN(2)/2))/(LN(2)/2)*CG59*CJ59*VLOOKUP('Données projet'!$B$12,Paramètres!$A$1:$I$89,3,0)*0.475*44/12</f>
        <v>8.9387455937234501E-4</v>
      </c>
      <c r="CN59" s="22">
        <f t="shared" si="12"/>
        <v>2.7808220461494417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</v>
      </c>
      <c r="CT59" s="12">
        <f>IF('Données projet'!$A$140&gt;35,CT58+CS59-DB58,IF(A59&lt;'Données projet'!$A$140,$CQ$205^A59,IF(A59='Données projet'!$A$140,'Données projet'!$B$140,CT58+CS59-DB58)))</f>
        <v>192.19999999999996</v>
      </c>
      <c r="CU59" s="17">
        <f>CT59*VLOOKUP('Données projet'!$B$13,Paramètres!$A$1:$I$89,3,0)*VLOOKUP('Données projet'!$B$13,Paramètres!$A$1:$I$89,5,0)</f>
        <v>161.90927999999997</v>
      </c>
      <c r="CV59" s="13">
        <f t="shared" si="41"/>
        <v>41.272861077810653</v>
      </c>
      <c r="CW59" s="20">
        <f t="shared" si="13"/>
        <v>353.87556237718678</v>
      </c>
      <c r="CX59" s="59">
        <f t="shared" si="14"/>
        <v>647.2088957105201</v>
      </c>
      <c r="CY59" s="59">
        <f ca="1">AVERAGE(OFFSET($CX$3,0,0,'Données projet'!$E$13+1,1))-AVERAGE(OFFSET($H$3,0,0,'Données projet'!$E$13+1,1))</f>
        <v>247.67539667223065</v>
      </c>
      <c r="CZ59" s="59">
        <f t="shared" si="42"/>
        <v>174.54442616983778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0.76570524147128971</v>
      </c>
      <c r="DG59" s="21">
        <f>EXP(-LN(2)/25)*DG58+(1-EXP(-LN(2)/25))/(LN(2)/25)*Calculateur!DB59*Calculateur!DD59*VLOOKUP('Données projet'!$B$13,Paramètres!$A$1:$I$89,3,0)*0.475*44/12</f>
        <v>3.1975318699934339</v>
      </c>
      <c r="DH59" s="21">
        <f>EXP(-LN(2)/2)*DH58+(1-EXP(-LN(2)/2))/(LN(2)/2)*DB59*DE59*VLOOKUP('Données projet'!$B$13,Paramètres!$A$1:$I$89,3,0)*0.475*44/12</f>
        <v>1.4054950318371283E-3</v>
      </c>
      <c r="DI59" s="22">
        <f t="shared" si="15"/>
        <v>3.9646426064965605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6.3942307692307665</v>
      </c>
      <c r="DO59" s="12">
        <f>IF('Données projet'!$A$166&gt;35,DO58+DN59-DW58,IF(A59&lt;'Données projet'!$A$166,$DL$205^A59,IF(A59='Données projet'!$A$166,'Données projet'!$B$166,DO58+DN59-DW58)))</f>
        <v>140.07371794871793</v>
      </c>
      <c r="DP59" s="17">
        <f>DO59*VLOOKUP('Données projet'!$B$14,Paramètres!$A$1:$I$89,3,0)*VLOOKUP('Données projet'!$B$14,Paramètres!$A$1:$I$89,5,0)</f>
        <v>139.84959999999998</v>
      </c>
      <c r="DQ59" s="13">
        <f t="shared" si="43"/>
        <v>36.262548811917263</v>
      </c>
      <c r="DR59" s="20">
        <f t="shared" si="16"/>
        <v>306.72865918075587</v>
      </c>
      <c r="DS59" s="59">
        <f t="shared" si="17"/>
        <v>600.06199251408918</v>
      </c>
      <c r="DT59" s="59">
        <f ca="1">AVERAGE(OFFSET($DS$3,0,0,'Données projet'!$E$14+1,1))-AVERAGE(OFFSET($H$3,0,0,'Données projet'!$E$14+1,1))</f>
        <v>245.06609107649069</v>
      </c>
      <c r="DU59" s="59">
        <f t="shared" si="44"/>
        <v>156.24531945456499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2.9265002849096136</v>
      </c>
      <c r="EJ59" s="12">
        <f>IF('Données projet'!$A$192&gt;35,EJ58+EI59-ER58,IF(A59&lt;'Données projet'!$A$192,$EG$205^A59,IF(A59='Données projet'!$A$192,'Données projet'!$B$192,EJ58+EI59-ER58)))</f>
        <v>103.20165134155519</v>
      </c>
      <c r="EK59" s="17">
        <f>EJ59*VLOOKUP('Données projet'!$B$15,Paramètres!$A$1:$I$89,3,0)*VLOOKUP('Données projet'!$B$15,Paramètres!$A$1:$I$89,5,0)</f>
        <v>112.69620326497827</v>
      </c>
      <c r="EL59" s="13">
        <f t="shared" si="45"/>
        <v>29.965333049156314</v>
      </c>
      <c r="EM59" s="20">
        <f t="shared" si="19"/>
        <v>248.46884241378439</v>
      </c>
      <c r="EN59" s="59">
        <f t="shared" si="20"/>
        <v>541.80217574711764</v>
      </c>
      <c r="EO59" s="59">
        <f ca="1">AVERAGE(OFFSET($EN$3,0,0,'Données projet'!$E$15+1,1))-AVERAGE(OFFSET($H$3,0,0,'Données projet'!$E$15+1,1))</f>
        <v>173.63857221119594</v>
      </c>
      <c r="EP59" s="59">
        <f t="shared" si="46"/>
        <v>52.373745617370105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199.58634493109349</v>
      </c>
      <c r="T60" s="59">
        <f t="shared" si="34"/>
        <v>288.66487031729008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2.9275241943920944</v>
      </c>
      <c r="AA60" s="21">
        <f>EXP(-LN(2)/25)*AA59+(1-EXP(-LN(2)/25))/(LN(2)/25)*Calculateur!V60*Calculateur!X60*VLOOKUP('Données projet'!$B$9,Paramètres!$A$1:$I$89,3,0)*0.475*44/12</f>
        <v>8.1029000463753817</v>
      </c>
      <c r="AB60" s="21">
        <f>EXP(-LN(2)/2)*AB59+(1-EXP(-LN(2)/2))/(LN(2)/2)*V60*Y60*VLOOKUP('Données projet'!$B$9,Paramètres!$A$1:$I$89,3,0)*0.475*44/12</f>
        <v>2.5462592826899934E-4</v>
      </c>
      <c r="AC60" s="22">
        <f t="shared" si="3"/>
        <v>11.030678866695746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20.5</v>
      </c>
      <c r="AI60" s="13">
        <f>IF('Données projet'!$A$62&gt;35,AI59+AH60-AQ59,IF(A60&lt;'Données projet'!$A$62,$AF$205^A60,IF(A60='Données projet'!$A$62,'Données projet'!$B$62,AI59+AH60-AQ59)))</f>
        <v>506.4999999999996</v>
      </c>
      <c r="AJ60" s="13">
        <f>AI60*VLOOKUP('Données projet'!$B$10,Paramètres!$A$1:$I$89,3,0)*VLOOKUP('Données projet'!$B$10,Paramètres!$A$1:$I$89,5,0)</f>
        <v>302.88699999999977</v>
      </c>
      <c r="AK60" s="13">
        <f t="shared" si="35"/>
        <v>71.78135180053944</v>
      </c>
      <c r="AL60" s="20">
        <f t="shared" si="4"/>
        <v>652.54737938593905</v>
      </c>
      <c r="AM60" s="59">
        <f t="shared" si="5"/>
        <v>945.88071271927242</v>
      </c>
      <c r="AN60" s="59">
        <f ca="1">AVERAGE(OFFSET($AM$3,0,0,'Données projet'!$E$10+1,1))-AVERAGE(OFFSET($H$3,0,0,'Données projet'!$E$10+1,1))</f>
        <v>395.40396173178527</v>
      </c>
      <c r="AO60" s="59">
        <f t="shared" si="36"/>
        <v>304.68075128568756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1.7567024247665586</v>
      </c>
      <c r="AV60" s="21">
        <f>EXP(-LN(2)/25)*AV59+(1-EXP(-LN(2)/25))/(LN(2)/25)*Calculateur!AQ60*Calculateur!AS60*VLOOKUP('Données projet'!$B$10,Paramètres!$A$1:$I$89,3,0)*0.475*44/12</f>
        <v>8.8434620505914854</v>
      </c>
      <c r="AW60" s="21">
        <f>EXP(-LN(2)/2)*AW59+(1-EXP(-LN(2)/2))/(LN(2)/2)*AQ60*AT60*VLOOKUP('Données projet'!$B$10,Paramètres!$A$1:$I$89,3,0)*0.475*44/12</f>
        <v>2.2447553850520881E-3</v>
      </c>
      <c r="AX60" s="21">
        <f t="shared" si="6"/>
        <v>10.602409230743095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36.10000000000008</v>
      </c>
      <c r="BE60" s="13">
        <f>BD60*VLOOKUP('Données projet'!$B$11,Paramètres!$A$1:$I$89,3,0)*VLOOKUP('Données projet'!$B$11,Paramètres!$A$1:$I$89,5,0)</f>
        <v>31.536960000000075</v>
      </c>
      <c r="BF60" s="13">
        <f t="shared" si="37"/>
        <v>9.725440120377133</v>
      </c>
      <c r="BG60" s="20">
        <f t="shared" si="7"/>
        <v>71.865346876323642</v>
      </c>
      <c r="BH60" s="59">
        <f t="shared" si="8"/>
        <v>365.19868020965697</v>
      </c>
      <c r="BI60" s="59">
        <f ca="1">AVERAGE(OFFSET($BH$3,0,0,'Données projet'!$E$11+1,1))-AVERAGE(OFFSET($H$3,0,0,'Données projet'!$E$11+1,1))</f>
        <v>249.21292089724221</v>
      </c>
      <c r="BJ60" s="59">
        <f t="shared" si="38"/>
        <v>640.80644476065254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66.066673381044254</v>
      </c>
      <c r="BQ60" s="21">
        <f>EXP(-LN(2)/25)*BQ59+(1-EXP(-LN(2)/25))/(LN(2)/25)*Calculateur!BL60*Calculateur!BN60*VLOOKUP('Données projet'!$B$11,Paramètres!$A$1:$I$89,3,0)*0.475*44/12</f>
        <v>50.698379486648328</v>
      </c>
      <c r="BR60" s="21">
        <f>EXP(-LN(2)/2)*BR59+(1-EXP(-LN(2)/2))/(LN(2)/2)*BL60*BO60*VLOOKUP('Données projet'!$B$11,Paramètres!$A$1:$I$89,3,0)*0.475*44/12</f>
        <v>7.124544646770173E-3</v>
      </c>
      <c r="BS60" s="22">
        <f t="shared" si="9"/>
        <v>116.77217741233936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5.4</v>
      </c>
      <c r="BY60" s="12">
        <f>IF('Données projet'!$A$114&gt;35,BY59+BX60-CG59,IF(A60&lt;'Données projet'!$A$114,$BV$205^A60,IF(A60='Données projet'!$A$114,'Données projet'!$B$114,BY59+BX60-CG59)))</f>
        <v>194.80000000000021</v>
      </c>
      <c r="BZ60" s="13">
        <f>BY60*VLOOKUP('Données projet'!$B$12,Paramètres!$A$1:$I$89,3,0)*VLOOKUP('Données projet'!$B$12,Paramètres!$A$1:$I$89,5,0)</f>
        <v>158.02176000000017</v>
      </c>
      <c r="CA60" s="13">
        <f t="shared" si="39"/>
        <v>40.395995288758165</v>
      </c>
      <c r="CB60" s="20">
        <f t="shared" si="10"/>
        <v>345.57759046125403</v>
      </c>
      <c r="CC60" s="59">
        <f t="shared" si="11"/>
        <v>638.91092379458735</v>
      </c>
      <c r="CD60" s="59">
        <f ca="1">AVERAGE(OFFSET($CC$3,0,0,'Données projet'!$E$12+1,1))-AVERAGE(OFFSET($H$3,0,0,'Données projet'!$E$12+1,1))</f>
        <v>192.4785660463869</v>
      </c>
      <c r="CE60" s="59">
        <f t="shared" si="40"/>
        <v>165.11095806515362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0.47439451953840878</v>
      </c>
      <c r="CL60" s="21">
        <f>EXP(-LN(2)/25)*CL59+(1-EXP(-LN(2)/25))/(LN(2)/25)*Calculateur!CG60*Calculateur!CI60*VLOOKUP('Données projet'!$B$12,Paramètres!$A$1:$I$89,3,0)*0.475*44/12</f>
        <v>2.2332595269418438</v>
      </c>
      <c r="CM60" s="21">
        <f>EXP(-LN(2)/2)*CM59+(1-EXP(-LN(2)/2))/(LN(2)/2)*CG60*CJ60*VLOOKUP('Données projet'!$B$12,Paramètres!$A$1:$I$89,3,0)*0.475*44/12</f>
        <v>6.3206476246232234E-4</v>
      </c>
      <c r="CN60" s="22">
        <f t="shared" si="12"/>
        <v>2.7082861112427152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</v>
      </c>
      <c r="CT60" s="12">
        <f>IF('Données projet'!$A$140&gt;35,CT59+CS60-DB59,IF(A60&lt;'Données projet'!$A$140,$CQ$205^A60,IF(A60='Données projet'!$A$140,'Données projet'!$B$140,CT59+CS60-DB59)))</f>
        <v>199.39999999999995</v>
      </c>
      <c r="CU60" s="17">
        <f>CT60*VLOOKUP('Données projet'!$B$13,Paramètres!$A$1:$I$89,3,0)*VLOOKUP('Données projet'!$B$13,Paramètres!$A$1:$I$89,5,0)</f>
        <v>167.97455999999997</v>
      </c>
      <c r="CV60" s="13">
        <f t="shared" si="41"/>
        <v>42.636076444555371</v>
      </c>
      <c r="CW60" s="20">
        <f t="shared" si="13"/>
        <v>366.81352514093379</v>
      </c>
      <c r="CX60" s="59">
        <f t="shared" si="14"/>
        <v>660.14685847426711</v>
      </c>
      <c r="CY60" s="59">
        <f ca="1">AVERAGE(OFFSET($CX$3,0,0,'Données projet'!$E$13+1,1))-AVERAGE(OFFSET($H$3,0,0,'Données projet'!$E$13+1,1))</f>
        <v>247.67539667223065</v>
      </c>
      <c r="CZ60" s="59">
        <f t="shared" si="42"/>
        <v>174.54442616983778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0.75069022872011926</v>
      </c>
      <c r="DG60" s="21">
        <f>EXP(-LN(2)/25)*DG59+(1-EXP(-LN(2)/25))/(LN(2)/25)*Calculateur!DB60*Calculateur!DD60*VLOOKUP('Données projet'!$B$13,Paramètres!$A$1:$I$89,3,0)*0.475*44/12</f>
        <v>3.1100951928575706</v>
      </c>
      <c r="DH60" s="21">
        <f>EXP(-LN(2)/2)*DH59+(1-EXP(-LN(2)/2))/(LN(2)/2)*DB60*DE60*VLOOKUP('Données projet'!$B$13,Paramètres!$A$1:$I$89,3,0)*0.475*44/12</f>
        <v>9.9383506793603591E-4</v>
      </c>
      <c r="DI60" s="22">
        <f t="shared" si="15"/>
        <v>3.8617792566456259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6.3942307692307665</v>
      </c>
      <c r="DO60" s="12">
        <f>IF('Données projet'!$A$166&gt;35,DO59+DN60-DW59,IF(A60&lt;'Données projet'!$A$166,$DL$205^A60,IF(A60='Données projet'!$A$166,'Données projet'!$B$166,DO59+DN60-DW59)))</f>
        <v>146.4679487179487</v>
      </c>
      <c r="DP60" s="17">
        <f>DO60*VLOOKUP('Données projet'!$B$14,Paramètres!$A$1:$I$89,3,0)*VLOOKUP('Données projet'!$B$14,Paramètres!$A$1:$I$89,5,0)</f>
        <v>146.2336</v>
      </c>
      <c r="DQ60" s="13">
        <f t="shared" si="43"/>
        <v>37.721395038633268</v>
      </c>
      <c r="DR60" s="20">
        <f t="shared" si="16"/>
        <v>320.38828302561961</v>
      </c>
      <c r="DS60" s="59">
        <f t="shared" si="17"/>
        <v>613.72161635895293</v>
      </c>
      <c r="DT60" s="59">
        <f ca="1">AVERAGE(OFFSET($DS$3,0,0,'Données projet'!$E$14+1,1))-AVERAGE(OFFSET($H$3,0,0,'Données projet'!$E$14+1,1))</f>
        <v>245.06609107649069</v>
      </c>
      <c r="DU60" s="59">
        <f t="shared" si="44"/>
        <v>156.24531945456499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2.9265002849096136</v>
      </c>
      <c r="EJ60" s="12">
        <f>IF('Données projet'!$A$192&gt;35,EJ59+EI60-ER59,IF(A60&lt;'Données projet'!$A$192,$EG$205^A60,IF(A60='Données projet'!$A$192,'Données projet'!$B$192,EJ59+EI60-ER59)))</f>
        <v>106.1281516264648</v>
      </c>
      <c r="EK60" s="17">
        <f>EJ60*VLOOKUP('Données projet'!$B$15,Paramètres!$A$1:$I$89,3,0)*VLOOKUP('Données projet'!$B$15,Paramètres!$A$1:$I$89,5,0)</f>
        <v>115.89194157609957</v>
      </c>
      <c r="EL60" s="13">
        <f t="shared" si="45"/>
        <v>30.714928358319565</v>
      </c>
      <c r="EM60" s="20">
        <f t="shared" si="19"/>
        <v>255.34029846911335</v>
      </c>
      <c r="EN60" s="59">
        <f t="shared" si="20"/>
        <v>548.67363180244661</v>
      </c>
      <c r="EO60" s="59">
        <f ca="1">AVERAGE(OFFSET($EN$3,0,0,'Données projet'!$E$15+1,1))-AVERAGE(OFFSET($H$3,0,0,'Données projet'!$E$15+1,1))</f>
        <v>173.63857221119594</v>
      </c>
      <c r="EP60" s="59">
        <f t="shared" si="46"/>
        <v>52.373745617370105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199.58634493109349</v>
      </c>
      <c r="T61" s="59">
        <f t="shared" si="34"/>
        <v>288.66487031729008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2.8701172305535092</v>
      </c>
      <c r="AA61" s="21">
        <f>EXP(-LN(2)/25)*AA60+(1-EXP(-LN(2)/25))/(LN(2)/25)*Calculateur!V61*Calculateur!X61*VLOOKUP('Données projet'!$B$9,Paramètres!$A$1:$I$89,3,0)*0.475*44/12</f>
        <v>7.8813258184942532</v>
      </c>
      <c r="AB61" s="21">
        <f>EXP(-LN(2)/2)*AB60+(1-EXP(-LN(2)/2))/(LN(2)/2)*V61*Y61*VLOOKUP('Données projet'!$B$9,Paramètres!$A$1:$I$89,3,0)*0.475*44/12</f>
        <v>1.8004772054492886E-4</v>
      </c>
      <c r="AC61" s="22">
        <f t="shared" si="3"/>
        <v>10.751623096768306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20.5</v>
      </c>
      <c r="AI61" s="13">
        <f>IF('Données projet'!$A$62&gt;35,AI60+AH61-AQ60,IF(A61&lt;'Données projet'!$A$62,$AF$205^A61,IF(A61='Données projet'!$A$62,'Données projet'!$B$62,AI60+AH61-AQ60)))</f>
        <v>526.99999999999955</v>
      </c>
      <c r="AJ61" s="13">
        <f>AI61*VLOOKUP('Données projet'!$B$10,Paramètres!$A$1:$I$89,3,0)*VLOOKUP('Données projet'!$B$10,Paramètres!$A$1:$I$89,5,0)</f>
        <v>315.14599999999973</v>
      </c>
      <c r="AK61" s="13">
        <f t="shared" si="35"/>
        <v>74.342487867211091</v>
      </c>
      <c r="AL61" s="20">
        <f t="shared" si="4"/>
        <v>678.35911636872549</v>
      </c>
      <c r="AM61" s="59">
        <f t="shared" si="5"/>
        <v>971.69244970205887</v>
      </c>
      <c r="AN61" s="59">
        <f ca="1">AVERAGE(OFFSET($AM$3,0,0,'Données projet'!$E$10+1,1))-AVERAGE(OFFSET($H$3,0,0,'Données projet'!$E$10+1,1))</f>
        <v>395.40396173178527</v>
      </c>
      <c r="AO61" s="59">
        <f t="shared" si="36"/>
        <v>304.68075128568756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1.7222545616995653</v>
      </c>
      <c r="AV61" s="21">
        <f>EXP(-LN(2)/25)*AV60+(1-EXP(-LN(2)/25))/(LN(2)/25)*Calculateur!AQ61*Calculateur!AS61*VLOOKUP('Données projet'!$B$10,Paramètres!$A$1:$I$89,3,0)*0.475*44/12</f>
        <v>8.6016371157606049</v>
      </c>
      <c r="AW61" s="21">
        <f>EXP(-LN(2)/2)*AW60+(1-EXP(-LN(2)/2))/(LN(2)/2)*AQ61*AT61*VLOOKUP('Données projet'!$B$10,Paramètres!$A$1:$I$89,3,0)*0.475*44/12</f>
        <v>1.5872817548753511E-3</v>
      </c>
      <c r="AX61" s="21">
        <f t="shared" si="6"/>
        <v>10.325478959215046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36.10000000000008</v>
      </c>
      <c r="BE61" s="13">
        <f>BD61*VLOOKUP('Données projet'!$B$11,Paramètres!$A$1:$I$89,3,0)*VLOOKUP('Données projet'!$B$11,Paramètres!$A$1:$I$89,5,0)</f>
        <v>31.536960000000075</v>
      </c>
      <c r="BF61" s="13">
        <f t="shared" si="37"/>
        <v>9.725440120377133</v>
      </c>
      <c r="BG61" s="20">
        <f t="shared" si="7"/>
        <v>71.865346876323642</v>
      </c>
      <c r="BH61" s="59">
        <f t="shared" si="8"/>
        <v>365.19868020965697</v>
      </c>
      <c r="BI61" s="59">
        <f ca="1">AVERAGE(OFFSET($BH$3,0,0,'Données projet'!$E$11+1,1))-AVERAGE(OFFSET($H$3,0,0,'Données projet'!$E$11+1,1))</f>
        <v>249.21292089724221</v>
      </c>
      <c r="BJ61" s="59">
        <f t="shared" si="38"/>
        <v>640.80644476065254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64.771146212733768</v>
      </c>
      <c r="BQ61" s="21">
        <f>EXP(-LN(2)/25)*BQ60+(1-EXP(-LN(2)/25))/(LN(2)/25)*Calculateur!BL61*Calculateur!BN61*VLOOKUP('Données projet'!$B$11,Paramètres!$A$1:$I$89,3,0)*0.475*44/12</f>
        <v>49.312029633474026</v>
      </c>
      <c r="BR61" s="21">
        <f>EXP(-LN(2)/2)*BR60+(1-EXP(-LN(2)/2))/(LN(2)/2)*BL61*BO61*VLOOKUP('Données projet'!$B$11,Paramètres!$A$1:$I$89,3,0)*0.475*44/12</f>
        <v>5.0378138325975052E-3</v>
      </c>
      <c r="BS61" s="22">
        <f t="shared" si="9"/>
        <v>114.0882136600404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5.4</v>
      </c>
      <c r="BY61" s="12">
        <f>IF('Données projet'!$A$114&gt;35,BY60+BX61-CG60,IF(A61&lt;'Données projet'!$A$114,$BV$205^A61,IF(A61='Données projet'!$A$114,'Données projet'!$B$114,BY60+BX61-CG60)))</f>
        <v>200.20000000000022</v>
      </c>
      <c r="BZ61" s="13">
        <f>BY61*VLOOKUP('Données projet'!$B$12,Paramètres!$A$1:$I$89,3,0)*VLOOKUP('Données projet'!$B$12,Paramètres!$A$1:$I$89,5,0)</f>
        <v>162.40224000000018</v>
      </c>
      <c r="CA61" s="13">
        <f t="shared" si="39"/>
        <v>41.383876507887827</v>
      </c>
      <c r="CB61" s="20">
        <f t="shared" si="10"/>
        <v>354.92748625123824</v>
      </c>
      <c r="CC61" s="59">
        <f t="shared" si="11"/>
        <v>648.26081958457155</v>
      </c>
      <c r="CD61" s="59">
        <f ca="1">AVERAGE(OFFSET($CC$3,0,0,'Données projet'!$E$12+1,1))-AVERAGE(OFFSET($H$3,0,0,'Données projet'!$E$12+1,1))</f>
        <v>192.4785660463869</v>
      </c>
      <c r="CE61" s="59">
        <f t="shared" si="40"/>
        <v>165.11095806515362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0.46509193236234636</v>
      </c>
      <c r="CL61" s="21">
        <f>EXP(-LN(2)/25)*CL60+(1-EXP(-LN(2)/25))/(LN(2)/25)*Calculateur!CG61*Calculateur!CI61*VLOOKUP('Données projet'!$B$12,Paramètres!$A$1:$I$89,3,0)*0.475*44/12</f>
        <v>2.1721909277356048</v>
      </c>
      <c r="CM61" s="21">
        <f>EXP(-LN(2)/2)*CM60+(1-EXP(-LN(2)/2))/(LN(2)/2)*CG61*CJ61*VLOOKUP('Données projet'!$B$12,Paramètres!$A$1:$I$89,3,0)*0.475*44/12</f>
        <v>4.469372796861725E-4</v>
      </c>
      <c r="CN61" s="22">
        <f t="shared" si="12"/>
        <v>2.637729797377637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7.2</v>
      </c>
      <c r="CT61" s="12">
        <f>IF('Données projet'!$A$140&gt;35,CT60+CS61-DB60,IF(A61&lt;'Données projet'!$A$140,$CQ$205^A61,IF(A61='Données projet'!$A$140,'Données projet'!$B$140,CT60+CS61-DB60)))</f>
        <v>206.59999999999994</v>
      </c>
      <c r="CU61" s="17">
        <f>CT61*VLOOKUP('Données projet'!$B$13,Paramètres!$A$1:$I$89,3,0)*VLOOKUP('Données projet'!$B$13,Paramètres!$A$1:$I$89,5,0)</f>
        <v>174.03983999999997</v>
      </c>
      <c r="CV61" s="13">
        <f t="shared" si="41"/>
        <v>43.993572916043675</v>
      </c>
      <c r="CW61" s="20">
        <f t="shared" si="13"/>
        <v>379.7415274954426</v>
      </c>
      <c r="CX61" s="59">
        <f t="shared" si="14"/>
        <v>673.07486082877585</v>
      </c>
      <c r="CY61" s="59">
        <f ca="1">AVERAGE(OFFSET($CX$3,0,0,'Données projet'!$E$13+1,1))-AVERAGE(OFFSET($H$3,0,0,'Données projet'!$E$13+1,1))</f>
        <v>247.67539667223065</v>
      </c>
      <c r="CZ61" s="59">
        <f t="shared" si="42"/>
        <v>174.54442616983778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0.73596965121074576</v>
      </c>
      <c r="DG61" s="21">
        <f>EXP(-LN(2)/25)*DG60+(1-EXP(-LN(2)/25))/(LN(2)/25)*Calculateur!DB61*Calculateur!DD61*VLOOKUP('Données projet'!$B$13,Paramètres!$A$1:$I$89,3,0)*0.475*44/12</f>
        <v>3.0250494762560822</v>
      </c>
      <c r="DH61" s="21">
        <f>EXP(-LN(2)/2)*DH60+(1-EXP(-LN(2)/2))/(LN(2)/2)*DB61*DE61*VLOOKUP('Données projet'!$B$13,Paramètres!$A$1:$I$89,3,0)*0.475*44/12</f>
        <v>7.0274751591856415E-4</v>
      </c>
      <c r="DI61" s="22">
        <f t="shared" si="15"/>
        <v>3.7617218749827463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6.3942307692307665</v>
      </c>
      <c r="DO61" s="12">
        <f>IF('Données projet'!$A$166&gt;35,DO60+DN61-DW60,IF(A61&lt;'Données projet'!$A$166,$DL$205^A61,IF(A61='Données projet'!$A$166,'Données projet'!$B$166,DO60+DN61-DW60)))</f>
        <v>152.86217948717947</v>
      </c>
      <c r="DP61" s="17">
        <f>DO61*VLOOKUP('Données projet'!$B$14,Paramètres!$A$1:$I$89,3,0)*VLOOKUP('Données projet'!$B$14,Paramètres!$A$1:$I$89,5,0)</f>
        <v>152.61760000000001</v>
      </c>
      <c r="DQ61" s="13">
        <f t="shared" si="43"/>
        <v>39.172844345367523</v>
      </c>
      <c r="DR61" s="20">
        <f t="shared" si="16"/>
        <v>334.0350239015151</v>
      </c>
      <c r="DS61" s="59">
        <f t="shared" si="17"/>
        <v>627.36835723484842</v>
      </c>
      <c r="DT61" s="59">
        <f ca="1">AVERAGE(OFFSET($DS$3,0,0,'Données projet'!$E$14+1,1))-AVERAGE(OFFSET($H$3,0,0,'Données projet'!$E$14+1,1))</f>
        <v>245.06609107649069</v>
      </c>
      <c r="DU61" s="59">
        <f t="shared" si="44"/>
        <v>156.24531945456499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2.9265002849096136</v>
      </c>
      <c r="EJ61" s="12">
        <f>IF('Données projet'!$A$192&gt;35,EJ60+EI61-ER60,IF(A61&lt;'Données projet'!$A$192,$EG$205^A61,IF(A61='Données projet'!$A$192,'Données projet'!$B$192,EJ60+EI61-ER60)))</f>
        <v>109.05465191137441</v>
      </c>
      <c r="EK61" s="17">
        <f>EJ61*VLOOKUP('Données projet'!$B$15,Paramètres!$A$1:$I$89,3,0)*VLOOKUP('Données projet'!$B$15,Paramètres!$A$1:$I$89,5,0)</f>
        <v>119.08767988722084</v>
      </c>
      <c r="EL61" s="13">
        <f t="shared" si="45"/>
        <v>31.462121190848812</v>
      </c>
      <c r="EM61" s="20">
        <f t="shared" si="19"/>
        <v>262.20757021097137</v>
      </c>
      <c r="EN61" s="59">
        <f t="shared" si="20"/>
        <v>555.54090354430468</v>
      </c>
      <c r="EO61" s="59">
        <f ca="1">AVERAGE(OFFSET($EN$3,0,0,'Données projet'!$E$15+1,1))-AVERAGE(OFFSET($H$3,0,0,'Données projet'!$E$15+1,1))</f>
        <v>173.63857221119594</v>
      </c>
      <c r="EP61" s="59">
        <f t="shared" si="46"/>
        <v>52.373745617370105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199.58634493109349</v>
      </c>
      <c r="T62" s="59">
        <f t="shared" si="34"/>
        <v>288.66487031729008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2.8138359822610082</v>
      </c>
      <c r="AA62" s="21">
        <f>EXP(-LN(2)/25)*AA61+(1-EXP(-LN(2)/25))/(LN(2)/25)*Calculateur!V62*Calculateur!X62*VLOOKUP('Données projet'!$B$9,Paramètres!$A$1:$I$89,3,0)*0.475*44/12</f>
        <v>7.6658105495266158</v>
      </c>
      <c r="AB62" s="21">
        <f>EXP(-LN(2)/2)*AB61+(1-EXP(-LN(2)/2))/(LN(2)/2)*V62*Y62*VLOOKUP('Données projet'!$B$9,Paramètres!$A$1:$I$89,3,0)*0.475*44/12</f>
        <v>1.2731296413449967E-4</v>
      </c>
      <c r="AC62" s="22">
        <f t="shared" si="3"/>
        <v>10.479773844751758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20.5</v>
      </c>
      <c r="AI62" s="13">
        <f>IF('Données projet'!$A$62&gt;35,AI61+AH62-AQ61,IF(A62&lt;'Données projet'!$A$62,$AF$205^A62,IF(A62='Données projet'!$A$62,'Données projet'!$B$62,AI61+AH62-AQ61)))</f>
        <v>547.49999999999955</v>
      </c>
      <c r="AJ62" s="13">
        <f>AI62*VLOOKUP('Données projet'!$B$10,Paramètres!$A$1:$I$89,3,0)*VLOOKUP('Données projet'!$B$10,Paramètres!$A$1:$I$89,5,0)</f>
        <v>327.40499999999975</v>
      </c>
      <c r="AK62" s="13">
        <f t="shared" si="35"/>
        <v>76.892050513555589</v>
      </c>
      <c r="AL62" s="20">
        <f t="shared" si="4"/>
        <v>704.15069631110885</v>
      </c>
      <c r="AM62" s="59">
        <f t="shared" si="5"/>
        <v>997.48402964444222</v>
      </c>
      <c r="AN62" s="59">
        <f ca="1">AVERAGE(OFFSET($AM$3,0,0,'Données projet'!$E$10+1,1))-AVERAGE(OFFSET($H$3,0,0,'Données projet'!$E$10+1,1))</f>
        <v>395.40396173178527</v>
      </c>
      <c r="AO62" s="59">
        <f t="shared" si="36"/>
        <v>304.68075128568756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1.6884822002161939</v>
      </c>
      <c r="AV62" s="21">
        <f>EXP(-LN(2)/25)*AV61+(1-EXP(-LN(2)/25))/(LN(2)/25)*Calculateur!AQ62*Calculateur!AS62*VLOOKUP('Données projet'!$B$10,Paramètres!$A$1:$I$89,3,0)*0.475*44/12</f>
        <v>8.3664248964896952</v>
      </c>
      <c r="AW62" s="21">
        <f>EXP(-LN(2)/2)*AW61+(1-EXP(-LN(2)/2))/(LN(2)/2)*AQ62*AT62*VLOOKUP('Données projet'!$B$10,Paramètres!$A$1:$I$89,3,0)*0.475*44/12</f>
        <v>1.122377692526044E-3</v>
      </c>
      <c r="AX62" s="21">
        <f t="shared" si="6"/>
        <v>10.056029474398416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36.10000000000008</v>
      </c>
      <c r="BE62" s="13">
        <f>BD62*VLOOKUP('Données projet'!$B$11,Paramètres!$A$1:$I$89,3,0)*VLOOKUP('Données projet'!$B$11,Paramètres!$A$1:$I$89,5,0)</f>
        <v>31.536960000000075</v>
      </c>
      <c r="BF62" s="13">
        <f t="shared" si="37"/>
        <v>9.725440120377133</v>
      </c>
      <c r="BG62" s="20">
        <f t="shared" si="7"/>
        <v>71.865346876323642</v>
      </c>
      <c r="BH62" s="59">
        <f t="shared" si="8"/>
        <v>365.19868020965697</v>
      </c>
      <c r="BI62" s="59">
        <f ca="1">AVERAGE(OFFSET($BH$3,0,0,'Données projet'!$E$11+1,1))-AVERAGE(OFFSET($H$3,0,0,'Données projet'!$E$11+1,1))</f>
        <v>249.21292089724221</v>
      </c>
      <c r="BJ62" s="59">
        <f t="shared" si="38"/>
        <v>640.80644476065254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63.501023542000304</v>
      </c>
      <c r="BQ62" s="21">
        <f>EXP(-LN(2)/25)*BQ61+(1-EXP(-LN(2)/25))/(LN(2)/25)*Calculateur!BL62*Calculateur!BN62*VLOOKUP('Données projet'!$B$11,Paramètres!$A$1:$I$89,3,0)*0.475*44/12</f>
        <v>47.963589589939744</v>
      </c>
      <c r="BR62" s="21">
        <f>EXP(-LN(2)/2)*BR61+(1-EXP(-LN(2)/2))/(LN(2)/2)*BL62*BO62*VLOOKUP('Données projet'!$B$11,Paramètres!$A$1:$I$89,3,0)*0.475*44/12</f>
        <v>3.5622723233850865E-3</v>
      </c>
      <c r="BS62" s="22">
        <f t="shared" si="9"/>
        <v>111.46817540426342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5.4</v>
      </c>
      <c r="BY62" s="12">
        <f>IF('Données projet'!$A$114&gt;35,BY61+BX62-CG61,IF(A62&lt;'Données projet'!$A$114,$BV$205^A62,IF(A62='Données projet'!$A$114,'Données projet'!$B$114,BY61+BX62-CG61)))</f>
        <v>205.60000000000022</v>
      </c>
      <c r="BZ62" s="13">
        <f>BY62*VLOOKUP('Données projet'!$B$12,Paramètres!$A$1:$I$89,3,0)*VLOOKUP('Données projet'!$B$12,Paramètres!$A$1:$I$89,5,0)</f>
        <v>166.78272000000018</v>
      </c>
      <c r="CA62" s="13">
        <f t="shared" si="39"/>
        <v>42.368660582590017</v>
      </c>
      <c r="CB62" s="20">
        <f t="shared" si="10"/>
        <v>364.27198784801129</v>
      </c>
      <c r="CC62" s="59">
        <f t="shared" si="11"/>
        <v>657.60532118134461</v>
      </c>
      <c r="CD62" s="59">
        <f ca="1">AVERAGE(OFFSET($CC$3,0,0,'Données projet'!$E$12+1,1))-AVERAGE(OFFSET($H$3,0,0,'Données projet'!$E$12+1,1))</f>
        <v>192.4785660463869</v>
      </c>
      <c r="CE62" s="59">
        <f t="shared" si="40"/>
        <v>165.11095806515362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0.45597176324678862</v>
      </c>
      <c r="CL62" s="21">
        <f>EXP(-LN(2)/25)*CL61+(1-EXP(-LN(2)/25))/(LN(2)/25)*Calculateur!CG62*Calculateur!CI62*VLOOKUP('Données projet'!$B$12,Paramètres!$A$1:$I$89,3,0)*0.475*44/12</f>
        <v>2.1127922525861185</v>
      </c>
      <c r="CM62" s="21">
        <f>EXP(-LN(2)/2)*CM61+(1-EXP(-LN(2)/2))/(LN(2)/2)*CG62*CJ62*VLOOKUP('Données projet'!$B$12,Paramètres!$A$1:$I$89,3,0)*0.475*44/12</f>
        <v>3.1603238123116117E-4</v>
      </c>
      <c r="CN62" s="22">
        <f t="shared" si="12"/>
        <v>2.5690800482141385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7.2</v>
      </c>
      <c r="CT62" s="12">
        <f>IF('Données projet'!$A$140&gt;35,CT61+CS62-DB61,IF(A62&lt;'Données projet'!$A$140,$CQ$205^A62,IF(A62='Données projet'!$A$140,'Données projet'!$B$140,CT61+CS62-DB61)))</f>
        <v>213.79999999999993</v>
      </c>
      <c r="CU62" s="17">
        <f>CT62*VLOOKUP('Données projet'!$B$13,Paramètres!$A$1:$I$89,3,0)*VLOOKUP('Données projet'!$B$13,Paramètres!$A$1:$I$89,5,0)</f>
        <v>180.10511999999997</v>
      </c>
      <c r="CV62" s="13">
        <f t="shared" si="41"/>
        <v>45.345572635110635</v>
      </c>
      <c r="CW62" s="20">
        <f t="shared" si="13"/>
        <v>392.65995633948432</v>
      </c>
      <c r="CX62" s="59">
        <f t="shared" si="14"/>
        <v>685.99328967281758</v>
      </c>
      <c r="CY62" s="59">
        <f ca="1">AVERAGE(OFFSET($CX$3,0,0,'Données projet'!$E$13+1,1))-AVERAGE(OFFSET($H$3,0,0,'Données projet'!$E$13+1,1))</f>
        <v>247.67539667223065</v>
      </c>
      <c r="CZ62" s="59">
        <f t="shared" si="42"/>
        <v>174.54442616983778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0.7215377352476654</v>
      </c>
      <c r="DG62" s="21">
        <f>EXP(-LN(2)/25)*DG61+(1-EXP(-LN(2)/25))/(LN(2)/25)*Calculateur!DB62*Calculateur!DD62*VLOOKUP('Données projet'!$B$13,Paramètres!$A$1:$I$89,3,0)*0.475*44/12</f>
        <v>2.9423293392474217</v>
      </c>
      <c r="DH62" s="21">
        <f>EXP(-LN(2)/2)*DH61+(1-EXP(-LN(2)/2))/(LN(2)/2)*DB62*DE62*VLOOKUP('Données projet'!$B$13,Paramètres!$A$1:$I$89,3,0)*0.475*44/12</f>
        <v>4.9691753396801795E-4</v>
      </c>
      <c r="DI62" s="22">
        <f t="shared" si="15"/>
        <v>3.6643639920290552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159.25641025641025</v>
      </c>
      <c r="DM62" s="12">
        <f>VLOOKUP(A62,'Données projet'!$A$165:$I$185,9,0)</f>
        <v>6.3942307692307665</v>
      </c>
      <c r="DN62" s="12">
        <f t="array" ref="DN62">INDEX(DM:DM,MIN(IF(ISNUMBER(DM62:DM258),ROW(DM62:DM258),"")))</f>
        <v>6.3942307692307665</v>
      </c>
      <c r="DO62" s="12">
        <f>IF('Données projet'!$A$166&gt;35,DO61+DN62-DW61,IF(A62&lt;'Données projet'!$A$166,$DL$205^A62,IF(A62='Données projet'!$A$166,'Données projet'!$B$166,DO61+DN62-DW61)))</f>
        <v>159.25641025641025</v>
      </c>
      <c r="DP62" s="17">
        <f>DO62*VLOOKUP('Données projet'!$B$14,Paramètres!$A$1:$I$89,3,0)*VLOOKUP('Données projet'!$B$14,Paramètres!$A$1:$I$89,5,0)</f>
        <v>159.0016</v>
      </c>
      <c r="DQ62" s="13">
        <f t="shared" si="43"/>
        <v>40.617241526796484</v>
      </c>
      <c r="DR62" s="20">
        <f t="shared" si="16"/>
        <v>347.66948232583718</v>
      </c>
      <c r="DS62" s="59">
        <f t="shared" si="17"/>
        <v>641.00281565917044</v>
      </c>
      <c r="DT62" s="59">
        <f ca="1">AVERAGE(OFFSET($DS$3,0,0,'Données projet'!$E$14+1,1))-AVERAGE(OFFSET($H$3,0,0,'Données projet'!$E$14+1,1))</f>
        <v>245.06609107649069</v>
      </c>
      <c r="DU62" s="59">
        <f t="shared" si="44"/>
        <v>156.24531945456499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38.942307692307693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2.9265002849096136</v>
      </c>
      <c r="EJ62" s="12">
        <f>IF('Données projet'!$A$192&gt;35,EJ61+EI62-ER61,IF(A62&lt;'Données projet'!$A$192,$EG$205^A62,IF(A62='Données projet'!$A$192,'Données projet'!$B$192,EJ61+EI62-ER61)))</f>
        <v>111.98115219628401</v>
      </c>
      <c r="EK62" s="17">
        <f>EJ62*VLOOKUP('Données projet'!$B$15,Paramètres!$A$1:$I$89,3,0)*VLOOKUP('Données projet'!$B$15,Paramètres!$A$1:$I$89,5,0)</f>
        <v>122.28341819834215</v>
      </c>
      <c r="EL62" s="13">
        <f t="shared" si="45"/>
        <v>32.206983427199717</v>
      </c>
      <c r="EM62" s="20">
        <f t="shared" si="19"/>
        <v>269.07078283115209</v>
      </c>
      <c r="EN62" s="59">
        <f t="shared" si="20"/>
        <v>562.40411616448546</v>
      </c>
      <c r="EO62" s="59">
        <f ca="1">AVERAGE(OFFSET($EN$3,0,0,'Données projet'!$E$15+1,1))-AVERAGE(OFFSET($H$3,0,0,'Données projet'!$E$15+1,1))</f>
        <v>173.63857221119594</v>
      </c>
      <c r="EP62" s="59">
        <f t="shared" si="46"/>
        <v>52.373745617370105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199.58634493109349</v>
      </c>
      <c r="T63" s="59">
        <f t="shared" si="34"/>
        <v>288.66487031729008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2.7586583749193512</v>
      </c>
      <c r="AA63" s="21">
        <f>EXP(-LN(2)/25)*AA62+(1-EXP(-LN(2)/25))/(LN(2)/25)*Calculateur!V63*Calculateur!X63*VLOOKUP('Données projet'!$B$9,Paramètres!$A$1:$I$89,3,0)*0.475*44/12</f>
        <v>7.4561885569223545</v>
      </c>
      <c r="AB63" s="21">
        <f>EXP(-LN(2)/2)*AB62+(1-EXP(-LN(2)/2))/(LN(2)/2)*V63*Y63*VLOOKUP('Données projet'!$B$9,Paramètres!$A$1:$I$89,3,0)*0.475*44/12</f>
        <v>9.0023860272464432E-5</v>
      </c>
      <c r="AC63" s="22">
        <f t="shared" si="3"/>
        <v>10.214936955701978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568</v>
      </c>
      <c r="AG63" s="12">
        <f>VLOOKUP(A63,'Données projet'!$A$61:$I$81,9,0)</f>
        <v>20.5</v>
      </c>
      <c r="AH63" s="12">
        <f t="array" ref="AH63">INDEX(AG:AG,MIN(IF(ISNUMBER(AG63:AG259),ROW(AG63:AG259),"")))</f>
        <v>20.5</v>
      </c>
      <c r="AI63" s="13">
        <f>IF('Données projet'!$A$62&gt;35,AI62+AH63-AQ62,IF(A63&lt;'Données projet'!$A$62,$AF$205^A63,IF(A63='Données projet'!$A$62,'Données projet'!$B$62,AI62+AH63-AQ62)))</f>
        <v>567.99999999999955</v>
      </c>
      <c r="AJ63" s="13">
        <f>AI63*VLOOKUP('Données projet'!$B$10,Paramètres!$A$1:$I$89,3,0)*VLOOKUP('Données projet'!$B$10,Paramètres!$A$1:$I$89,5,0)</f>
        <v>339.66399999999976</v>
      </c>
      <c r="AK63" s="13">
        <f t="shared" si="35"/>
        <v>79.430522700297331</v>
      </c>
      <c r="AL63" s="20">
        <f t="shared" si="4"/>
        <v>729.92296036968401</v>
      </c>
      <c r="AM63" s="59">
        <f t="shared" si="5"/>
        <v>1023.2562937030173</v>
      </c>
      <c r="AN63" s="59">
        <f ca="1">AVERAGE(OFFSET($AM$3,0,0,'Données projet'!$E$10+1,1))-AVERAGE(OFFSET($H$3,0,0,'Données projet'!$E$10+1,1))</f>
        <v>395.40396173178527</v>
      </c>
      <c r="AO63" s="59">
        <f t="shared" si="36"/>
        <v>304.68075128568756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127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1.655372094142405</v>
      </c>
      <c r="AV63" s="21">
        <f>EXP(-LN(2)/25)*AV62+(1-EXP(-LN(2)/25))/(LN(2)/25)*Calculateur!AQ63*Calculateur!AS63*VLOOKUP('Données projet'!$B$10,Paramètres!$A$1:$I$89,3,0)*0.475*44/12</f>
        <v>8.1376445677240206</v>
      </c>
      <c r="AW63" s="21">
        <f>EXP(-LN(2)/2)*AW62+(1-EXP(-LN(2)/2))/(LN(2)/2)*AQ63*AT63*VLOOKUP('Données projet'!$B$10,Paramètres!$A$1:$I$89,3,0)*0.475*44/12</f>
        <v>7.9364087743767555E-4</v>
      </c>
      <c r="AX63" s="21">
        <f t="shared" si="6"/>
        <v>9.7938103027438643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36.10000000000008</v>
      </c>
      <c r="BE63" s="13">
        <f>BD63*VLOOKUP('Données projet'!$B$11,Paramètres!$A$1:$I$89,3,0)*VLOOKUP('Données projet'!$B$11,Paramètres!$A$1:$I$89,5,0)</f>
        <v>31.536960000000075</v>
      </c>
      <c r="BF63" s="13">
        <f t="shared" si="37"/>
        <v>9.725440120377133</v>
      </c>
      <c r="BG63" s="20">
        <f t="shared" si="7"/>
        <v>71.865346876323642</v>
      </c>
      <c r="BH63" s="59">
        <f t="shared" si="8"/>
        <v>365.19868020965697</v>
      </c>
      <c r="BI63" s="59">
        <f ca="1">AVERAGE(OFFSET($BH$3,0,0,'Données projet'!$E$11+1,1))-AVERAGE(OFFSET($H$3,0,0,'Données projet'!$E$11+1,1))</f>
        <v>249.21292089724221</v>
      </c>
      <c r="BJ63" s="59">
        <f t="shared" si="38"/>
        <v>640.80644476065254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62.25580720214159</v>
      </c>
      <c r="BQ63" s="21">
        <f>EXP(-LN(2)/25)*BQ62+(1-EXP(-LN(2)/25))/(LN(2)/25)*Calculateur!BL63*Calculateur!BN63*VLOOKUP('Données projet'!$B$11,Paramètres!$A$1:$I$89,3,0)*0.475*44/12</f>
        <v>46.652022710307286</v>
      </c>
      <c r="BR63" s="21">
        <f>EXP(-LN(2)/2)*BR62+(1-EXP(-LN(2)/2))/(LN(2)/2)*BL63*BO63*VLOOKUP('Données projet'!$B$11,Paramètres!$A$1:$I$89,3,0)*0.475*44/12</f>
        <v>2.5189069162987526E-3</v>
      </c>
      <c r="BS63" s="22">
        <f t="shared" si="9"/>
        <v>108.91034881936517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211</v>
      </c>
      <c r="BW63" s="12">
        <f>VLOOKUP(A63,'Données projet'!$A$113:$I$133,9,0)</f>
        <v>5.4</v>
      </c>
      <c r="BX63" s="12">
        <f t="array" ref="BX63">INDEX(BW:BW,MIN(IF(ISNUMBER(BW63:BW259),ROW(BW63:BW259),"")))</f>
        <v>5.4</v>
      </c>
      <c r="BY63" s="12">
        <f>IF('Données projet'!$A$114&gt;35,BY62+BX63-CG62,IF(A63&lt;'Données projet'!$A$114,$BV$205^A63,IF(A63='Données projet'!$A$114,'Données projet'!$B$114,BY62+BX63-CG62)))</f>
        <v>211.00000000000023</v>
      </c>
      <c r="BZ63" s="13">
        <f>BY63*VLOOKUP('Données projet'!$B$12,Paramètres!$A$1:$I$89,3,0)*VLOOKUP('Données projet'!$B$12,Paramètres!$A$1:$I$89,5,0)</f>
        <v>171.16320000000022</v>
      </c>
      <c r="CA63" s="13">
        <f t="shared" si="39"/>
        <v>43.350438209113932</v>
      </c>
      <c r="CB63" s="20">
        <f t="shared" si="10"/>
        <v>373.61125321420718</v>
      </c>
      <c r="CC63" s="59">
        <f t="shared" si="11"/>
        <v>666.94458654754044</v>
      </c>
      <c r="CD63" s="59">
        <f ca="1">AVERAGE(OFFSET($CC$3,0,0,'Données projet'!$E$12+1,1))-AVERAGE(OFFSET($H$3,0,0,'Données projet'!$E$12+1,1))</f>
        <v>192.4785660463869</v>
      </c>
      <c r="CE63" s="59">
        <f t="shared" si="40"/>
        <v>165.11095806515362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0.44703043508483309</v>
      </c>
      <c r="CL63" s="21">
        <f>EXP(-LN(2)/25)*CL62+(1-EXP(-LN(2)/25))/(LN(2)/25)*Calculateur!CG63*Calculateur!CI63*VLOOKUP('Données projet'!$B$12,Paramètres!$A$1:$I$89,3,0)*0.475*44/12</f>
        <v>2.0550178373322354</v>
      </c>
      <c r="CM63" s="21">
        <f>EXP(-LN(2)/2)*CM62+(1-EXP(-LN(2)/2))/(LN(2)/2)*CG63*CJ63*VLOOKUP('Données projet'!$B$12,Paramètres!$A$1:$I$89,3,0)*0.475*44/12</f>
        <v>2.2346863984308625E-4</v>
      </c>
      <c r="CN63" s="22">
        <f t="shared" si="12"/>
        <v>2.5022717410569117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221</v>
      </c>
      <c r="CR63" s="12">
        <f>VLOOKUP(A63,'Données projet'!$A$139:$I$159,9,0)</f>
        <v>7.2</v>
      </c>
      <c r="CS63" s="12">
        <f t="array" ref="CS63">INDEX(CR:CR,MIN(IF(ISNUMBER(CR63:CR259),ROW(CR63:CR259),"")))</f>
        <v>7.2</v>
      </c>
      <c r="CT63" s="12">
        <f>IF('Données projet'!$A$140&gt;35,CT62+CS63-DB62,IF(A63&lt;'Données projet'!$A$140,$CQ$205^A63,IF(A63='Données projet'!$A$140,'Données projet'!$B$140,CT62+CS63-DB62)))</f>
        <v>220.99999999999991</v>
      </c>
      <c r="CU63" s="17">
        <f>CT63*VLOOKUP('Données projet'!$B$13,Paramètres!$A$1:$I$89,3,0)*VLOOKUP('Données projet'!$B$13,Paramètres!$A$1:$I$89,5,0)</f>
        <v>186.17039999999994</v>
      </c>
      <c r="CV63" s="13">
        <f t="shared" si="41"/>
        <v>46.692281933796018</v>
      </c>
      <c r="CW63" s="20">
        <f t="shared" si="13"/>
        <v>405.56917103469459</v>
      </c>
      <c r="CX63" s="59">
        <f t="shared" si="14"/>
        <v>698.90250436802785</v>
      </c>
      <c r="CY63" s="59">
        <f ca="1">AVERAGE(OFFSET($CX$3,0,0,'Données projet'!$E$13+1,1))-AVERAGE(OFFSET($H$3,0,0,'Données projet'!$E$13+1,1))</f>
        <v>247.67539667223065</v>
      </c>
      <c r="CZ63" s="59">
        <f t="shared" si="42"/>
        <v>174.54442616983778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44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0.70738882035402151</v>
      </c>
      <c r="DG63" s="21">
        <f>EXP(-LN(2)/25)*DG62+(1-EXP(-LN(2)/25))/(LN(2)/25)*Calculateur!DB63*Calculateur!DD63*VLOOKUP('Données projet'!$B$13,Paramètres!$A$1:$I$89,3,0)*0.475*44/12</f>
        <v>2.8618711887353259</v>
      </c>
      <c r="DH63" s="21">
        <f>EXP(-LN(2)/2)*DH62+(1-EXP(-LN(2)/2))/(LN(2)/2)*DB63*DE63*VLOOKUP('Données projet'!$B$13,Paramètres!$A$1:$I$89,3,0)*0.475*44/12</f>
        <v>3.5137375795928207E-4</v>
      </c>
      <c r="DI63" s="22">
        <f t="shared" si="15"/>
        <v>3.5696113828473068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5.9431089743589762</v>
      </c>
      <c r="DO63" s="12">
        <f>IF('Données projet'!$A$166&gt;35,DO62+DN63-DW62,IF(A63&lt;'Données projet'!$A$166,$DL$205^A63,IF(A63='Données projet'!$A$166,'Données projet'!$B$166,DO62+DN63-DW62)))</f>
        <v>126.25721153846153</v>
      </c>
      <c r="DP63" s="17">
        <f>DO63*VLOOKUP('Données projet'!$B$14,Paramètres!$A$1:$I$89,3,0)*VLOOKUP('Données projet'!$B$14,Paramètres!$A$1:$I$89,5,0)</f>
        <v>126.05520000000001</v>
      </c>
      <c r="DQ63" s="13">
        <f t="shared" si="43"/>
        <v>33.083203589578794</v>
      </c>
      <c r="DR63" s="20">
        <f t="shared" si="16"/>
        <v>277.16605291851641</v>
      </c>
      <c r="DS63" s="59">
        <f t="shared" si="17"/>
        <v>570.49938625184973</v>
      </c>
      <c r="DT63" s="59">
        <f ca="1">AVERAGE(OFFSET($DS$3,0,0,'Données projet'!$E$14+1,1))-AVERAGE(OFFSET($H$3,0,0,'Données projet'!$E$14+1,1))</f>
        <v>245.06609107649069</v>
      </c>
      <c r="DU63" s="59">
        <f t="shared" si="44"/>
        <v>156.24531945456499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114.90765248119372</v>
      </c>
      <c r="EH63" s="12">
        <f>VLOOKUP(A63,'Données projet'!$A$191:$I$211,9,0)</f>
        <v>2.9265002849096136</v>
      </c>
      <c r="EI63" s="12">
        <f t="array" ref="EI63">INDEX(EH:EH,MIN(IF(ISNUMBER(EH63:EH259),ROW(EH63:EH259),"")))</f>
        <v>2.9265002849096136</v>
      </c>
      <c r="EJ63" s="12">
        <f>IF('Données projet'!$A$192&gt;35,EJ62+EI63-ER62,IF(A63&lt;'Données projet'!$A$192,$EG$205^A63,IF(A63='Données projet'!$A$192,'Données projet'!$B$192,EJ62+EI63-ER62)))</f>
        <v>114.90765248119362</v>
      </c>
      <c r="EK63" s="17">
        <f>EJ63*VLOOKUP('Données projet'!$B$15,Paramètres!$A$1:$I$89,3,0)*VLOOKUP('Données projet'!$B$15,Paramètres!$A$1:$I$89,5,0)</f>
        <v>125.47915650946344</v>
      </c>
      <c r="EL63" s="13">
        <f t="shared" si="45"/>
        <v>32.949582976817283</v>
      </c>
      <c r="EM63" s="20">
        <f t="shared" si="19"/>
        <v>275.93005460527223</v>
      </c>
      <c r="EN63" s="59">
        <f t="shared" si="20"/>
        <v>569.26338793860555</v>
      </c>
      <c r="EO63" s="59">
        <f ca="1">AVERAGE(OFFSET($EN$3,0,0,'Données projet'!$E$15+1,1))-AVERAGE(OFFSET($H$3,0,0,'Données projet'!$E$15+1,1))</f>
        <v>173.63857221119594</v>
      </c>
      <c r="EP63" s="59">
        <f t="shared" si="46"/>
        <v>52.373745617370105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199.58634493109349</v>
      </c>
      <c r="T64" s="59">
        <f t="shared" si="34"/>
        <v>288.66487031729008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2.7045627668026468</v>
      </c>
      <c r="AA64" s="21">
        <f>EXP(-LN(2)/25)*AA63+(1-EXP(-LN(2)/25))/(LN(2)/25)*Calculateur!V64*Calculateur!X64*VLOOKUP('Données projet'!$B$9,Paramètres!$A$1:$I$89,3,0)*0.475*44/12</f>
        <v>7.2522986887293976</v>
      </c>
      <c r="AB64" s="21">
        <f>EXP(-LN(2)/2)*AB63+(1-EXP(-LN(2)/2))/(LN(2)/2)*V64*Y64*VLOOKUP('Données projet'!$B$9,Paramètres!$A$1:$I$89,3,0)*0.475*44/12</f>
        <v>6.3656482067249835E-5</v>
      </c>
      <c r="AC64" s="22">
        <f t="shared" si="3"/>
        <v>9.9569251120141118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18.7</v>
      </c>
      <c r="AI64" s="13">
        <f>IF('Données projet'!$A$62&gt;35,AI63+AH64-AQ63,IF(A64&lt;'Données projet'!$A$62,$AF$205^A64,IF(A64='Données projet'!$A$62,'Données projet'!$B$62,AI63+AH64-AQ63)))</f>
        <v>459.69999999999959</v>
      </c>
      <c r="AJ64" s="13">
        <f>AI64*VLOOKUP('Données projet'!$B$10,Paramètres!$A$1:$I$89,3,0)*VLOOKUP('Données projet'!$B$10,Paramètres!$A$1:$I$89,5,0)</f>
        <v>274.90059999999977</v>
      </c>
      <c r="AK64" s="13">
        <f t="shared" si="35"/>
        <v>65.888209002445677</v>
      </c>
      <c r="AL64" s="20">
        <f t="shared" si="4"/>
        <v>593.54050901259245</v>
      </c>
      <c r="AM64" s="59">
        <f t="shared" si="5"/>
        <v>886.87384234592582</v>
      </c>
      <c r="AN64" s="59">
        <f ca="1">AVERAGE(OFFSET($AM$3,0,0,'Données projet'!$E$10+1,1))-AVERAGE(OFFSET($H$3,0,0,'Données projet'!$E$10+1,1))</f>
        <v>395.40396173178527</v>
      </c>
      <c r="AO64" s="59">
        <f t="shared" si="36"/>
        <v>304.68075128568756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1.6229112570535527</v>
      </c>
      <c r="AV64" s="21">
        <f>EXP(-LN(2)/25)*AV63+(1-EXP(-LN(2)/25))/(LN(2)/25)*Calculateur!AQ64*Calculateur!AS64*VLOOKUP('Données projet'!$B$10,Paramètres!$A$1:$I$89,3,0)*0.475*44/12</f>
        <v>7.9151202490794779</v>
      </c>
      <c r="AW64" s="21">
        <f>EXP(-LN(2)/2)*AW63+(1-EXP(-LN(2)/2))/(LN(2)/2)*AQ64*AT64*VLOOKUP('Données projet'!$B$10,Paramètres!$A$1:$I$89,3,0)*0.475*44/12</f>
        <v>5.6118884626302201E-4</v>
      </c>
      <c r="AX64" s="21">
        <f t="shared" si="6"/>
        <v>9.5385926949792932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36.10000000000008</v>
      </c>
      <c r="BE64" s="13">
        <f>BD64*VLOOKUP('Données projet'!$B$11,Paramètres!$A$1:$I$89,3,0)*VLOOKUP('Données projet'!$B$11,Paramètres!$A$1:$I$89,5,0)</f>
        <v>31.536960000000075</v>
      </c>
      <c r="BF64" s="13">
        <f t="shared" si="37"/>
        <v>9.725440120377133</v>
      </c>
      <c r="BG64" s="20">
        <f t="shared" si="7"/>
        <v>71.865346876323642</v>
      </c>
      <c r="BH64" s="59">
        <f t="shared" si="8"/>
        <v>365.19868020965697</v>
      </c>
      <c r="BI64" s="59">
        <f ca="1">AVERAGE(OFFSET($BH$3,0,0,'Données projet'!$E$11+1,1))-AVERAGE(OFFSET($H$3,0,0,'Données projet'!$E$11+1,1))</f>
        <v>249.21292089724221</v>
      </c>
      <c r="BJ64" s="59">
        <f t="shared" si="38"/>
        <v>640.80644476065254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61.035008795200532</v>
      </c>
      <c r="BQ64" s="21">
        <f>EXP(-LN(2)/25)*BQ63+(1-EXP(-LN(2)/25))/(LN(2)/25)*Calculateur!BL64*Calculateur!BN64*VLOOKUP('Données projet'!$B$11,Paramètres!$A$1:$I$89,3,0)*0.475*44/12</f>
        <v>45.376320695970684</v>
      </c>
      <c r="BR64" s="21">
        <f>EXP(-LN(2)/2)*BR63+(1-EXP(-LN(2)/2))/(LN(2)/2)*BL64*BO64*VLOOKUP('Données projet'!$B$11,Paramètres!$A$1:$I$89,3,0)*0.475*44/12</f>
        <v>1.7811361616925433E-3</v>
      </c>
      <c r="BS64" s="22">
        <f t="shared" si="9"/>
        <v>106.41311062733291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4.9000000000000004</v>
      </c>
      <c r="BY64" s="12">
        <f>IF('Données projet'!$A$114&gt;35,BY63+BX64-CG63,IF(A64&lt;'Données projet'!$A$114,$BV$205^A64,IF(A64='Données projet'!$A$114,'Données projet'!$B$114,BY63+BX64-CG63)))</f>
        <v>187.90000000000023</v>
      </c>
      <c r="BZ64" s="13">
        <f>BY64*VLOOKUP('Données projet'!$B$12,Paramètres!$A$1:$I$89,3,0)*VLOOKUP('Données projet'!$B$12,Paramètres!$A$1:$I$89,5,0)</f>
        <v>152.42448000000022</v>
      </c>
      <c r="CA64" s="13">
        <f t="shared" si="39"/>
        <v>39.129042193685486</v>
      </c>
      <c r="CB64" s="20">
        <f t="shared" si="10"/>
        <v>333.62238448733592</v>
      </c>
      <c r="CC64" s="59">
        <f t="shared" si="11"/>
        <v>626.95571782066918</v>
      </c>
      <c r="CD64" s="59">
        <f ca="1">AVERAGE(OFFSET($CC$3,0,0,'Données projet'!$E$12+1,1))-AVERAGE(OFFSET($H$3,0,0,'Données projet'!$E$12+1,1))</f>
        <v>192.4785660463869</v>
      </c>
      <c r="CE64" s="59">
        <f t="shared" si="40"/>
        <v>165.11095806515362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0.43826444091446182</v>
      </c>
      <c r="CL64" s="21">
        <f>EXP(-LN(2)/25)*CL63+(1-EXP(-LN(2)/25))/(LN(2)/25)*Calculateur!CG64*Calculateur!CI64*VLOOKUP('Données projet'!$B$12,Paramètres!$A$1:$I$89,3,0)*0.475*44/12</f>
        <v>1.9988232665016943</v>
      </c>
      <c r="CM64" s="21">
        <f>EXP(-LN(2)/2)*CM63+(1-EXP(-LN(2)/2))/(LN(2)/2)*CG64*CJ64*VLOOKUP('Données projet'!$B$12,Paramètres!$A$1:$I$89,3,0)*0.475*44/12</f>
        <v>1.5801619061558058E-4</v>
      </c>
      <c r="CN64" s="22">
        <f t="shared" si="12"/>
        <v>2.4372457236067713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6.8</v>
      </c>
      <c r="CT64" s="12">
        <f>IF('Données projet'!$A$140&gt;35,CT63+CS64-DB63,IF(A64&lt;'Données projet'!$A$140,$CQ$205^A64,IF(A64='Données projet'!$A$140,'Données projet'!$B$140,CT63+CS64-DB63)))</f>
        <v>183.79999999999993</v>
      </c>
      <c r="CU64" s="17">
        <f>CT64*VLOOKUP('Données projet'!$B$13,Paramètres!$A$1:$I$89,3,0)*VLOOKUP('Données projet'!$B$13,Paramètres!$A$1:$I$89,5,0)</f>
        <v>154.83311999999995</v>
      </c>
      <c r="CV64" s="13">
        <f t="shared" si="41"/>
        <v>39.674894097487687</v>
      </c>
      <c r="CW64" s="20">
        <f t="shared" si="13"/>
        <v>338.76812455312427</v>
      </c>
      <c r="CX64" s="59">
        <f t="shared" si="14"/>
        <v>632.10145788645764</v>
      </c>
      <c r="CY64" s="59">
        <f ca="1">AVERAGE(OFFSET($CX$3,0,0,'Données projet'!$E$13+1,1))-AVERAGE(OFFSET($H$3,0,0,'Données projet'!$E$13+1,1))</f>
        <v>247.67539667223065</v>
      </c>
      <c r="CZ64" s="59">
        <f t="shared" si="42"/>
        <v>174.54442616983778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0.69351735705145601</v>
      </c>
      <c r="DG64" s="21">
        <f>EXP(-LN(2)/25)*DG63+(1-EXP(-LN(2)/25))/(LN(2)/25)*Calculateur!DB64*Calculateur!DD64*VLOOKUP('Données projet'!$B$13,Paramètres!$A$1:$I$89,3,0)*0.475*44/12</f>
        <v>2.7836131705800935</v>
      </c>
      <c r="DH64" s="21">
        <f>EXP(-LN(2)/2)*DH63+(1-EXP(-LN(2)/2))/(LN(2)/2)*DB64*DE64*VLOOKUP('Données projet'!$B$13,Paramètres!$A$1:$I$89,3,0)*0.475*44/12</f>
        <v>2.4845876698400898E-4</v>
      </c>
      <c r="DI64" s="22">
        <f t="shared" si="15"/>
        <v>3.4773789863985334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5.9431089743589762</v>
      </c>
      <c r="DO64" s="12">
        <f>IF('Données projet'!$A$166&gt;35,DO63+DN64-DW63,IF(A64&lt;'Données projet'!$A$166,$DL$205^A64,IF(A64='Données projet'!$A$166,'Données projet'!$B$166,DO63+DN64-DW63)))</f>
        <v>132.2003205128205</v>
      </c>
      <c r="DP64" s="17">
        <f>DO64*VLOOKUP('Données projet'!$B$14,Paramètres!$A$1:$I$89,3,0)*VLOOKUP('Données projet'!$B$14,Paramètres!$A$1:$I$89,5,0)</f>
        <v>131.98879999999997</v>
      </c>
      <c r="DQ64" s="13">
        <f t="shared" si="43"/>
        <v>34.455505757842133</v>
      </c>
      <c r="DR64" s="20">
        <f t="shared" si="16"/>
        <v>289.89049919490833</v>
      </c>
      <c r="DS64" s="59">
        <f t="shared" si="17"/>
        <v>583.2238325282417</v>
      </c>
      <c r="DT64" s="59">
        <f ca="1">AVERAGE(OFFSET($DS$3,0,0,'Données projet'!$E$14+1,1))-AVERAGE(OFFSET($H$3,0,0,'Données projet'!$E$14+1,1))</f>
        <v>245.06609107649069</v>
      </c>
      <c r="DU64" s="59">
        <f t="shared" si="44"/>
        <v>156.24531945456499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3.1453526923383279</v>
      </c>
      <c r="EJ64" s="12">
        <f>IF('Données projet'!$A$192&gt;35,EJ63+EI64-ER63,IF(A64&lt;'Données projet'!$A$192,$EG$205^A64,IF(A64='Données projet'!$A$192,'Données projet'!$B$192,EJ63+EI64-ER63)))</f>
        <v>118.05300517353194</v>
      </c>
      <c r="EK64" s="17">
        <f>EJ64*VLOOKUP('Données projet'!$B$15,Paramètres!$A$1:$I$89,3,0)*VLOOKUP('Données projet'!$B$15,Paramètres!$A$1:$I$89,5,0)</f>
        <v>128.91388164949686</v>
      </c>
      <c r="EL64" s="13">
        <f t="shared" si="45"/>
        <v>33.745266856273027</v>
      </c>
      <c r="EM64" s="20">
        <f t="shared" si="19"/>
        <v>283.29801698088249</v>
      </c>
      <c r="EN64" s="59">
        <f t="shared" si="20"/>
        <v>576.63135031421575</v>
      </c>
      <c r="EO64" s="59">
        <f ca="1">AVERAGE(OFFSET($EN$3,0,0,'Données projet'!$E$15+1,1))-AVERAGE(OFFSET($H$3,0,0,'Données projet'!$E$15+1,1))</f>
        <v>173.63857221119594</v>
      </c>
      <c r="EP64" s="59">
        <f t="shared" si="46"/>
        <v>52.373745617370105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199.58634493109349</v>
      </c>
      <c r="T65" s="59">
        <f t="shared" si="34"/>
        <v>288.66487031729008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2.6515279405660483</v>
      </c>
      <c r="AA65" s="21">
        <f>EXP(-LN(2)/25)*AA64+(1-EXP(-LN(2)/25))/(LN(2)/25)*Calculateur!V65*Calculateur!X65*VLOOKUP('Données projet'!$B$9,Paramètres!$A$1:$I$89,3,0)*0.475*44/12</f>
        <v>7.0539841997042796</v>
      </c>
      <c r="AB65" s="21">
        <f>EXP(-LN(2)/2)*AB64+(1-EXP(-LN(2)/2))/(LN(2)/2)*V65*Y65*VLOOKUP('Données projet'!$B$9,Paramètres!$A$1:$I$89,3,0)*0.475*44/12</f>
        <v>4.5011930136232216E-5</v>
      </c>
      <c r="AC65" s="22">
        <f t="shared" si="3"/>
        <v>9.7055571522004644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18.7</v>
      </c>
      <c r="AI65" s="13">
        <f>IF('Données projet'!$A$62&gt;35,AI64+AH65-AQ64,IF(A65&lt;'Données projet'!$A$62,$AF$205^A65,IF(A65='Données projet'!$A$62,'Données projet'!$B$62,AI64+AH65-AQ64)))</f>
        <v>478.39999999999958</v>
      </c>
      <c r="AJ65" s="13">
        <f>AI65*VLOOKUP('Données projet'!$B$10,Paramètres!$A$1:$I$89,3,0)*VLOOKUP('Données projet'!$B$10,Paramètres!$A$1:$I$89,5,0)</f>
        <v>286.08319999999981</v>
      </c>
      <c r="AK65" s="13">
        <f t="shared" si="35"/>
        <v>68.25095140252904</v>
      </c>
      <c r="AL65" s="20">
        <f t="shared" si="4"/>
        <v>617.13198035940434</v>
      </c>
      <c r="AM65" s="59">
        <f t="shared" si="5"/>
        <v>910.46531369273771</v>
      </c>
      <c r="AN65" s="59">
        <f ca="1">AVERAGE(OFFSET($AM$3,0,0,'Données projet'!$E$10+1,1))-AVERAGE(OFFSET($H$3,0,0,'Données projet'!$E$10+1,1))</f>
        <v>395.40396173178527</v>
      </c>
      <c r="AO65" s="59">
        <f t="shared" si="36"/>
        <v>304.68075128568756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1.591086957180857</v>
      </c>
      <c r="AV65" s="21">
        <f>EXP(-LN(2)/25)*AV64+(1-EXP(-LN(2)/25))/(LN(2)/25)*Calculateur!AQ65*Calculateur!AS65*VLOOKUP('Données projet'!$B$10,Paramètres!$A$1:$I$89,3,0)*0.475*44/12</f>
        <v>7.6986808696303157</v>
      </c>
      <c r="AW65" s="21">
        <f>EXP(-LN(2)/2)*AW64+(1-EXP(-LN(2)/2))/(LN(2)/2)*AQ65*AT65*VLOOKUP('Données projet'!$B$10,Paramètres!$A$1:$I$89,3,0)*0.475*44/12</f>
        <v>3.9682043871883777E-4</v>
      </c>
      <c r="AX65" s="21">
        <f t="shared" si="6"/>
        <v>9.29016464724989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36.10000000000008</v>
      </c>
      <c r="BE65" s="13">
        <f>BD65*VLOOKUP('Données projet'!$B$11,Paramètres!$A$1:$I$89,3,0)*VLOOKUP('Données projet'!$B$11,Paramètres!$A$1:$I$89,5,0)</f>
        <v>31.536960000000075</v>
      </c>
      <c r="BF65" s="13">
        <f t="shared" si="37"/>
        <v>9.725440120377133</v>
      </c>
      <c r="BG65" s="20">
        <f t="shared" si="7"/>
        <v>71.865346876323642</v>
      </c>
      <c r="BH65" s="59">
        <f t="shared" si="8"/>
        <v>365.19868020965697</v>
      </c>
      <c r="BI65" s="59">
        <f ca="1">AVERAGE(OFFSET($BH$3,0,0,'Données projet'!$E$11+1,1))-AVERAGE(OFFSET($H$3,0,0,'Données projet'!$E$11+1,1))</f>
        <v>249.21292089724221</v>
      </c>
      <c r="BJ65" s="59">
        <f t="shared" si="38"/>
        <v>640.80644476065254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59.838149500406089</v>
      </c>
      <c r="BQ65" s="21">
        <f>EXP(-LN(2)/25)*BQ64+(1-EXP(-LN(2)/25))/(LN(2)/25)*Calculateur!BL65*Calculateur!BN65*VLOOKUP('Données projet'!$B$11,Paramètres!$A$1:$I$89,3,0)*0.475*44/12</f>
        <v>44.135502820302371</v>
      </c>
      <c r="BR65" s="21">
        <f>EXP(-LN(2)/2)*BR64+(1-EXP(-LN(2)/2))/(LN(2)/2)*BL65*BO65*VLOOKUP('Données projet'!$B$11,Paramètres!$A$1:$I$89,3,0)*0.475*44/12</f>
        <v>1.2594534581493763E-3</v>
      </c>
      <c r="BS65" s="22">
        <f t="shared" si="9"/>
        <v>103.9749117741666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4.9000000000000004</v>
      </c>
      <c r="BY65" s="12">
        <f>IF('Données projet'!$A$114&gt;35,BY64+BX65-CG64,IF(A65&lt;'Données projet'!$A$114,$BV$205^A65,IF(A65='Données projet'!$A$114,'Données projet'!$B$114,BY64+BX65-CG64)))</f>
        <v>192.80000000000024</v>
      </c>
      <c r="BZ65" s="13">
        <f>BY65*VLOOKUP('Données projet'!$B$12,Paramètres!$A$1:$I$89,3,0)*VLOOKUP('Données projet'!$B$12,Paramètres!$A$1:$I$89,5,0)</f>
        <v>156.3993600000002</v>
      </c>
      <c r="CA65" s="13">
        <f t="shared" si="39"/>
        <v>40.029308309701072</v>
      </c>
      <c r="CB65" s="20">
        <f t="shared" si="10"/>
        <v>342.11326397272973</v>
      </c>
      <c r="CC65" s="59">
        <f t="shared" si="11"/>
        <v>635.44659730606304</v>
      </c>
      <c r="CD65" s="59">
        <f ca="1">AVERAGE(OFFSET($CC$3,0,0,'Données projet'!$E$12+1,1))-AVERAGE(OFFSET($H$3,0,0,'Données projet'!$E$12+1,1))</f>
        <v>192.4785660463869</v>
      </c>
      <c r="CE65" s="59">
        <f t="shared" si="40"/>
        <v>165.11095806515362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0.42967034254304304</v>
      </c>
      <c r="CL65" s="21">
        <f>EXP(-LN(2)/25)*CL64+(1-EXP(-LN(2)/25))/(LN(2)/25)*Calculateur!CG65*Calculateur!CI65*VLOOKUP('Données projet'!$B$12,Paramètres!$A$1:$I$89,3,0)*0.475*44/12</f>
        <v>1.9441653391656581</v>
      </c>
      <c r="CM65" s="21">
        <f>EXP(-LN(2)/2)*CM64+(1-EXP(-LN(2)/2))/(LN(2)/2)*CG65*CJ65*VLOOKUP('Données projet'!$B$12,Paramètres!$A$1:$I$89,3,0)*0.475*44/12</f>
        <v>1.1173431992154313E-4</v>
      </c>
      <c r="CN65" s="22">
        <f t="shared" si="12"/>
        <v>2.3739474160286229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6.8</v>
      </c>
      <c r="CT65" s="12">
        <f>IF('Données projet'!$A$140&gt;35,CT64+CS65-DB64,IF(A65&lt;'Données projet'!$A$140,$CQ$205^A65,IF(A65='Données projet'!$A$140,'Données projet'!$B$140,CT64+CS65-DB64)))</f>
        <v>190.59999999999994</v>
      </c>
      <c r="CU65" s="17">
        <f>CT65*VLOOKUP('Données projet'!$B$13,Paramètres!$A$1:$I$89,3,0)*VLOOKUP('Données projet'!$B$13,Paramètres!$A$1:$I$89,5,0)</f>
        <v>160.56143999999998</v>
      </c>
      <c r="CV65" s="13">
        <f t="shared" si="41"/>
        <v>40.969123937820179</v>
      </c>
      <c r="CW65" s="20">
        <f t="shared" si="13"/>
        <v>350.99906552503671</v>
      </c>
      <c r="CX65" s="59">
        <f t="shared" si="14"/>
        <v>644.33239885836997</v>
      </c>
      <c r="CY65" s="59">
        <f ca="1">AVERAGE(OFFSET($CX$3,0,0,'Données projet'!$E$13+1,1))-AVERAGE(OFFSET($H$3,0,0,'Données projet'!$E$13+1,1))</f>
        <v>247.67539667223065</v>
      </c>
      <c r="CZ65" s="59">
        <f t="shared" si="42"/>
        <v>174.54442616983778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0.67991790468349655</v>
      </c>
      <c r="DG65" s="21">
        <f>EXP(-LN(2)/25)*DG64+(1-EXP(-LN(2)/25))/(LN(2)/25)*Calculateur!DB65*Calculateur!DD65*VLOOKUP('Données projet'!$B$13,Paramètres!$A$1:$I$89,3,0)*0.475*44/12</f>
        <v>2.7074951220467263</v>
      </c>
      <c r="DH65" s="21">
        <f>EXP(-LN(2)/2)*DH64+(1-EXP(-LN(2)/2))/(LN(2)/2)*DB65*DE65*VLOOKUP('Données projet'!$B$13,Paramètres!$A$1:$I$89,3,0)*0.475*44/12</f>
        <v>1.7568687897964104E-4</v>
      </c>
      <c r="DI65" s="22">
        <f t="shared" si="15"/>
        <v>3.3875887136092024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5.9431089743589762</v>
      </c>
      <c r="DO65" s="12">
        <f>IF('Données projet'!$A$166&gt;35,DO64+DN65-DW64,IF(A65&lt;'Données projet'!$A$166,$DL$205^A65,IF(A65='Données projet'!$A$166,'Données projet'!$B$166,DO64+DN65-DW64)))</f>
        <v>138.14342948717947</v>
      </c>
      <c r="DP65" s="17">
        <f>DO65*VLOOKUP('Données projet'!$B$14,Paramètres!$A$1:$I$89,3,0)*VLOOKUP('Données projet'!$B$14,Paramètres!$A$1:$I$89,5,0)</f>
        <v>137.92240000000001</v>
      </c>
      <c r="DQ65" s="13">
        <f t="shared" si="43"/>
        <v>35.820643150082546</v>
      </c>
      <c r="DR65" s="20">
        <f t="shared" si="16"/>
        <v>302.60246681972711</v>
      </c>
      <c r="DS65" s="59">
        <f t="shared" si="17"/>
        <v>595.93580015306043</v>
      </c>
      <c r="DT65" s="59">
        <f ca="1">AVERAGE(OFFSET($DS$3,0,0,'Données projet'!$E$14+1,1))-AVERAGE(OFFSET($H$3,0,0,'Données projet'!$E$14+1,1))</f>
        <v>245.06609107649069</v>
      </c>
      <c r="DU65" s="59">
        <f t="shared" si="44"/>
        <v>156.24531945456499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3.1453526923383279</v>
      </c>
      <c r="EJ65" s="12">
        <f>IF('Données projet'!$A$192&gt;35,EJ64+EI65-ER64,IF(A65&lt;'Données projet'!$A$192,$EG$205^A65,IF(A65='Données projet'!$A$192,'Données projet'!$B$192,EJ64+EI65-ER64)))</f>
        <v>121.19835786587026</v>
      </c>
      <c r="EK65" s="17">
        <f>EJ65*VLOOKUP('Données projet'!$B$15,Paramètres!$A$1:$I$89,3,0)*VLOOKUP('Données projet'!$B$15,Paramètres!$A$1:$I$89,5,0)</f>
        <v>132.34860678953032</v>
      </c>
      <c r="EL65" s="13">
        <f t="shared" si="45"/>
        <v>34.538486587222245</v>
      </c>
      <c r="EM65" s="20">
        <f t="shared" si="19"/>
        <v>290.66168763117736</v>
      </c>
      <c r="EN65" s="59">
        <f t="shared" si="20"/>
        <v>583.99502096451067</v>
      </c>
      <c r="EO65" s="59">
        <f ca="1">AVERAGE(OFFSET($EN$3,0,0,'Données projet'!$E$15+1,1))-AVERAGE(OFFSET($H$3,0,0,'Données projet'!$E$15+1,1))</f>
        <v>173.63857221119594</v>
      </c>
      <c r="EP65" s="59">
        <f t="shared" si="46"/>
        <v>52.373745617370105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199.58634493109349</v>
      </c>
      <c r="T66" s="59">
        <f t="shared" si="34"/>
        <v>288.66487031729008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2.5995330949238995</v>
      </c>
      <c r="AA66" s="21">
        <f>EXP(-LN(2)/25)*AA65+(1-EXP(-LN(2)/25))/(LN(2)/25)*Calculateur!V66*Calculateur!X66*VLOOKUP('Données projet'!$B$9,Paramètres!$A$1:$I$89,3,0)*0.475*44/12</f>
        <v>6.8610926308104592</v>
      </c>
      <c r="AB66" s="21">
        <f>EXP(-LN(2)/2)*AB65+(1-EXP(-LN(2)/2))/(LN(2)/2)*V66*Y66*VLOOKUP('Données projet'!$B$9,Paramètres!$A$1:$I$89,3,0)*0.475*44/12</f>
        <v>3.1828241033624918E-5</v>
      </c>
      <c r="AC66" s="22">
        <f t="shared" si="3"/>
        <v>9.4606575539753912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18.7</v>
      </c>
      <c r="AI66" s="13">
        <f>IF('Données projet'!$A$62&gt;35,AI65+AH66-AQ65,IF(A66&lt;'Données projet'!$A$62,$AF$205^A66,IF(A66='Données projet'!$A$62,'Données projet'!$B$62,AI65+AH66-AQ65)))</f>
        <v>497.09999999999957</v>
      </c>
      <c r="AJ66" s="13">
        <f>AI66*VLOOKUP('Données projet'!$B$10,Paramètres!$A$1:$I$89,3,0)*VLOOKUP('Données projet'!$B$10,Paramètres!$A$1:$I$89,5,0)</f>
        <v>297.26579999999973</v>
      </c>
      <c r="AK66" s="13">
        <f t="shared" si="35"/>
        <v>70.602965056016103</v>
      </c>
      <c r="AL66" s="20">
        <f t="shared" si="4"/>
        <v>640.70476580589423</v>
      </c>
      <c r="AM66" s="59">
        <f t="shared" si="5"/>
        <v>934.0380991392276</v>
      </c>
      <c r="AN66" s="59">
        <f ca="1">AVERAGE(OFFSET($AM$3,0,0,'Données projet'!$E$10+1,1))-AVERAGE(OFFSET($H$3,0,0,'Données projet'!$E$10+1,1))</f>
        <v>395.40396173178527</v>
      </c>
      <c r="AO66" s="59">
        <f t="shared" si="36"/>
        <v>304.68075128568756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1.5598867124177587</v>
      </c>
      <c r="AV66" s="21">
        <f>EXP(-LN(2)/25)*AV65+(1-EXP(-LN(2)/25))/(LN(2)/25)*Calculateur!AQ66*Calculateur!AS66*VLOOKUP('Données projet'!$B$10,Paramètres!$A$1:$I$89,3,0)*0.475*44/12</f>
        <v>7.4881600363942438</v>
      </c>
      <c r="AW66" s="21">
        <f>EXP(-LN(2)/2)*AW65+(1-EXP(-LN(2)/2))/(LN(2)/2)*AQ66*AT66*VLOOKUP('Données projet'!$B$10,Paramètres!$A$1:$I$89,3,0)*0.475*44/12</f>
        <v>2.8059442313151101E-4</v>
      </c>
      <c r="AX66" s="21">
        <f t="shared" si="6"/>
        <v>9.0483273432351332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36.10000000000008</v>
      </c>
      <c r="BE66" s="13">
        <f>BD66*VLOOKUP('Données projet'!$B$11,Paramètres!$A$1:$I$89,3,0)*VLOOKUP('Données projet'!$B$11,Paramètres!$A$1:$I$89,5,0)</f>
        <v>31.536960000000075</v>
      </c>
      <c r="BF66" s="13">
        <f t="shared" si="37"/>
        <v>9.725440120377133</v>
      </c>
      <c r="BG66" s="20">
        <f t="shared" si="7"/>
        <v>71.865346876323642</v>
      </c>
      <c r="BH66" s="59">
        <f t="shared" si="8"/>
        <v>365.19868020965697</v>
      </c>
      <c r="BI66" s="59">
        <f ca="1">AVERAGE(OFFSET($BH$3,0,0,'Données projet'!$E$11+1,1))-AVERAGE(OFFSET($H$3,0,0,'Données projet'!$E$11+1,1))</f>
        <v>249.21292089724221</v>
      </c>
      <c r="BJ66" s="59">
        <f t="shared" si="38"/>
        <v>640.80644476065254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58.664759886370476</v>
      </c>
      <c r="BQ66" s="21">
        <f>EXP(-LN(2)/25)*BQ65+(1-EXP(-LN(2)/25))/(LN(2)/25)*Calculateur!BL66*Calculateur!BN66*VLOOKUP('Données projet'!$B$11,Paramètres!$A$1:$I$89,3,0)*0.475*44/12</f>
        <v>42.928615174695985</v>
      </c>
      <c r="BR66" s="21">
        <f>EXP(-LN(2)/2)*BR65+(1-EXP(-LN(2)/2))/(LN(2)/2)*BL66*BO66*VLOOKUP('Données projet'!$B$11,Paramètres!$A$1:$I$89,3,0)*0.475*44/12</f>
        <v>8.9056808084627163E-4</v>
      </c>
      <c r="BS66" s="22">
        <f t="shared" si="9"/>
        <v>101.59426562914732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4.9000000000000004</v>
      </c>
      <c r="BY66" s="12">
        <f>IF('Données projet'!$A$114&gt;35,BY65+BX66-CG65,IF(A66&lt;'Données projet'!$A$114,$BV$205^A66,IF(A66='Données projet'!$A$114,'Données projet'!$B$114,BY65+BX66-CG65)))</f>
        <v>197.70000000000024</v>
      </c>
      <c r="BZ66" s="13">
        <f>BY66*VLOOKUP('Données projet'!$B$12,Paramètres!$A$1:$I$89,3,0)*VLOOKUP('Données projet'!$B$12,Paramètres!$A$1:$I$89,5,0)</f>
        <v>160.37424000000021</v>
      </c>
      <c r="CA66" s="13">
        <f t="shared" si="39"/>
        <v>40.926914802478265</v>
      </c>
      <c r="CB66" s="20">
        <f t="shared" si="10"/>
        <v>350.59951128098334</v>
      </c>
      <c r="CC66" s="59">
        <f t="shared" si="11"/>
        <v>643.93284461431665</v>
      </c>
      <c r="CD66" s="59">
        <f ca="1">AVERAGE(OFFSET($CC$3,0,0,'Données projet'!$E$12+1,1))-AVERAGE(OFFSET($H$3,0,0,'Données projet'!$E$12+1,1))</f>
        <v>192.4785660463869</v>
      </c>
      <c r="CE66" s="59">
        <f t="shared" si="40"/>
        <v>165.11095806515362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0.42124476919880538</v>
      </c>
      <c r="CL66" s="21">
        <f>EXP(-LN(2)/25)*CL65+(1-EXP(-LN(2)/25))/(LN(2)/25)*Calculateur!CG66*Calculateur!CI66*VLOOKUP('Données projet'!$B$12,Paramètres!$A$1:$I$89,3,0)*0.475*44/12</f>
        <v>1.8910020357269615</v>
      </c>
      <c r="CM66" s="21">
        <f>EXP(-LN(2)/2)*CM65+(1-EXP(-LN(2)/2))/(LN(2)/2)*CG66*CJ66*VLOOKUP('Données projet'!$B$12,Paramètres!$A$1:$I$89,3,0)*0.475*44/12</f>
        <v>7.9008095307790292E-5</v>
      </c>
      <c r="CN66" s="22">
        <f t="shared" si="12"/>
        <v>2.3123258130210749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6.8</v>
      </c>
      <c r="CT66" s="12">
        <f>IF('Données projet'!$A$140&gt;35,CT65+CS66-DB65,IF(A66&lt;'Données projet'!$A$140,$CQ$205^A66,IF(A66='Données projet'!$A$140,'Données projet'!$B$140,CT65+CS66-DB65)))</f>
        <v>197.39999999999995</v>
      </c>
      <c r="CU66" s="17">
        <f>CT66*VLOOKUP('Données projet'!$B$13,Paramètres!$A$1:$I$89,3,0)*VLOOKUP('Données projet'!$B$13,Paramètres!$A$1:$I$89,5,0)</f>
        <v>166.28975999999997</v>
      </c>
      <c r="CV66" s="13">
        <f t="shared" si="41"/>
        <v>42.257989067732296</v>
      </c>
      <c r="CW66" s="20">
        <f t="shared" si="13"/>
        <v>363.22066295963373</v>
      </c>
      <c r="CX66" s="59">
        <f t="shared" si="14"/>
        <v>656.55399629296699</v>
      </c>
      <c r="CY66" s="59">
        <f ca="1">AVERAGE(OFFSET($CX$3,0,0,'Données projet'!$E$13+1,1))-AVERAGE(OFFSET($H$3,0,0,'Données projet'!$E$13+1,1))</f>
        <v>247.67539667223065</v>
      </c>
      <c r="CZ66" s="59">
        <f t="shared" si="42"/>
        <v>174.54442616983778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0.66658512928162594</v>
      </c>
      <c r="DG66" s="21">
        <f>EXP(-LN(2)/25)*DG65+(1-EXP(-LN(2)/25))/(LN(2)/25)*Calculateur!DB66*Calculateur!DD66*VLOOKUP('Données projet'!$B$13,Paramètres!$A$1:$I$89,3,0)*0.475*44/12</f>
        <v>2.6334585255533782</v>
      </c>
      <c r="DH66" s="21">
        <f>EXP(-LN(2)/2)*DH65+(1-EXP(-LN(2)/2))/(LN(2)/2)*DB66*DE66*VLOOKUP('Données projet'!$B$13,Paramètres!$A$1:$I$89,3,0)*0.475*44/12</f>
        <v>1.2422938349200449E-4</v>
      </c>
      <c r="DI66" s="22">
        <f t="shared" si="15"/>
        <v>3.3001678842184963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5.9431089743589762</v>
      </c>
      <c r="DO66" s="12">
        <f>IF('Données projet'!$A$166&gt;35,DO65+DN66-DW65,IF(A66&lt;'Données projet'!$A$166,$DL$205^A66,IF(A66='Données projet'!$A$166,'Données projet'!$B$166,DO65+DN66-DW65)))</f>
        <v>144.08653846153845</v>
      </c>
      <c r="DP66" s="17">
        <f>DO66*VLOOKUP('Données projet'!$B$14,Paramètres!$A$1:$I$89,3,0)*VLOOKUP('Données projet'!$B$14,Paramètres!$A$1:$I$89,5,0)</f>
        <v>143.85599999999999</v>
      </c>
      <c r="DQ66" s="13">
        <f t="shared" si="43"/>
        <v>37.178959239188295</v>
      </c>
      <c r="DR66" s="20">
        <f t="shared" si="16"/>
        <v>315.30255400825291</v>
      </c>
      <c r="DS66" s="59">
        <f t="shared" si="17"/>
        <v>608.63588734158623</v>
      </c>
      <c r="DT66" s="59">
        <f ca="1">AVERAGE(OFFSET($DS$3,0,0,'Données projet'!$E$14+1,1))-AVERAGE(OFFSET($H$3,0,0,'Données projet'!$E$14+1,1))</f>
        <v>245.06609107649069</v>
      </c>
      <c r="DU66" s="59">
        <f t="shared" si="44"/>
        <v>156.24531945456499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3.1453526923383279</v>
      </c>
      <c r="EJ66" s="12">
        <f>IF('Données projet'!$A$192&gt;35,EJ65+EI66-ER65,IF(A66&lt;'Données projet'!$A$192,$EG$205^A66,IF(A66='Données projet'!$A$192,'Données projet'!$B$192,EJ65+EI66-ER65)))</f>
        <v>124.34371055820858</v>
      </c>
      <c r="EK66" s="17">
        <f>EJ66*VLOOKUP('Données projet'!$B$15,Paramètres!$A$1:$I$89,3,0)*VLOOKUP('Données projet'!$B$15,Paramètres!$A$1:$I$89,5,0)</f>
        <v>135.78333192956376</v>
      </c>
      <c r="EL66" s="13">
        <f t="shared" si="45"/>
        <v>35.329313471745181</v>
      </c>
      <c r="EM66" s="20">
        <f t="shared" si="19"/>
        <v>298.02119074061312</v>
      </c>
      <c r="EN66" s="59">
        <f t="shared" si="20"/>
        <v>591.35452407394644</v>
      </c>
      <c r="EO66" s="59">
        <f ca="1">AVERAGE(OFFSET($EN$3,0,0,'Données projet'!$E$15+1,1))-AVERAGE(OFFSET($H$3,0,0,'Données projet'!$E$15+1,1))</f>
        <v>173.63857221119594</v>
      </c>
      <c r="EP66" s="59">
        <f t="shared" si="46"/>
        <v>52.373745617370105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199.58634493109349</v>
      </c>
      <c r="T67" s="59">
        <f t="shared" si="34"/>
        <v>288.66487031729008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2.548557836491069</v>
      </c>
      <c r="AA67" s="21">
        <f>EXP(-LN(2)/25)*AA66+(1-EXP(-LN(2)/25))/(LN(2)/25)*Calculateur!V67*Calculateur!X67*VLOOKUP('Données projet'!$B$9,Paramètres!$A$1:$I$89,3,0)*0.475*44/12</f>
        <v>6.6734756920117668</v>
      </c>
      <c r="AB67" s="21">
        <f>EXP(-LN(2)/2)*AB66+(1-EXP(-LN(2)/2))/(LN(2)/2)*V67*Y67*VLOOKUP('Données projet'!$B$9,Paramètres!$A$1:$I$89,3,0)*0.475*44/12</f>
        <v>2.2505965068116108E-5</v>
      </c>
      <c r="AC67" s="22">
        <f t="shared" si="3"/>
        <v>9.2220560344679043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18.7</v>
      </c>
      <c r="AI67" s="13">
        <f>IF('Données projet'!$A$62&gt;35,AI66+AH67-AQ66,IF(A67&lt;'Données projet'!$A$62,$AF$205^A67,IF(A67='Données projet'!$A$62,'Données projet'!$B$62,AI66+AH67-AQ66)))</f>
        <v>515.79999999999961</v>
      </c>
      <c r="AJ67" s="13">
        <f>AI67*VLOOKUP('Données projet'!$B$10,Paramètres!$A$1:$I$89,3,0)*VLOOKUP('Données projet'!$B$10,Paramètres!$A$1:$I$89,5,0)</f>
        <v>308.44839999999976</v>
      </c>
      <c r="AK67" s="13">
        <f t="shared" si="35"/>
        <v>72.944699768355846</v>
      </c>
      <c r="AL67" s="20">
        <f t="shared" si="4"/>
        <v>664.25964876321927</v>
      </c>
      <c r="AM67" s="59">
        <f t="shared" si="5"/>
        <v>957.59298209655253</v>
      </c>
      <c r="AN67" s="59">
        <f ca="1">AVERAGE(OFFSET($AM$3,0,0,'Données projet'!$E$10+1,1))-AVERAGE(OFFSET($H$3,0,0,'Données projet'!$E$10+1,1))</f>
        <v>395.40396173178527</v>
      </c>
      <c r="AO67" s="59">
        <f t="shared" si="36"/>
        <v>304.68075128568756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1.5292982854241943</v>
      </c>
      <c r="AV67" s="21">
        <f>EXP(-LN(2)/25)*AV66+(1-EXP(-LN(2)/25))/(LN(2)/25)*Calculateur!AQ67*Calculateur!AS67*VLOOKUP('Données projet'!$B$10,Paramètres!$A$1:$I$89,3,0)*0.475*44/12</f>
        <v>7.283395906413821</v>
      </c>
      <c r="AW67" s="21">
        <f>EXP(-LN(2)/2)*AW66+(1-EXP(-LN(2)/2))/(LN(2)/2)*AQ67*AT67*VLOOKUP('Données projet'!$B$10,Paramètres!$A$1:$I$89,3,0)*0.475*44/12</f>
        <v>1.9841021935941889E-4</v>
      </c>
      <c r="AX67" s="21">
        <f t="shared" si="6"/>
        <v>8.8128926020573761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36.10000000000008</v>
      </c>
      <c r="BE67" s="13">
        <f>BD67*VLOOKUP('Données projet'!$B$11,Paramètres!$A$1:$I$89,3,0)*VLOOKUP('Données projet'!$B$11,Paramètres!$A$1:$I$89,5,0)</f>
        <v>31.536960000000075</v>
      </c>
      <c r="BF67" s="13">
        <f t="shared" si="37"/>
        <v>9.725440120377133</v>
      </c>
      <c r="BG67" s="20">
        <f t="shared" si="7"/>
        <v>71.865346876323642</v>
      </c>
      <c r="BH67" s="59">
        <f t="shared" si="8"/>
        <v>365.19868020965697</v>
      </c>
      <c r="BI67" s="59">
        <f ca="1">AVERAGE(OFFSET($BH$3,0,0,'Données projet'!$E$11+1,1))-AVERAGE(OFFSET($H$3,0,0,'Données projet'!$E$11+1,1))</f>
        <v>249.21292089724221</v>
      </c>
      <c r="BJ67" s="59">
        <f t="shared" si="38"/>
        <v>640.80644476065254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57.514379726969104</v>
      </c>
      <c r="BQ67" s="21">
        <f>EXP(-LN(2)/25)*BQ66+(1-EXP(-LN(2)/25))/(LN(2)/25)*Calculateur!BL67*Calculateur!BN67*VLOOKUP('Données projet'!$B$11,Paramètres!$A$1:$I$89,3,0)*0.475*44/12</f>
        <v>41.754729935226166</v>
      </c>
      <c r="BR67" s="21">
        <f>EXP(-LN(2)/2)*BR66+(1-EXP(-LN(2)/2))/(LN(2)/2)*BL67*BO67*VLOOKUP('Données projet'!$B$11,Paramètres!$A$1:$I$89,3,0)*0.475*44/12</f>
        <v>6.2972672907468815E-4</v>
      </c>
      <c r="BS67" s="22">
        <f t="shared" si="9"/>
        <v>99.269739388924336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4.9000000000000004</v>
      </c>
      <c r="BY67" s="12">
        <f>IF('Données projet'!$A$114&gt;35,BY66+BX67-CG66,IF(A67&lt;'Données projet'!$A$114,$BV$205^A67,IF(A67='Données projet'!$A$114,'Données projet'!$B$114,BY66+BX67-CG66)))</f>
        <v>202.60000000000025</v>
      </c>
      <c r="BZ67" s="13">
        <f>BY67*VLOOKUP('Données projet'!$B$12,Paramètres!$A$1:$I$89,3,0)*VLOOKUP('Données projet'!$B$12,Paramètres!$A$1:$I$89,5,0)</f>
        <v>164.3491200000002</v>
      </c>
      <c r="CA67" s="13">
        <f t="shared" si="39"/>
        <v>41.821935172974364</v>
      </c>
      <c r="CB67" s="20">
        <f t="shared" si="10"/>
        <v>359.08125442626397</v>
      </c>
      <c r="CC67" s="59">
        <f t="shared" si="11"/>
        <v>652.41458775959723</v>
      </c>
      <c r="CD67" s="59">
        <f ca="1">AVERAGE(OFFSET($CC$3,0,0,'Données projet'!$E$12+1,1))-AVERAGE(OFFSET($H$3,0,0,'Données projet'!$E$12+1,1))</f>
        <v>192.4785660463869</v>
      </c>
      <c r="CE67" s="59">
        <f t="shared" si="40"/>
        <v>165.11095806515362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0.41298441620875592</v>
      </c>
      <c r="CL67" s="21">
        <f>EXP(-LN(2)/25)*CL66+(1-EXP(-LN(2)/25))/(LN(2)/25)*Calculateur!CG67*Calculateur!CI67*VLOOKUP('Données projet'!$B$12,Paramètres!$A$1:$I$89,3,0)*0.475*44/12</f>
        <v>1.8392924856165327</v>
      </c>
      <c r="CM67" s="21">
        <f>EXP(-LN(2)/2)*CM66+(1-EXP(-LN(2)/2))/(LN(2)/2)*CG67*CJ67*VLOOKUP('Données projet'!$B$12,Paramètres!$A$1:$I$89,3,0)*0.475*44/12</f>
        <v>5.5867159960771563E-5</v>
      </c>
      <c r="CN67" s="22">
        <f t="shared" si="12"/>
        <v>2.2523327689852493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6.8</v>
      </c>
      <c r="CT67" s="12">
        <f>IF('Données projet'!$A$140&gt;35,CT66+CS67-DB66,IF(A67&lt;'Données projet'!$A$140,$CQ$205^A67,IF(A67='Données projet'!$A$140,'Données projet'!$B$140,CT66+CS67-DB66)))</f>
        <v>204.19999999999996</v>
      </c>
      <c r="CU67" s="17">
        <f>CT67*VLOOKUP('Données projet'!$B$13,Paramètres!$A$1:$I$89,3,0)*VLOOKUP('Données projet'!$B$13,Paramètres!$A$1:$I$89,5,0)</f>
        <v>172.01808</v>
      </c>
      <c r="CV67" s="13">
        <f t="shared" si="41"/>
        <v>43.541695470546316</v>
      </c>
      <c r="CW67" s="20">
        <f t="shared" si="13"/>
        <v>375.43327561120145</v>
      </c>
      <c r="CX67" s="59">
        <f t="shared" si="14"/>
        <v>668.76660894453471</v>
      </c>
      <c r="CY67" s="59">
        <f ca="1">AVERAGE(OFFSET($CX$3,0,0,'Données projet'!$E$13+1,1))-AVERAGE(OFFSET($H$3,0,0,'Données projet'!$E$13+1,1))</f>
        <v>247.67539667223065</v>
      </c>
      <c r="CZ67" s="59">
        <f t="shared" si="42"/>
        <v>174.54442616983778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0.65351380147319604</v>
      </c>
      <c r="DG67" s="21">
        <f>EXP(-LN(2)/25)*DG66+(1-EXP(-LN(2)/25))/(LN(2)/25)*Calculateur!DB67*Calculateur!DD67*VLOOKUP('Données projet'!$B$13,Paramètres!$A$1:$I$89,3,0)*0.475*44/12</f>
        <v>2.5614464636845562</v>
      </c>
      <c r="DH67" s="21">
        <f>EXP(-LN(2)/2)*DH66+(1-EXP(-LN(2)/2))/(LN(2)/2)*DB67*DE67*VLOOKUP('Données projet'!$B$13,Paramètres!$A$1:$I$89,3,0)*0.475*44/12</f>
        <v>8.7843439489820519E-5</v>
      </c>
      <c r="DI67" s="22">
        <f t="shared" si="15"/>
        <v>3.2150481085972422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5.9431089743589762</v>
      </c>
      <c r="DO67" s="12">
        <f>IF('Données projet'!$A$166&gt;35,DO66+DN67-DW66,IF(A67&lt;'Données projet'!$A$166,$DL$205^A67,IF(A67='Données projet'!$A$166,'Données projet'!$B$166,DO66+DN67-DW66)))</f>
        <v>150.02964743589743</v>
      </c>
      <c r="DP67" s="17">
        <f>DO67*VLOOKUP('Données projet'!$B$14,Paramètres!$A$1:$I$89,3,0)*VLOOKUP('Données projet'!$B$14,Paramètres!$A$1:$I$89,5,0)</f>
        <v>149.78960000000001</v>
      </c>
      <c r="DQ67" s="13">
        <f t="shared" si="43"/>
        <v>38.530767560504863</v>
      </c>
      <c r="DR67" s="20">
        <f t="shared" si="16"/>
        <v>327.99130683454598</v>
      </c>
      <c r="DS67" s="59">
        <f t="shared" si="17"/>
        <v>621.32464016787935</v>
      </c>
      <c r="DT67" s="59">
        <f ca="1">AVERAGE(OFFSET($DS$3,0,0,'Données projet'!$E$14+1,1))-AVERAGE(OFFSET($H$3,0,0,'Données projet'!$E$14+1,1))</f>
        <v>245.06609107649069</v>
      </c>
      <c r="DU67" s="59">
        <f t="shared" si="44"/>
        <v>156.24531945456499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3.1453526923383279</v>
      </c>
      <c r="EJ67" s="12">
        <f>IF('Données projet'!$A$192&gt;35,EJ66+EI67-ER66,IF(A67&lt;'Données projet'!$A$192,$EG$205^A67,IF(A67='Données projet'!$A$192,'Données projet'!$B$192,EJ66+EI67-ER66)))</f>
        <v>127.48906325054691</v>
      </c>
      <c r="EK67" s="17">
        <f>EJ67*VLOOKUP('Données projet'!$B$15,Paramètres!$A$1:$I$89,3,0)*VLOOKUP('Données projet'!$B$15,Paramètres!$A$1:$I$89,5,0)</f>
        <v>139.21805706959722</v>
      </c>
      <c r="EL67" s="13">
        <f t="shared" si="45"/>
        <v>36.117814999105143</v>
      </c>
      <c r="EM67" s="20">
        <f t="shared" si="19"/>
        <v>305.37664385298996</v>
      </c>
      <c r="EN67" s="59">
        <f t="shared" si="20"/>
        <v>598.70997718632327</v>
      </c>
      <c r="EO67" s="59">
        <f ca="1">AVERAGE(OFFSET($EN$3,0,0,'Données projet'!$E$15+1,1))-AVERAGE(OFFSET($H$3,0,0,'Données projet'!$E$15+1,1))</f>
        <v>173.63857221119594</v>
      </c>
      <c r="EP67" s="59">
        <f t="shared" si="46"/>
        <v>52.373745617370105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199.58634493109349</v>
      </c>
      <c r="T68" s="59">
        <f t="shared" si="34"/>
        <v>288.66487031729008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2.4985821717842684</v>
      </c>
      <c r="AA68" s="21">
        <f>EXP(-LN(2)/25)*AA67+(1-EXP(-LN(2)/25))/(LN(2)/25)*Calculateur!V68*Calculateur!X68*VLOOKUP('Données projet'!$B$9,Paramètres!$A$1:$I$89,3,0)*0.475*44/12</f>
        <v>6.490989148270871</v>
      </c>
      <c r="AB68" s="21">
        <f>EXP(-LN(2)/2)*AB67+(1-EXP(-LN(2)/2))/(LN(2)/2)*V68*Y68*VLOOKUP('Données projet'!$B$9,Paramètres!$A$1:$I$89,3,0)*0.475*44/12</f>
        <v>1.5914120516812459E-5</v>
      </c>
      <c r="AC68" s="22">
        <f t="shared" ref="AC68:AC131" si="57">SUM(Z68:AB68)</f>
        <v>8.9895872341756569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18.7</v>
      </c>
      <c r="AI68" s="13">
        <f>IF('Données projet'!$A$62&gt;35,AI67+AH68-AQ67,IF(A68&lt;'Données projet'!$A$62,$AF$205^A68,IF(A68='Données projet'!$A$62,'Données projet'!$B$62,AI67+AH68-AQ67)))</f>
        <v>534.49999999999966</v>
      </c>
      <c r="AJ68" s="13">
        <f>AI68*VLOOKUP('Données projet'!$B$10,Paramètres!$A$1:$I$89,3,0)*VLOOKUP('Données projet'!$B$10,Paramètres!$A$1:$I$89,5,0)</f>
        <v>319.63099999999986</v>
      </c>
      <c r="AK68" s="13">
        <f t="shared" si="35"/>
        <v>75.276570881687476</v>
      </c>
      <c r="AL68" s="20">
        <f t="shared" ref="AL68:AL131" si="58">(AJ68+AK68)*0.475*44/12</f>
        <v>687.79735261893882</v>
      </c>
      <c r="AM68" s="59">
        <f t="shared" ref="AM68:AM131" si="59">AL68+(AD68+AE68)*44/12</f>
        <v>981.13068595227219</v>
      </c>
      <c r="AN68" s="59">
        <f ca="1">AVERAGE(OFFSET($AM$3,0,0,'Données projet'!$E$10+1,1))-AVERAGE(OFFSET($H$3,0,0,'Données projet'!$E$10+1,1))</f>
        <v>395.40396173178527</v>
      </c>
      <c r="AO68" s="59">
        <f t="shared" si="36"/>
        <v>304.68075128568756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1.4993096788268756</v>
      </c>
      <c r="AV68" s="21">
        <f>EXP(-LN(2)/25)*AV67+(1-EXP(-LN(2)/25))/(LN(2)/25)*Calculateur!AQ68*Calculateur!AS68*VLOOKUP('Données projet'!$B$10,Paramètres!$A$1:$I$89,3,0)*0.475*44/12</f>
        <v>7.0842310623357907</v>
      </c>
      <c r="AW68" s="21">
        <f>EXP(-LN(2)/2)*AW67+(1-EXP(-LN(2)/2))/(LN(2)/2)*AQ68*AT68*VLOOKUP('Données projet'!$B$10,Paramètres!$A$1:$I$89,3,0)*0.475*44/12</f>
        <v>1.402972115657555E-4</v>
      </c>
      <c r="AX68" s="21">
        <f t="shared" ref="AX68:AX131" si="60">SUM(AU68:AW68)</f>
        <v>8.5836810383742321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36.10000000000008</v>
      </c>
      <c r="BE68" s="13">
        <f>BD68*VLOOKUP('Données projet'!$B$11,Paramètres!$A$1:$I$89,3,0)*VLOOKUP('Données projet'!$B$11,Paramètres!$A$1:$I$89,5,0)</f>
        <v>31.536960000000075</v>
      </c>
      <c r="BF68" s="13">
        <f t="shared" si="37"/>
        <v>9.725440120377133</v>
      </c>
      <c r="BG68" s="20">
        <f t="shared" ref="BG68:BG131" si="61">(BE68+BF68)*0.475*44/12</f>
        <v>71.865346876323642</v>
      </c>
      <c r="BH68" s="59">
        <f t="shared" ref="BH68:BH131" si="62">BG68+(AY68+AZ68)*44/12</f>
        <v>365.19868020965697</v>
      </c>
      <c r="BI68" s="59">
        <f ca="1">AVERAGE(OFFSET($BH$3,0,0,'Données projet'!$E$11+1,1))-AVERAGE(OFFSET($H$3,0,0,'Données projet'!$E$11+1,1))</f>
        <v>249.21292089724221</v>
      </c>
      <c r="BJ68" s="59">
        <f t="shared" si="38"/>
        <v>640.80644476065254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56.38655782083098</v>
      </c>
      <c r="BQ68" s="21">
        <f>EXP(-LN(2)/25)*BQ67+(1-EXP(-LN(2)/25))/(LN(2)/25)*Calculateur!BL68*Calculateur!BN68*VLOOKUP('Données projet'!$B$11,Paramètres!$A$1:$I$89,3,0)*0.475*44/12</f>
        <v>40.612944649361594</v>
      </c>
      <c r="BR68" s="21">
        <f>EXP(-LN(2)/2)*BR67+(1-EXP(-LN(2)/2))/(LN(2)/2)*BL68*BO68*VLOOKUP('Données projet'!$B$11,Paramètres!$A$1:$I$89,3,0)*0.475*44/12</f>
        <v>4.4528404042313581E-4</v>
      </c>
      <c r="BS68" s="22">
        <f t="shared" ref="BS68:BS131" si="63">SUM(BP68:BR68)</f>
        <v>96.999947754232991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4.9000000000000004</v>
      </c>
      <c r="BY68" s="12">
        <f>IF('Données projet'!$A$114&gt;35,BY67+BX68-CG67,IF(A68&lt;'Données projet'!$A$114,$BV$205^A68,IF(A68='Données projet'!$A$114,'Données projet'!$B$114,BY67+BX68-CG67)))</f>
        <v>207.50000000000026</v>
      </c>
      <c r="BZ68" s="13">
        <f>BY68*VLOOKUP('Données projet'!$B$12,Paramètres!$A$1:$I$89,3,0)*VLOOKUP('Données projet'!$B$12,Paramètres!$A$1:$I$89,5,0)</f>
        <v>168.32400000000021</v>
      </c>
      <c r="CA68" s="13">
        <f t="shared" si="39"/>
        <v>42.714439164086123</v>
      </c>
      <c r="CB68" s="20">
        <f t="shared" ref="CB68:CB131" si="64">(BZ68+CA68)*0.475*44/12</f>
        <v>367.55861487745034</v>
      </c>
      <c r="CC68" s="59">
        <f t="shared" ref="CC68:CC131" si="65">CB68+(BT68+BU68)*44/12</f>
        <v>660.89194821078365</v>
      </c>
      <c r="CD68" s="59">
        <f ca="1">AVERAGE(OFFSET($CC$3,0,0,'Données projet'!$E$12+1,1))-AVERAGE(OFFSET($H$3,0,0,'Données projet'!$E$12+1,1))</f>
        <v>192.4785660463869</v>
      </c>
      <c r="CE68" s="59">
        <f t="shared" si="40"/>
        <v>165.11095806515362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0.40488604370252346</v>
      </c>
      <c r="CL68" s="21">
        <f>EXP(-LN(2)/25)*CL67+(1-EXP(-LN(2)/25))/(LN(2)/25)*Calculateur!CG68*Calculateur!CI68*VLOOKUP('Données projet'!$B$12,Paramètres!$A$1:$I$89,3,0)*0.475*44/12</f>
        <v>1.7889969358731606</v>
      </c>
      <c r="CM68" s="21">
        <f>EXP(-LN(2)/2)*CM67+(1-EXP(-LN(2)/2))/(LN(2)/2)*CG68*CJ68*VLOOKUP('Données projet'!$B$12,Paramètres!$A$1:$I$89,3,0)*0.475*44/12</f>
        <v>3.9504047653895146E-5</v>
      </c>
      <c r="CN68" s="22">
        <f t="shared" ref="CN68:CN131" si="66">SUM(CK68:CM68)</f>
        <v>2.193922483623338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6.8</v>
      </c>
      <c r="CT68" s="12">
        <f>IF('Données projet'!$A$140&gt;35,CT67+CS68-DB67,IF(A68&lt;'Données projet'!$A$140,$CQ$205^A68,IF(A68='Données projet'!$A$140,'Données projet'!$B$140,CT67+CS68-DB67)))</f>
        <v>210.99999999999997</v>
      </c>
      <c r="CU68" s="17">
        <f>CT68*VLOOKUP('Données projet'!$B$13,Paramètres!$A$1:$I$89,3,0)*VLOOKUP('Données projet'!$B$13,Paramètres!$A$1:$I$89,5,0)</f>
        <v>177.74639999999999</v>
      </c>
      <c r="CV68" s="13">
        <f t="shared" si="41"/>
        <v>44.820434632332486</v>
      </c>
      <c r="CW68" s="20">
        <f t="shared" ref="CW68:CW131" si="67">(CU68+CV68)*0.475*44/12</f>
        <v>387.63723698464565</v>
      </c>
      <c r="CX68" s="59">
        <f t="shared" ref="CX68:CX131" si="68">CW68+(CO68+CP68)*44/12</f>
        <v>680.97057031797897</v>
      </c>
      <c r="CY68" s="59">
        <f ca="1">AVERAGE(OFFSET($CX$3,0,0,'Données projet'!$E$13+1,1))-AVERAGE(OFFSET($H$3,0,0,'Données projet'!$E$13+1,1))</f>
        <v>247.67539667223065</v>
      </c>
      <c r="CZ68" s="59">
        <f t="shared" si="42"/>
        <v>174.54442616983778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0.6406987944303667</v>
      </c>
      <c r="DG68" s="21">
        <f>EXP(-LN(2)/25)*DG67+(1-EXP(-LN(2)/25))/(LN(2)/25)*Calculateur!DB68*Calculateur!DD68*VLOOKUP('Données projet'!$B$13,Paramètres!$A$1:$I$89,3,0)*0.475*44/12</f>
        <v>2.4914035754344868</v>
      </c>
      <c r="DH68" s="21">
        <f>EXP(-LN(2)/2)*DH67+(1-EXP(-LN(2)/2))/(LN(2)/2)*DB68*DE68*VLOOKUP('Données projet'!$B$13,Paramètres!$A$1:$I$89,3,0)*0.475*44/12</f>
        <v>6.2114691746002244E-5</v>
      </c>
      <c r="DI68" s="22">
        <f t="shared" ref="DI68:DI131" si="69">SUM(DF68:DH68)</f>
        <v>3.1321644845565997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5.9431089743589762</v>
      </c>
      <c r="DO68" s="12">
        <f>IF('Données projet'!$A$166&gt;35,DO67+DN68-DW67,IF(A68&lt;'Données projet'!$A$166,$DL$205^A68,IF(A68='Données projet'!$A$166,'Données projet'!$B$166,DO67+DN68-DW67)))</f>
        <v>155.97275641025641</v>
      </c>
      <c r="DP68" s="17">
        <f>DO68*VLOOKUP('Données projet'!$B$14,Paramètres!$A$1:$I$89,3,0)*VLOOKUP('Données projet'!$B$14,Paramètres!$A$1:$I$89,5,0)</f>
        <v>155.72319999999999</v>
      </c>
      <c r="DQ68" s="13">
        <f t="shared" si="43"/>
        <v>39.876355403093747</v>
      </c>
      <c r="DR68" s="20">
        <f t="shared" ref="DR68:DR131" si="70">(DP68+DQ68)*0.475*44/12</f>
        <v>340.66922566038829</v>
      </c>
      <c r="DS68" s="59">
        <f t="shared" ref="DS68:DS131" si="71">DR68+(DJ68+DK68)*44/12</f>
        <v>634.00255899372155</v>
      </c>
      <c r="DT68" s="59">
        <f ca="1">AVERAGE(OFFSET($DS$3,0,0,'Données projet'!$E$14+1,1))-AVERAGE(OFFSET($H$3,0,0,'Données projet'!$E$14+1,1))</f>
        <v>245.06609107649069</v>
      </c>
      <c r="DU68" s="59">
        <f t="shared" si="44"/>
        <v>156.24531945456499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3.1453526923383279</v>
      </c>
      <c r="EJ68" s="12">
        <f>IF('Données projet'!$A$192&gt;35,EJ67+EI68-ER67,IF(A68&lt;'Données projet'!$A$192,$EG$205^A68,IF(A68='Données projet'!$A$192,'Données projet'!$B$192,EJ67+EI68-ER67)))</f>
        <v>130.63441594288523</v>
      </c>
      <c r="EK68" s="17">
        <f>EJ68*VLOOKUP('Données projet'!$B$15,Paramètres!$A$1:$I$89,3,0)*VLOOKUP('Données projet'!$B$15,Paramètres!$A$1:$I$89,5,0)</f>
        <v>142.65278220963066</v>
      </c>
      <c r="EL68" s="13">
        <f t="shared" si="45"/>
        <v>36.904055138601535</v>
      </c>
      <c r="EM68" s="20">
        <f t="shared" ref="EM68:EM131" si="73">(EK68+EL68)*0.475*44/12</f>
        <v>312.72815838150439</v>
      </c>
      <c r="EN68" s="59">
        <f t="shared" ref="EN68:EN131" si="74">EM68+(EE68+EF68)*44/12</f>
        <v>606.06149171483776</v>
      </c>
      <c r="EO68" s="59">
        <f ca="1">AVERAGE(OFFSET($EN$3,0,0,'Données projet'!$E$15+1,1))-AVERAGE(OFFSET($H$3,0,0,'Données projet'!$E$15+1,1))</f>
        <v>173.63857221119594</v>
      </c>
      <c r="EP68" s="59">
        <f t="shared" si="46"/>
        <v>52.373745617370105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199.58634493109349</v>
      </c>
      <c r="T69" s="59">
        <f t="shared" ref="T69:T132" si="88">$T$3</f>
        <v>288.66487031729008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2.4495864993802225</v>
      </c>
      <c r="AA69" s="21">
        <f>EXP(-LN(2)/25)*AA68+(1-EXP(-LN(2)/25))/(LN(2)/25)*Calculateur!V69*Calculateur!X69*VLOOKUP('Données projet'!$B$9,Paramètres!$A$1:$I$89,3,0)*0.475*44/12</f>
        <v>6.3134927086651205</v>
      </c>
      <c r="AB69" s="21">
        <f>EXP(-LN(2)/2)*AB68+(1-EXP(-LN(2)/2))/(LN(2)/2)*V69*Y69*VLOOKUP('Données projet'!$B$9,Paramètres!$A$1:$I$89,3,0)*0.475*44/12</f>
        <v>1.1252982534058054E-5</v>
      </c>
      <c r="AC69" s="22">
        <f t="shared" si="57"/>
        <v>8.7630904610278773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18.7</v>
      </c>
      <c r="AI69" s="13">
        <f>IF('Données projet'!$A$62&gt;35,AI68+AH69-AQ68,IF(A69&lt;'Données projet'!$A$62,$AF$205^A69,IF(A69='Données projet'!$A$62,'Données projet'!$B$62,AI68+AH69-AQ68)))</f>
        <v>553.1999999999997</v>
      </c>
      <c r="AJ69" s="13">
        <f>AI69*VLOOKUP('Données projet'!$B$10,Paramètres!$A$1:$I$89,3,0)*VLOOKUP('Données projet'!$B$10,Paramètres!$A$1:$I$89,5,0)</f>
        <v>330.81359999999984</v>
      </c>
      <c r="AK69" s="13">
        <f t="shared" ref="AK69:AK132" si="89">EXP(-1.0587+0.8836*LN(AJ69)+0.284)</f>
        <v>77.598963027882718</v>
      </c>
      <c r="AL69" s="20">
        <f t="shared" si="58"/>
        <v>711.3185472735621</v>
      </c>
      <c r="AM69" s="59">
        <f t="shared" si="59"/>
        <v>1004.6518806068955</v>
      </c>
      <c r="AN69" s="59">
        <f ca="1">AVERAGE(OFFSET($AM$3,0,0,'Données projet'!$E$10+1,1))-AVERAGE(OFFSET($H$3,0,0,'Données projet'!$E$10+1,1))</f>
        <v>395.40396173178527</v>
      </c>
      <c r="AO69" s="59">
        <f t="shared" ref="AO69:AO132" si="90">$AO$3</f>
        <v>304.68075128568756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1.4699091305136864</v>
      </c>
      <c r="AV69" s="21">
        <f>EXP(-LN(2)/25)*AV68+(1-EXP(-LN(2)/25))/(LN(2)/25)*Calculateur!AQ69*Calculateur!AS69*VLOOKUP('Données projet'!$B$10,Paramètres!$A$1:$I$89,3,0)*0.475*44/12</f>
        <v>6.890512391392698</v>
      </c>
      <c r="AW69" s="21">
        <f>EXP(-LN(2)/2)*AW68+(1-EXP(-LN(2)/2))/(LN(2)/2)*AQ69*AT69*VLOOKUP('Données projet'!$B$10,Paramètres!$A$1:$I$89,3,0)*0.475*44/12</f>
        <v>9.9205109679709443E-5</v>
      </c>
      <c r="AX69" s="21">
        <f t="shared" si="60"/>
        <v>8.3605207270160644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36.10000000000008</v>
      </c>
      <c r="BE69" s="13">
        <f>BD69*VLOOKUP('Données projet'!$B$11,Paramètres!$A$1:$I$89,3,0)*VLOOKUP('Données projet'!$B$11,Paramètres!$A$1:$I$89,5,0)</f>
        <v>31.536960000000075</v>
      </c>
      <c r="BF69" s="13">
        <f t="shared" ref="BF69:BF132" si="91">EXP(-1.0587+0.8836*LN(BE69)+0.284)</f>
        <v>9.725440120377133</v>
      </c>
      <c r="BG69" s="20">
        <f t="shared" si="61"/>
        <v>71.865346876323642</v>
      </c>
      <c r="BH69" s="59">
        <f t="shared" si="62"/>
        <v>365.19868020965697</v>
      </c>
      <c r="BI69" s="59">
        <f ca="1">AVERAGE(OFFSET($BH$3,0,0,'Données projet'!$E$11+1,1))-AVERAGE(OFFSET($H$3,0,0,'Données projet'!$E$11+1,1))</f>
        <v>249.21292089724221</v>
      </c>
      <c r="BJ69" s="59">
        <f t="shared" ref="BJ69:BJ132" si="92">$BJ$3</f>
        <v>640.80644476065254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55.280851814368788</v>
      </c>
      <c r="BQ69" s="21">
        <f>EXP(-LN(2)/25)*BQ68+(1-EXP(-LN(2)/25))/(LN(2)/25)*Calculateur!BL69*Calculateur!BN69*VLOOKUP('Données projet'!$B$11,Paramètres!$A$1:$I$89,3,0)*0.475*44/12</f>
        <v>39.502381542182867</v>
      </c>
      <c r="BR69" s="21">
        <f>EXP(-LN(2)/2)*BR68+(1-EXP(-LN(2)/2))/(LN(2)/2)*BL69*BO69*VLOOKUP('Données projet'!$B$11,Paramètres!$A$1:$I$89,3,0)*0.475*44/12</f>
        <v>3.1486336453734407E-4</v>
      </c>
      <c r="BS69" s="22">
        <f t="shared" si="63"/>
        <v>94.783548219916185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4.9000000000000004</v>
      </c>
      <c r="BY69" s="12">
        <f>IF('Données projet'!$A$114&gt;35,BY68+BX69-CG68,IF(A69&lt;'Données projet'!$A$114,$BV$205^A69,IF(A69='Données projet'!$A$114,'Données projet'!$B$114,BY68+BX69-CG68)))</f>
        <v>212.40000000000026</v>
      </c>
      <c r="BZ69" s="13">
        <f>BY69*VLOOKUP('Données projet'!$B$12,Paramètres!$A$1:$I$89,3,0)*VLOOKUP('Données projet'!$B$12,Paramètres!$A$1:$I$89,5,0)</f>
        <v>172.29888000000022</v>
      </c>
      <c r="CA69" s="13">
        <f t="shared" ref="CA69:CA132" si="93">EXP(-1.0587+0.8836*LN(BZ69)+0.284)</f>
        <v>43.604493036936915</v>
      </c>
      <c r="CB69" s="20">
        <f t="shared" si="64"/>
        <v>376.03170803933216</v>
      </c>
      <c r="CC69" s="59">
        <f t="shared" si="65"/>
        <v>669.36504137266547</v>
      </c>
      <c r="CD69" s="59">
        <f ca="1">AVERAGE(OFFSET($CC$3,0,0,'Données projet'!$E$12+1,1))-AVERAGE(OFFSET($H$3,0,0,'Données projet'!$E$12+1,1))</f>
        <v>192.4785660463869</v>
      </c>
      <c r="CE69" s="59">
        <f t="shared" ref="CE69:CE132" si="94">$CE$3</f>
        <v>165.11095806515362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0.39694647534161875</v>
      </c>
      <c r="CL69" s="21">
        <f>EXP(-LN(2)/25)*CL68+(1-EXP(-LN(2)/25))/(LN(2)/25)*Calculateur!CG69*Calculateur!CI69*VLOOKUP('Données projet'!$B$12,Paramètres!$A$1:$I$89,3,0)*0.475*44/12</f>
        <v>1.740076720582449</v>
      </c>
      <c r="CM69" s="21">
        <f>EXP(-LN(2)/2)*CM68+(1-EXP(-LN(2)/2))/(LN(2)/2)*CG69*CJ69*VLOOKUP('Données projet'!$B$12,Paramètres!$A$1:$I$89,3,0)*0.475*44/12</f>
        <v>2.7933579980385781E-5</v>
      </c>
      <c r="CN69" s="22">
        <f t="shared" si="66"/>
        <v>2.137051129504048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6.8</v>
      </c>
      <c r="CT69" s="12">
        <f>IF('Données projet'!$A$140&gt;35,CT68+CS69-DB68,IF(A69&lt;'Données projet'!$A$140,$CQ$205^A69,IF(A69='Données projet'!$A$140,'Données projet'!$B$140,CT68+CS69-DB68)))</f>
        <v>217.79999999999998</v>
      </c>
      <c r="CU69" s="17">
        <f>CT69*VLOOKUP('Données projet'!$B$13,Paramètres!$A$1:$I$89,3,0)*VLOOKUP('Données projet'!$B$13,Paramètres!$A$1:$I$89,5,0)</f>
        <v>183.47471999999999</v>
      </c>
      <c r="CV69" s="13">
        <f t="shared" ref="CV69:CV132" si="95">EXP(-1.0587+0.8836*LN(CU69)+0.284)</f>
        <v>46.094384996221784</v>
      </c>
      <c r="CW69" s="20">
        <f t="shared" si="67"/>
        <v>399.83285786841952</v>
      </c>
      <c r="CX69" s="59">
        <f t="shared" si="68"/>
        <v>693.16619120175278</v>
      </c>
      <c r="CY69" s="59">
        <f ca="1">AVERAGE(OFFSET($CX$3,0,0,'Données projet'!$E$13+1,1))-AVERAGE(OFFSET($H$3,0,0,'Données projet'!$E$13+1,1))</f>
        <v>247.67539667223065</v>
      </c>
      <c r="CZ69" s="59">
        <f t="shared" ref="CZ69:CZ132" si="96">$CZ$3</f>
        <v>174.54442616983778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0.6281350818592647</v>
      </c>
      <c r="DG69" s="21">
        <f>EXP(-LN(2)/25)*DG68+(1-EXP(-LN(2)/25))/(LN(2)/25)*Calculateur!DB69*Calculateur!DD69*VLOOKUP('Données projet'!$B$13,Paramètres!$A$1:$I$89,3,0)*0.475*44/12</f>
        <v>2.4232760136470111</v>
      </c>
      <c r="DH69" s="21">
        <f>EXP(-LN(2)/2)*DH68+(1-EXP(-LN(2)/2))/(LN(2)/2)*DB69*DE69*VLOOKUP('Données projet'!$B$13,Paramètres!$A$1:$I$89,3,0)*0.475*44/12</f>
        <v>4.3921719744910259E-5</v>
      </c>
      <c r="DI69" s="22">
        <f t="shared" si="69"/>
        <v>3.0514550172260204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5.9431089743589762</v>
      </c>
      <c r="DO69" s="12">
        <f>IF('Données projet'!$A$166&gt;35,DO68+DN69-DW68,IF(A69&lt;'Données projet'!$A$166,$DL$205^A69,IF(A69='Données projet'!$A$166,'Données projet'!$B$166,DO68+DN69-DW68)))</f>
        <v>161.91586538461539</v>
      </c>
      <c r="DP69" s="17">
        <f>DO69*VLOOKUP('Données projet'!$B$14,Paramètres!$A$1:$I$89,3,0)*VLOOKUP('Données projet'!$B$14,Paramètres!$A$1:$I$89,5,0)</f>
        <v>161.65680000000003</v>
      </c>
      <c r="DQ69" s="13">
        <f t="shared" ref="DQ69:DQ132" si="97">EXP(-1.0587+0.8836*LN(DP69)+0.284)</f>
        <v>41.215986922570139</v>
      </c>
      <c r="DR69" s="20">
        <f t="shared" si="70"/>
        <v>353.33677055680977</v>
      </c>
      <c r="DS69" s="59">
        <f t="shared" si="71"/>
        <v>646.67010389014308</v>
      </c>
      <c r="DT69" s="59">
        <f ca="1">AVERAGE(OFFSET($DS$3,0,0,'Données projet'!$E$14+1,1))-AVERAGE(OFFSET($H$3,0,0,'Données projet'!$E$14+1,1))</f>
        <v>245.06609107649069</v>
      </c>
      <c r="DU69" s="59">
        <f t="shared" ref="DU69:DU132" si="98">$DU$3</f>
        <v>156.24531945456499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3.1453526923383279</v>
      </c>
      <c r="EJ69" s="12">
        <f>IF('Données projet'!$A$192&gt;35,EJ68+EI69-ER68,IF(A69&lt;'Données projet'!$A$192,$EG$205^A69,IF(A69='Données projet'!$A$192,'Données projet'!$B$192,EJ68+EI69-ER68)))</f>
        <v>133.77976863522355</v>
      </c>
      <c r="EK69" s="17">
        <f>EJ69*VLOOKUP('Données projet'!$B$15,Paramètres!$A$1:$I$89,3,0)*VLOOKUP('Données projet'!$B$15,Paramètres!$A$1:$I$89,5,0)</f>
        <v>146.08750734966409</v>
      </c>
      <c r="EL69" s="13">
        <f t="shared" ref="EL69:EL132" si="99">EXP(-1.0587+0.8836*LN(EK69)+0.284)</f>
        <v>37.688094603423856</v>
      </c>
      <c r="EM69" s="20">
        <f t="shared" si="73"/>
        <v>320.07584006829478</v>
      </c>
      <c r="EN69" s="59">
        <f t="shared" si="74"/>
        <v>613.4091734016281</v>
      </c>
      <c r="EO69" s="59">
        <f ca="1">AVERAGE(OFFSET($EN$3,0,0,'Données projet'!$E$15+1,1))-AVERAGE(OFFSET($H$3,0,0,'Données projet'!$E$15+1,1))</f>
        <v>173.63857221119594</v>
      </c>
      <c r="EP69" s="59">
        <f t="shared" ref="EP69:EP132" si="100">$EP$3</f>
        <v>52.373745617370105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199.58634493109349</v>
      </c>
      <c r="T70" s="59">
        <f t="shared" si="88"/>
        <v>288.66487031729008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2.4015516022276109</v>
      </c>
      <c r="AA70" s="21">
        <f>EXP(-LN(2)/25)*AA69+(1-EXP(-LN(2)/25))/(LN(2)/25)*Calculateur!V70*Calculateur!X70*VLOOKUP('Données projet'!$B$9,Paramètres!$A$1:$I$89,3,0)*0.475*44/12</f>
        <v>6.1408499185345207</v>
      </c>
      <c r="AB70" s="21">
        <f>EXP(-LN(2)/2)*AB69+(1-EXP(-LN(2)/2))/(LN(2)/2)*V70*Y70*VLOOKUP('Données projet'!$B$9,Paramètres!$A$1:$I$89,3,0)*0.475*44/12</f>
        <v>7.9570602584062294E-6</v>
      </c>
      <c r="AC70" s="22">
        <f t="shared" si="57"/>
        <v>8.5424094778223907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18.7</v>
      </c>
      <c r="AI70" s="13">
        <f>IF('Données projet'!$A$62&gt;35,AI69+AH70-AQ69,IF(A70&lt;'Données projet'!$A$62,$AF$205^A70,IF(A70='Données projet'!$A$62,'Données projet'!$B$62,AI69+AH70-AQ69)))</f>
        <v>571.89999999999975</v>
      </c>
      <c r="AJ70" s="13">
        <f>AI70*VLOOKUP('Données projet'!$B$10,Paramètres!$A$1:$I$89,3,0)*VLOOKUP('Données projet'!$B$10,Paramètres!$A$1:$I$89,5,0)</f>
        <v>341.99619999999987</v>
      </c>
      <c r="AK70" s="13">
        <f t="shared" si="89"/>
        <v>79.912233359870385</v>
      </c>
      <c r="AL70" s="20">
        <f t="shared" si="58"/>
        <v>734.82385476844058</v>
      </c>
      <c r="AM70" s="59">
        <f t="shared" si="59"/>
        <v>1028.157188101774</v>
      </c>
      <c r="AN70" s="59">
        <f ca="1">AVERAGE(OFFSET($AM$3,0,0,'Données projet'!$E$10+1,1))-AVERAGE(OFFSET($H$3,0,0,'Données projet'!$E$10+1,1))</f>
        <v>395.40396173178527</v>
      </c>
      <c r="AO70" s="59">
        <f t="shared" si="90"/>
        <v>304.68075128568756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1.4410851090203551</v>
      </c>
      <c r="AV70" s="21">
        <f>EXP(-LN(2)/25)*AV69+(1-EXP(-LN(2)/25))/(LN(2)/25)*Calculateur!AQ70*Calculateur!AS70*VLOOKUP('Données projet'!$B$10,Paramètres!$A$1:$I$89,3,0)*0.475*44/12</f>
        <v>6.7020909676937661</v>
      </c>
      <c r="AW70" s="21">
        <f>EXP(-LN(2)/2)*AW69+(1-EXP(-LN(2)/2))/(LN(2)/2)*AQ70*AT70*VLOOKUP('Données projet'!$B$10,Paramètres!$A$1:$I$89,3,0)*0.475*44/12</f>
        <v>7.0148605782877752E-5</v>
      </c>
      <c r="AX70" s="21">
        <f t="shared" si="60"/>
        <v>8.1432462253199045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36.10000000000008</v>
      </c>
      <c r="BE70" s="13">
        <f>BD70*VLOOKUP('Données projet'!$B$11,Paramètres!$A$1:$I$89,3,0)*VLOOKUP('Données projet'!$B$11,Paramètres!$A$1:$I$89,5,0)</f>
        <v>31.536960000000075</v>
      </c>
      <c r="BF70" s="13">
        <f t="shared" si="91"/>
        <v>9.725440120377133</v>
      </c>
      <c r="BG70" s="20">
        <f t="shared" si="61"/>
        <v>71.865346876323642</v>
      </c>
      <c r="BH70" s="59">
        <f t="shared" si="62"/>
        <v>365.19868020965697</v>
      </c>
      <c r="BI70" s="59">
        <f ca="1">AVERAGE(OFFSET($BH$3,0,0,'Données projet'!$E$11+1,1))-AVERAGE(OFFSET($H$3,0,0,'Données projet'!$E$11+1,1))</f>
        <v>249.21292089724221</v>
      </c>
      <c r="BJ70" s="59">
        <f t="shared" si="92"/>
        <v>640.80644476065254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54.196828028279249</v>
      </c>
      <c r="BQ70" s="21">
        <f>EXP(-LN(2)/25)*BQ69+(1-EXP(-LN(2)/25))/(LN(2)/25)*Calculateur!BL70*Calculateur!BN70*VLOOKUP('Données projet'!$B$11,Paramètres!$A$1:$I$89,3,0)*0.475*44/12</f>
        <v>38.422186841571914</v>
      </c>
      <c r="BR70" s="21">
        <f>EXP(-LN(2)/2)*BR69+(1-EXP(-LN(2)/2))/(LN(2)/2)*BL70*BO70*VLOOKUP('Données projet'!$B$11,Paramètres!$A$1:$I$89,3,0)*0.475*44/12</f>
        <v>2.2264202021156791E-4</v>
      </c>
      <c r="BS70" s="22">
        <f t="shared" si="63"/>
        <v>92.619237511871361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4.9000000000000004</v>
      </c>
      <c r="BY70" s="12">
        <f>IF('Données projet'!$A$114&gt;35,BY69+BX70-CG69,IF(A70&lt;'Données projet'!$A$114,$BV$205^A70,IF(A70='Données projet'!$A$114,'Données projet'!$B$114,BY69+BX70-CG69)))</f>
        <v>217.30000000000027</v>
      </c>
      <c r="BZ70" s="13">
        <f>BY70*VLOOKUP('Données projet'!$B$12,Paramètres!$A$1:$I$89,3,0)*VLOOKUP('Données projet'!$B$12,Paramètres!$A$1:$I$89,5,0)</f>
        <v>176.27376000000021</v>
      </c>
      <c r="CA70" s="13">
        <f t="shared" si="93"/>
        <v>44.492159820949986</v>
      </c>
      <c r="CB70" s="20">
        <f t="shared" si="64"/>
        <v>384.50064368815492</v>
      </c>
      <c r="CC70" s="59">
        <f t="shared" si="65"/>
        <v>677.83397702148818</v>
      </c>
      <c r="CD70" s="59">
        <f ca="1">AVERAGE(OFFSET($CC$3,0,0,'Données projet'!$E$12+1,1))-AVERAGE(OFFSET($H$3,0,0,'Données projet'!$E$12+1,1))</f>
        <v>192.4785660463869</v>
      </c>
      <c r="CE70" s="59">
        <f t="shared" si="94"/>
        <v>165.11095806515362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0.38916259707361284</v>
      </c>
      <c r="CL70" s="21">
        <f>EXP(-LN(2)/25)*CL69+(1-EXP(-LN(2)/25))/(LN(2)/25)*Calculateur!CG70*Calculateur!CI70*VLOOKUP('Données projet'!$B$12,Paramètres!$A$1:$I$89,3,0)*0.475*44/12</f>
        <v>1.6924942311514641</v>
      </c>
      <c r="CM70" s="21">
        <f>EXP(-LN(2)/2)*CM69+(1-EXP(-LN(2)/2))/(LN(2)/2)*CG70*CJ70*VLOOKUP('Données projet'!$B$12,Paramètres!$A$1:$I$89,3,0)*0.475*44/12</f>
        <v>1.9752023826947573E-5</v>
      </c>
      <c r="CN70" s="22">
        <f t="shared" si="66"/>
        <v>2.0816765802489039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6.8</v>
      </c>
      <c r="CT70" s="12">
        <f>IF('Données projet'!$A$140&gt;35,CT69+CS70-DB69,IF(A70&lt;'Données projet'!$A$140,$CQ$205^A70,IF(A70='Données projet'!$A$140,'Données projet'!$B$140,CT69+CS70-DB69)))</f>
        <v>224.6</v>
      </c>
      <c r="CU70" s="17">
        <f>CT70*VLOOKUP('Données projet'!$B$13,Paramètres!$A$1:$I$89,3,0)*VLOOKUP('Données projet'!$B$13,Paramètres!$A$1:$I$89,5,0)</f>
        <v>189.20304000000002</v>
      </c>
      <c r="CV70" s="13">
        <f t="shared" si="95"/>
        <v>47.363713229994978</v>
      </c>
      <c r="CW70" s="20">
        <f t="shared" si="67"/>
        <v>412.02042854224123</v>
      </c>
      <c r="CX70" s="59">
        <f t="shared" si="68"/>
        <v>705.35376187557449</v>
      </c>
      <c r="CY70" s="59">
        <f ca="1">AVERAGE(OFFSET($CX$3,0,0,'Données projet'!$E$13+1,1))-AVERAGE(OFFSET($H$3,0,0,'Données projet'!$E$13+1,1))</f>
        <v>247.67539667223065</v>
      </c>
      <c r="CZ70" s="59">
        <f t="shared" si="96"/>
        <v>174.54442616983778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0.61581773602857404</v>
      </c>
      <c r="DG70" s="21">
        <f>EXP(-LN(2)/25)*DG69+(1-EXP(-LN(2)/25))/(LN(2)/25)*Calculateur!DB70*Calculateur!DD70*VLOOKUP('Données projet'!$B$13,Paramètres!$A$1:$I$89,3,0)*0.475*44/12</f>
        <v>2.3570114036192864</v>
      </c>
      <c r="DH70" s="21">
        <f>EXP(-LN(2)/2)*DH69+(1-EXP(-LN(2)/2))/(LN(2)/2)*DB70*DE70*VLOOKUP('Données projet'!$B$13,Paramètres!$A$1:$I$89,3,0)*0.475*44/12</f>
        <v>3.1057345873001122E-5</v>
      </c>
      <c r="DI70" s="22">
        <f t="shared" si="69"/>
        <v>2.9728601969937332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167.85897435897436</v>
      </c>
      <c r="DM70" s="12">
        <f>VLOOKUP(A70,'Données projet'!$A$165:$I$185,9,0)</f>
        <v>5.9431089743589762</v>
      </c>
      <c r="DN70" s="12">
        <f t="array" ref="DN70">INDEX(DM:DM,MIN(IF(ISNUMBER(DM70:DM266),ROW(DM70:DM266),"")))</f>
        <v>5.9431089743589762</v>
      </c>
      <c r="DO70" s="12">
        <f>IF('Données projet'!$A$166&gt;35,DO69+DN70-DW69,IF(A70&lt;'Données projet'!$A$166,$DL$205^A70,IF(A70='Données projet'!$A$166,'Données projet'!$B$166,DO69+DN70-DW69)))</f>
        <v>167.85897435897436</v>
      </c>
      <c r="DP70" s="17">
        <f>DO70*VLOOKUP('Données projet'!$B$14,Paramètres!$A$1:$I$89,3,0)*VLOOKUP('Données projet'!$B$14,Paramètres!$A$1:$I$89,5,0)</f>
        <v>167.59040000000002</v>
      </c>
      <c r="DQ70" s="13">
        <f t="shared" si="97"/>
        <v>42.549905784068002</v>
      </c>
      <c r="DR70" s="20">
        <f t="shared" si="70"/>
        <v>365.99436590725173</v>
      </c>
      <c r="DS70" s="59">
        <f t="shared" si="71"/>
        <v>659.32769924058505</v>
      </c>
      <c r="DT70" s="59">
        <f ca="1">AVERAGE(OFFSET($DS$3,0,0,'Données projet'!$E$14+1,1))-AVERAGE(OFFSET($H$3,0,0,'Données projet'!$E$14+1,1))</f>
        <v>245.06609107649069</v>
      </c>
      <c r="DU70" s="59">
        <f t="shared" si="98"/>
        <v>156.24531945456499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31.993589743589741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3.1453526923383279</v>
      </c>
      <c r="EJ70" s="12">
        <f>IF('Données projet'!$A$192&gt;35,EJ69+EI70-ER69,IF(A70&lt;'Données projet'!$A$192,$EG$205^A70,IF(A70='Données projet'!$A$192,'Données projet'!$B$192,EJ69+EI70-ER69)))</f>
        <v>136.92512132756187</v>
      </c>
      <c r="EK70" s="17">
        <f>EJ70*VLOOKUP('Données projet'!$B$15,Paramètres!$A$1:$I$89,3,0)*VLOOKUP('Données projet'!$B$15,Paramètres!$A$1:$I$89,5,0)</f>
        <v>149.52223248969756</v>
      </c>
      <c r="EL70" s="13">
        <f t="shared" si="99"/>
        <v>38.469991088992394</v>
      </c>
      <c r="EM70" s="20">
        <f t="shared" si="73"/>
        <v>327.41978939955169</v>
      </c>
      <c r="EN70" s="59">
        <f t="shared" si="74"/>
        <v>620.753122732885</v>
      </c>
      <c r="EO70" s="59">
        <f ca="1">AVERAGE(OFFSET($EN$3,0,0,'Données projet'!$E$15+1,1))-AVERAGE(OFFSET($H$3,0,0,'Données projet'!$E$15+1,1))</f>
        <v>173.63857221119594</v>
      </c>
      <c r="EP70" s="59">
        <f t="shared" si="100"/>
        <v>52.373745617370105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199.58634493109349</v>
      </c>
      <c r="T71" s="59">
        <f t="shared" si="88"/>
        <v>288.66487031729008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2.3544586401097676</v>
      </c>
      <c r="AA71" s="21">
        <f>EXP(-LN(2)/25)*AA70+(1-EXP(-LN(2)/25))/(LN(2)/25)*Calculateur!V71*Calculateur!X71*VLOOKUP('Données projet'!$B$9,Paramètres!$A$1:$I$89,3,0)*0.475*44/12</f>
        <v>5.9729280545789321</v>
      </c>
      <c r="AB71" s="21">
        <f>EXP(-LN(2)/2)*AB70+(1-EXP(-LN(2)/2))/(LN(2)/2)*V71*Y71*VLOOKUP('Données projet'!$B$9,Paramètres!$A$1:$I$89,3,0)*0.475*44/12</f>
        <v>5.626491267029027E-6</v>
      </c>
      <c r="AC71" s="22">
        <f t="shared" si="57"/>
        <v>8.3273923211799676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18.7</v>
      </c>
      <c r="AI71" s="13">
        <f>IF('Données projet'!$A$62&gt;35,AI70+AH71-AQ70,IF(A71&lt;'Données projet'!$A$62,$AF$205^A71,IF(A71='Données projet'!$A$62,'Données projet'!$B$62,AI70+AH71-AQ70)))</f>
        <v>590.5999999999998</v>
      </c>
      <c r="AJ71" s="13">
        <f>AI71*VLOOKUP('Données projet'!$B$10,Paramètres!$A$1:$I$89,3,0)*VLOOKUP('Données projet'!$B$10,Paramètres!$A$1:$I$89,5,0)</f>
        <v>353.17879999999991</v>
      </c>
      <c r="AK71" s="13">
        <f t="shared" si="89"/>
        <v>82.216714348456932</v>
      </c>
      <c r="AL71" s="20">
        <f t="shared" si="58"/>
        <v>758.31385415689567</v>
      </c>
      <c r="AM71" s="59">
        <f t="shared" si="59"/>
        <v>1051.647187490229</v>
      </c>
      <c r="AN71" s="59">
        <f ca="1">AVERAGE(OFFSET($AM$3,0,0,'Données projet'!$E$10+1,1))-AVERAGE(OFFSET($H$3,0,0,'Données projet'!$E$10+1,1))</f>
        <v>395.40396173178527</v>
      </c>
      <c r="AO71" s="59">
        <f t="shared" si="90"/>
        <v>304.68075128568756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1.412826309007591</v>
      </c>
      <c r="AV71" s="21">
        <f>EXP(-LN(2)/25)*AV70+(1-EXP(-LN(2)/25))/(LN(2)/25)*Calculateur!AQ71*Calculateur!AS71*VLOOKUP('Données projet'!$B$10,Paramètres!$A$1:$I$89,3,0)*0.475*44/12</f>
        <v>6.5188219377345336</v>
      </c>
      <c r="AW71" s="21">
        <f>EXP(-LN(2)/2)*AW70+(1-EXP(-LN(2)/2))/(LN(2)/2)*AQ71*AT71*VLOOKUP('Données projet'!$B$10,Paramètres!$A$1:$I$89,3,0)*0.475*44/12</f>
        <v>4.9602554839854722E-5</v>
      </c>
      <c r="AX71" s="21">
        <f t="shared" si="60"/>
        <v>7.9316978492969641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36.10000000000008</v>
      </c>
      <c r="BE71" s="13">
        <f>BD71*VLOOKUP('Données projet'!$B$11,Paramètres!$A$1:$I$89,3,0)*VLOOKUP('Données projet'!$B$11,Paramètres!$A$1:$I$89,5,0)</f>
        <v>31.536960000000075</v>
      </c>
      <c r="BF71" s="13">
        <f t="shared" si="91"/>
        <v>9.725440120377133</v>
      </c>
      <c r="BG71" s="20">
        <f t="shared" si="61"/>
        <v>71.865346876323642</v>
      </c>
      <c r="BH71" s="59">
        <f t="shared" si="62"/>
        <v>365.19868020965697</v>
      </c>
      <c r="BI71" s="59">
        <f ca="1">AVERAGE(OFFSET($BH$3,0,0,'Données projet'!$E$11+1,1))-AVERAGE(OFFSET($H$3,0,0,'Données projet'!$E$11+1,1))</f>
        <v>249.21292089724221</v>
      </c>
      <c r="BJ71" s="59">
        <f t="shared" si="92"/>
        <v>640.80644476065254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53.134061287445704</v>
      </c>
      <c r="BQ71" s="21">
        <f>EXP(-LN(2)/25)*BQ70+(1-EXP(-LN(2)/25))/(LN(2)/25)*Calculateur!BL71*Calculateur!BN71*VLOOKUP('Données projet'!$B$11,Paramètres!$A$1:$I$89,3,0)*0.475*44/12</f>
        <v>37.371530121854143</v>
      </c>
      <c r="BR71" s="21">
        <f>EXP(-LN(2)/2)*BR70+(1-EXP(-LN(2)/2))/(LN(2)/2)*BL71*BO71*VLOOKUP('Données projet'!$B$11,Paramètres!$A$1:$I$89,3,0)*0.475*44/12</f>
        <v>1.5743168226867204E-4</v>
      </c>
      <c r="BS71" s="22">
        <f t="shared" si="63"/>
        <v>90.505748840982122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4.9000000000000004</v>
      </c>
      <c r="BY71" s="12">
        <f>IF('Données projet'!$A$114&gt;35,BY70+BX71-CG70,IF(A71&lt;'Données projet'!$A$114,$BV$205^A71,IF(A71='Données projet'!$A$114,'Données projet'!$B$114,BY70+BX71-CG70)))</f>
        <v>222.20000000000027</v>
      </c>
      <c r="BZ71" s="13">
        <f>BY71*VLOOKUP('Données projet'!$B$12,Paramètres!$A$1:$I$89,3,0)*VLOOKUP('Données projet'!$B$12,Paramètres!$A$1:$I$89,5,0)</f>
        <v>180.24864000000022</v>
      </c>
      <c r="CA71" s="13">
        <f t="shared" si="93"/>
        <v>45.37749954072963</v>
      </c>
      <c r="CB71" s="20">
        <f t="shared" si="64"/>
        <v>392.96552636677114</v>
      </c>
      <c r="CC71" s="59">
        <f t="shared" si="65"/>
        <v>686.29885970010446</v>
      </c>
      <c r="CD71" s="59">
        <f ca="1">AVERAGE(OFFSET($CC$3,0,0,'Données projet'!$E$12+1,1))-AVERAGE(OFFSET($H$3,0,0,'Données projet'!$E$12+1,1))</f>
        <v>192.4785660463869</v>
      </c>
      <c r="CE71" s="59">
        <f t="shared" si="94"/>
        <v>165.11095806515362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0.38153135591074561</v>
      </c>
      <c r="CL71" s="21">
        <f>EXP(-LN(2)/25)*CL70+(1-EXP(-LN(2)/25))/(LN(2)/25)*Calculateur!CG71*Calculateur!CI71*VLOOKUP('Données projet'!$B$12,Paramètres!$A$1:$I$89,3,0)*0.475*44/12</f>
        <v>1.6462128873962241</v>
      </c>
      <c r="CM71" s="21">
        <f>EXP(-LN(2)/2)*CM70+(1-EXP(-LN(2)/2))/(LN(2)/2)*CG71*CJ71*VLOOKUP('Données projet'!$B$12,Paramètres!$A$1:$I$89,3,0)*0.475*44/12</f>
        <v>1.3966789990192891E-5</v>
      </c>
      <c r="CN71" s="22">
        <f t="shared" si="66"/>
        <v>2.0277582100969598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</v>
      </c>
      <c r="CT71" s="12">
        <f>IF('Données projet'!$A$140&gt;35,CT70+CS71-DB70,IF(A71&lt;'Données projet'!$A$140,$CQ$205^A71,IF(A71='Données projet'!$A$140,'Données projet'!$B$140,CT70+CS71-DB70)))</f>
        <v>231.4</v>
      </c>
      <c r="CU71" s="17">
        <f>CT71*VLOOKUP('Données projet'!$B$13,Paramètres!$A$1:$I$89,3,0)*VLOOKUP('Données projet'!$B$13,Paramètres!$A$1:$I$89,5,0)</f>
        <v>194.93136000000004</v>
      </c>
      <c r="CV71" s="13">
        <f t="shared" si="95"/>
        <v>48.628575335847394</v>
      </c>
      <c r="CW71" s="20">
        <f t="shared" si="67"/>
        <v>424.20022070993423</v>
      </c>
      <c r="CX71" s="59">
        <f t="shared" si="68"/>
        <v>717.53355404326749</v>
      </c>
      <c r="CY71" s="59">
        <f ca="1">AVERAGE(OFFSET($CX$3,0,0,'Données projet'!$E$13+1,1))-AVERAGE(OFFSET($H$3,0,0,'Données projet'!$E$13+1,1))</f>
        <v>247.67539667223065</v>
      </c>
      <c r="CZ71" s="59">
        <f t="shared" si="96"/>
        <v>174.54442616983778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0.6037419258367841</v>
      </c>
      <c r="DG71" s="21">
        <f>EXP(-LN(2)/25)*DG70+(1-EXP(-LN(2)/25))/(LN(2)/25)*Calculateur!DB71*Calculateur!DD71*VLOOKUP('Données projet'!$B$13,Paramètres!$A$1:$I$89,3,0)*0.475*44/12</f>
        <v>2.2925588028374744</v>
      </c>
      <c r="DH71" s="21">
        <f>EXP(-LN(2)/2)*DH70+(1-EXP(-LN(2)/2))/(LN(2)/2)*DB71*DE71*VLOOKUP('Données projet'!$B$13,Paramètres!$A$1:$I$89,3,0)*0.475*44/12</f>
        <v>2.196085987245513E-5</v>
      </c>
      <c r="DI71" s="22">
        <f t="shared" si="69"/>
        <v>2.8963226895341307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5.6899038461538431</v>
      </c>
      <c r="DO71" s="12">
        <f>IF('Données projet'!$A$166&gt;35,DO70+DN71-DW70,IF(A71&lt;'Données projet'!$A$166,$DL$205^A71,IF(A71='Données projet'!$A$166,'Données projet'!$B$166,DO70+DN71-DW70)))</f>
        <v>141.55528846153845</v>
      </c>
      <c r="DP71" s="17">
        <f>DO71*VLOOKUP('Données projet'!$B$14,Paramètres!$A$1:$I$89,3,0)*VLOOKUP('Données projet'!$B$14,Paramètres!$A$1:$I$89,5,0)</f>
        <v>141.3288</v>
      </c>
      <c r="DQ71" s="13">
        <f t="shared" si="97"/>
        <v>36.601247350248563</v>
      </c>
      <c r="DR71" s="20">
        <f t="shared" si="70"/>
        <v>309.89483246834959</v>
      </c>
      <c r="DS71" s="59">
        <f t="shared" si="71"/>
        <v>603.22816580168296</v>
      </c>
      <c r="DT71" s="59">
        <f ca="1">AVERAGE(OFFSET($DS$3,0,0,'Données projet'!$E$14+1,1))-AVERAGE(OFFSET($H$3,0,0,'Données projet'!$E$14+1,1))</f>
        <v>245.06609107649069</v>
      </c>
      <c r="DU71" s="59">
        <f t="shared" si="98"/>
        <v>156.24531945456499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3.1453526923383279</v>
      </c>
      <c r="EJ71" s="12">
        <f>IF('Données projet'!$A$192&gt;35,EJ70+EI71-ER70,IF(A71&lt;'Données projet'!$A$192,$EG$205^A71,IF(A71='Données projet'!$A$192,'Données projet'!$B$192,EJ70+EI71-ER70)))</f>
        <v>140.07047401990019</v>
      </c>
      <c r="EK71" s="17">
        <f>EJ71*VLOOKUP('Données projet'!$B$15,Paramètres!$A$1:$I$89,3,0)*VLOOKUP('Données projet'!$B$15,Paramètres!$A$1:$I$89,5,0)</f>
        <v>152.95695762973099</v>
      </c>
      <c r="EL71" s="13">
        <f t="shared" si="99"/>
        <v>39.249799488781449</v>
      </c>
      <c r="EM71" s="20">
        <f t="shared" si="73"/>
        <v>334.76010198140915</v>
      </c>
      <c r="EN71" s="59">
        <f t="shared" si="74"/>
        <v>628.09343531474246</v>
      </c>
      <c r="EO71" s="59">
        <f ca="1">AVERAGE(OFFSET($EN$3,0,0,'Données projet'!$E$15+1,1))-AVERAGE(OFFSET($H$3,0,0,'Données projet'!$E$15+1,1))</f>
        <v>173.63857221119594</v>
      </c>
      <c r="EP71" s="59">
        <f t="shared" si="100"/>
        <v>52.373745617370105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199.58634493109349</v>
      </c>
      <c r="T72" s="59">
        <f t="shared" si="88"/>
        <v>288.66487031729008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2.3082891422551848</v>
      </c>
      <c r="AA72" s="21">
        <f>EXP(-LN(2)/25)*AA71+(1-EXP(-LN(2)/25))/(LN(2)/25)*Calculateur!V72*Calculateur!X72*VLOOKUP('Données projet'!$B$9,Paramètres!$A$1:$I$89,3,0)*0.475*44/12</f>
        <v>5.8095980228238364</v>
      </c>
      <c r="AB72" s="21">
        <f>EXP(-LN(2)/2)*AB71+(1-EXP(-LN(2)/2))/(LN(2)/2)*V72*Y72*VLOOKUP('Données projet'!$B$9,Paramètres!$A$1:$I$89,3,0)*0.475*44/12</f>
        <v>3.9785301292031147E-6</v>
      </c>
      <c r="AC72" s="22">
        <f t="shared" si="57"/>
        <v>8.1178911436091514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18.7</v>
      </c>
      <c r="AI72" s="13">
        <f>IF('Données projet'!$A$62&gt;35,AI71+AH72-AQ71,IF(A72&lt;'Données projet'!$A$62,$AF$205^A72,IF(A72='Données projet'!$A$62,'Données projet'!$B$62,AI71+AH72-AQ71)))</f>
        <v>609.29999999999984</v>
      </c>
      <c r="AJ72" s="13">
        <f>AI72*VLOOKUP('Données projet'!$B$10,Paramètres!$A$1:$I$89,3,0)*VLOOKUP('Données projet'!$B$10,Paramètres!$A$1:$I$89,5,0)</f>
        <v>364.36139999999995</v>
      </c>
      <c r="AK72" s="13">
        <f t="shared" si="89"/>
        <v>84.512716214977274</v>
      </c>
      <c r="AL72" s="20">
        <f t="shared" si="58"/>
        <v>781.78908574108527</v>
      </c>
      <c r="AM72" s="59">
        <f t="shared" si="59"/>
        <v>1075.1224190744185</v>
      </c>
      <c r="AN72" s="59">
        <f ca="1">AVERAGE(OFFSET($AM$3,0,0,'Données projet'!$E$10+1,1))-AVERAGE(OFFSET($H$3,0,0,'Données projet'!$E$10+1,1))</f>
        <v>395.40396173178527</v>
      </c>
      <c r="AO72" s="59">
        <f t="shared" si="90"/>
        <v>304.68075128568756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1.385121646826911</v>
      </c>
      <c r="AV72" s="21">
        <f>EXP(-LN(2)/25)*AV71+(1-EXP(-LN(2)/25))/(LN(2)/25)*Calculateur!AQ72*Calculateur!AS72*VLOOKUP('Données projet'!$B$10,Paramètres!$A$1:$I$89,3,0)*0.475*44/12</f>
        <v>6.3405644090372357</v>
      </c>
      <c r="AW72" s="21">
        <f>EXP(-LN(2)/2)*AW71+(1-EXP(-LN(2)/2))/(LN(2)/2)*AQ72*AT72*VLOOKUP('Données projet'!$B$10,Paramètres!$A$1:$I$89,3,0)*0.475*44/12</f>
        <v>3.5074302891438876E-5</v>
      </c>
      <c r="AX72" s="21">
        <f t="shared" si="60"/>
        <v>7.7257211301670381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36.10000000000008</v>
      </c>
      <c r="BE72" s="13">
        <f>BD72*VLOOKUP('Données projet'!$B$11,Paramètres!$A$1:$I$89,3,0)*VLOOKUP('Données projet'!$B$11,Paramètres!$A$1:$I$89,5,0)</f>
        <v>31.536960000000075</v>
      </c>
      <c r="BF72" s="13">
        <f t="shared" si="91"/>
        <v>9.725440120377133</v>
      </c>
      <c r="BG72" s="20">
        <f t="shared" si="61"/>
        <v>71.865346876323642</v>
      </c>
      <c r="BH72" s="59">
        <f t="shared" si="62"/>
        <v>365.19868020965697</v>
      </c>
      <c r="BI72" s="59">
        <f ca="1">AVERAGE(OFFSET($BH$3,0,0,'Données projet'!$E$11+1,1))-AVERAGE(OFFSET($H$3,0,0,'Données projet'!$E$11+1,1))</f>
        <v>249.21292089724221</v>
      </c>
      <c r="BJ72" s="59">
        <f t="shared" si="92"/>
        <v>640.80644476065254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52.0921347541762</v>
      </c>
      <c r="BQ72" s="21">
        <f>EXP(-LN(2)/25)*BQ71+(1-EXP(-LN(2)/25))/(LN(2)/25)*Calculateur!BL72*Calculateur!BN72*VLOOKUP('Données projet'!$B$11,Paramètres!$A$1:$I$89,3,0)*0.475*44/12</f>
        <v>36.349603665388685</v>
      </c>
      <c r="BR72" s="21">
        <f>EXP(-LN(2)/2)*BR71+(1-EXP(-LN(2)/2))/(LN(2)/2)*BL72*BO72*VLOOKUP('Données projet'!$B$11,Paramètres!$A$1:$I$89,3,0)*0.475*44/12</f>
        <v>1.1132101010578395E-4</v>
      </c>
      <c r="BS72" s="22">
        <f t="shared" si="63"/>
        <v>88.441849740574995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4.9000000000000004</v>
      </c>
      <c r="BY72" s="12">
        <f>IF('Données projet'!$A$114&gt;35,BY71+BX72-CG71,IF(A72&lt;'Données projet'!$A$114,$BV$205^A72,IF(A72='Données projet'!$A$114,'Données projet'!$B$114,BY71+BX72-CG71)))</f>
        <v>227.10000000000028</v>
      </c>
      <c r="BZ72" s="13">
        <f>BY72*VLOOKUP('Données projet'!$B$12,Paramètres!$A$1:$I$89,3,0)*VLOOKUP('Données projet'!$B$12,Paramètres!$A$1:$I$89,5,0)</f>
        <v>184.22352000000024</v>
      </c>
      <c r="CA72" s="13">
        <f t="shared" si="93"/>
        <v>46.260569422365322</v>
      </c>
      <c r="CB72" s="20">
        <f t="shared" si="64"/>
        <v>401.42645574395334</v>
      </c>
      <c r="CC72" s="59">
        <f t="shared" si="65"/>
        <v>694.75978907728665</v>
      </c>
      <c r="CD72" s="59">
        <f ca="1">AVERAGE(OFFSET($CC$3,0,0,'Données projet'!$E$12+1,1))-AVERAGE(OFFSET($H$3,0,0,'Données projet'!$E$12+1,1))</f>
        <v>192.4785660463869</v>
      </c>
      <c r="CE72" s="59">
        <f t="shared" si="94"/>
        <v>165.11095806515362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0.37404975873248469</v>
      </c>
      <c r="CL72" s="21">
        <f>EXP(-LN(2)/25)*CL71+(1-EXP(-LN(2)/25))/(LN(2)/25)*Calculateur!CG72*Calculateur!CI72*VLOOKUP('Données projet'!$B$12,Paramètres!$A$1:$I$89,3,0)*0.475*44/12</f>
        <v>1.601197109419801</v>
      </c>
      <c r="CM72" s="21">
        <f>EXP(-LN(2)/2)*CM71+(1-EXP(-LN(2)/2))/(LN(2)/2)*CG72*CJ72*VLOOKUP('Données projet'!$B$12,Paramètres!$A$1:$I$89,3,0)*0.475*44/12</f>
        <v>9.8760119134737865E-6</v>
      </c>
      <c r="CN72" s="22">
        <f t="shared" si="66"/>
        <v>1.9752567441641991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6.8</v>
      </c>
      <c r="CT72" s="12">
        <f>IF('Données projet'!$A$140&gt;35,CT71+CS72-DB71,IF(A72&lt;'Données projet'!$A$140,$CQ$205^A72,IF(A72='Données projet'!$A$140,'Données projet'!$B$140,CT71+CS72-DB71)))</f>
        <v>238.20000000000002</v>
      </c>
      <c r="CU72" s="17">
        <f>CT72*VLOOKUP('Données projet'!$B$13,Paramètres!$A$1:$I$89,3,0)*VLOOKUP('Données projet'!$B$13,Paramètres!$A$1:$I$89,5,0)</f>
        <v>200.65968000000004</v>
      </c>
      <c r="CV72" s="13">
        <f t="shared" si="95"/>
        <v>49.889117626040878</v>
      </c>
      <c r="CW72" s="20">
        <f t="shared" si="67"/>
        <v>436.3724891986879</v>
      </c>
      <c r="CX72" s="59">
        <f t="shared" si="68"/>
        <v>729.70582253202122</v>
      </c>
      <c r="CY72" s="59">
        <f ca="1">AVERAGE(OFFSET($CX$3,0,0,'Données projet'!$E$13+1,1))-AVERAGE(OFFSET($H$3,0,0,'Données projet'!$E$13+1,1))</f>
        <v>247.67539667223065</v>
      </c>
      <c r="CZ72" s="59">
        <f t="shared" si="96"/>
        <v>174.54442616983778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0.59190291491733826</v>
      </c>
      <c r="DG72" s="21">
        <f>EXP(-LN(2)/25)*DG71+(1-EXP(-LN(2)/25))/(LN(2)/25)*Calculateur!DB72*Calculateur!DD72*VLOOKUP('Données projet'!$B$13,Paramètres!$A$1:$I$89,3,0)*0.475*44/12</f>
        <v>2.2298686618134558</v>
      </c>
      <c r="DH72" s="21">
        <f>EXP(-LN(2)/2)*DH71+(1-EXP(-LN(2)/2))/(LN(2)/2)*DB72*DE72*VLOOKUP('Données projet'!$B$13,Paramètres!$A$1:$I$89,3,0)*0.475*44/12</f>
        <v>1.5528672936500561E-5</v>
      </c>
      <c r="DI72" s="22">
        <f t="shared" si="69"/>
        <v>2.8217871054037302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5.6899038461538431</v>
      </c>
      <c r="DO72" s="12">
        <f>IF('Données projet'!$A$166&gt;35,DO71+DN72-DW71,IF(A72&lt;'Données projet'!$A$166,$DL$205^A72,IF(A72='Données projet'!$A$166,'Données projet'!$B$166,DO71+DN72-DW71)))</f>
        <v>147.24519230769229</v>
      </c>
      <c r="DP72" s="17">
        <f>DO72*VLOOKUP('Données projet'!$B$14,Paramètres!$A$1:$I$89,3,0)*VLOOKUP('Données projet'!$B$14,Paramètres!$A$1:$I$89,5,0)</f>
        <v>147.00959999999998</v>
      </c>
      <c r="DQ72" s="13">
        <f t="shared" si="97"/>
        <v>37.898212079162633</v>
      </c>
      <c r="DR72" s="20">
        <f t="shared" si="70"/>
        <v>322.04777270454156</v>
      </c>
      <c r="DS72" s="59">
        <f t="shared" si="71"/>
        <v>615.38110603787482</v>
      </c>
      <c r="DT72" s="59">
        <f ca="1">AVERAGE(OFFSET($DS$3,0,0,'Données projet'!$E$14+1,1))-AVERAGE(OFFSET($H$3,0,0,'Données projet'!$E$14+1,1))</f>
        <v>245.06609107649069</v>
      </c>
      <c r="DU72" s="59">
        <f t="shared" si="98"/>
        <v>156.24531945456499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3.1453526923383279</v>
      </c>
      <c r="EJ72" s="12">
        <f>IF('Données projet'!$A$192&gt;35,EJ71+EI72-ER71,IF(A72&lt;'Données projet'!$A$192,$EG$205^A72,IF(A72='Données projet'!$A$192,'Données projet'!$B$192,EJ71+EI72-ER71)))</f>
        <v>143.21582671223851</v>
      </c>
      <c r="EK72" s="17">
        <f>EJ72*VLOOKUP('Données projet'!$B$15,Paramètres!$A$1:$I$89,3,0)*VLOOKUP('Données projet'!$B$15,Paramètres!$A$1:$I$89,5,0)</f>
        <v>156.39168276976446</v>
      </c>
      <c r="EL72" s="13">
        <f t="shared" si="99"/>
        <v>40.027572090210747</v>
      </c>
      <c r="EM72" s="20">
        <f t="shared" si="73"/>
        <v>342.0968688811235</v>
      </c>
      <c r="EN72" s="59">
        <f t="shared" si="74"/>
        <v>635.43020221445681</v>
      </c>
      <c r="EO72" s="59">
        <f ca="1">AVERAGE(OFFSET($EN$3,0,0,'Données projet'!$E$15+1,1))-AVERAGE(OFFSET($H$3,0,0,'Données projet'!$E$15+1,1))</f>
        <v>173.63857221119594</v>
      </c>
      <c r="EP72" s="59">
        <f t="shared" si="100"/>
        <v>52.373745617370105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199.58634493109349</v>
      </c>
      <c r="T73" s="59">
        <f t="shared" si="88"/>
        <v>288.66487031729008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2.2630250000929171</v>
      </c>
      <c r="AA73" s="21">
        <f>EXP(-LN(2)/25)*AA72+(1-EXP(-LN(2)/25))/(LN(2)/25)*Calculateur!V73*Calculateur!X73*VLOOKUP('Données projet'!$B$9,Paramètres!$A$1:$I$89,3,0)*0.475*44/12</f>
        <v>5.6507342593762369</v>
      </c>
      <c r="AB73" s="21">
        <f>EXP(-LN(2)/2)*AB72+(1-EXP(-LN(2)/2))/(LN(2)/2)*V73*Y73*VLOOKUP('Données projet'!$B$9,Paramètres!$A$1:$I$89,3,0)*0.475*44/12</f>
        <v>2.8132456335145135E-6</v>
      </c>
      <c r="AC73" s="22">
        <f t="shared" si="57"/>
        <v>7.9137620727147882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628</v>
      </c>
      <c r="AG73" s="12">
        <f>VLOOKUP(A73,'Données projet'!$A$61:$I$81,9,0)</f>
        <v>18.7</v>
      </c>
      <c r="AH73" s="12">
        <f t="array" ref="AH73">INDEX(AG:AG,MIN(IF(ISNUMBER(AG73:AG269),ROW(AG73:AG269),"")))</f>
        <v>18.7</v>
      </c>
      <c r="AI73" s="13">
        <f>IF('Données projet'!$A$62&gt;35,AI72+AH73-AQ72,IF(A73&lt;'Données projet'!$A$62,$AF$205^A73,IF(A73='Données projet'!$A$62,'Données projet'!$B$62,AI72+AH73-AQ72)))</f>
        <v>627.99999999999989</v>
      </c>
      <c r="AJ73" s="13">
        <f>AI73*VLOOKUP('Données projet'!$B$10,Paramètres!$A$1:$I$89,3,0)*VLOOKUP('Données projet'!$B$10,Paramètres!$A$1:$I$89,5,0)</f>
        <v>375.54399999999993</v>
      </c>
      <c r="AK73" s="13">
        <f t="shared" si="89"/>
        <v>86.800529056913618</v>
      </c>
      <c r="AL73" s="20">
        <f t="shared" si="58"/>
        <v>805.25005477412435</v>
      </c>
      <c r="AM73" s="59">
        <f t="shared" si="59"/>
        <v>1098.5833881074577</v>
      </c>
      <c r="AN73" s="59">
        <f ca="1">AVERAGE(OFFSET($AM$3,0,0,'Données projet'!$E$10+1,1))-AVERAGE(OFFSET($H$3,0,0,'Données projet'!$E$10+1,1))</f>
        <v>395.40396173178527</v>
      </c>
      <c r="AO73" s="59">
        <f t="shared" si="90"/>
        <v>304.68075128568756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120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1.3579602561734188</v>
      </c>
      <c r="AV73" s="21">
        <f>EXP(-LN(2)/25)*AV72+(1-EXP(-LN(2)/25))/(LN(2)/25)*Calculateur!AQ73*Calculateur!AS73*VLOOKUP('Données projet'!$B$10,Paramètres!$A$1:$I$89,3,0)*0.475*44/12</f>
        <v>6.1671813418363222</v>
      </c>
      <c r="AW73" s="21">
        <f>EXP(-LN(2)/2)*AW72+(1-EXP(-LN(2)/2))/(LN(2)/2)*AQ73*AT73*VLOOKUP('Données projet'!$B$10,Paramètres!$A$1:$I$89,3,0)*0.475*44/12</f>
        <v>2.4801277419927361E-5</v>
      </c>
      <c r="AX73" s="21">
        <f t="shared" si="60"/>
        <v>7.5251663992871611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36.10000000000008</v>
      </c>
      <c r="BE73" s="13">
        <f>BD73*VLOOKUP('Données projet'!$B$11,Paramètres!$A$1:$I$89,3,0)*VLOOKUP('Données projet'!$B$11,Paramètres!$A$1:$I$89,5,0)</f>
        <v>31.536960000000075</v>
      </c>
      <c r="BF73" s="13">
        <f t="shared" si="91"/>
        <v>9.725440120377133</v>
      </c>
      <c r="BG73" s="20">
        <f t="shared" si="61"/>
        <v>71.865346876323642</v>
      </c>
      <c r="BH73" s="59">
        <f t="shared" si="62"/>
        <v>365.19868020965697</v>
      </c>
      <c r="BI73" s="59">
        <f ca="1">AVERAGE(OFFSET($BH$3,0,0,'Données projet'!$E$11+1,1))-AVERAGE(OFFSET($H$3,0,0,'Données projet'!$E$11+1,1))</f>
        <v>249.21292089724221</v>
      </c>
      <c r="BJ73" s="59">
        <f t="shared" si="92"/>
        <v>640.80644476065254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51.070639764711679</v>
      </c>
      <c r="BQ73" s="21">
        <f>EXP(-LN(2)/25)*BQ72+(1-EXP(-LN(2)/25))/(LN(2)/25)*Calculateur!BL73*Calculateur!BN73*VLOOKUP('Données projet'!$B$11,Paramètres!$A$1:$I$89,3,0)*0.475*44/12</f>
        <v>35.355621841616049</v>
      </c>
      <c r="BR73" s="21">
        <f>EXP(-LN(2)/2)*BR72+(1-EXP(-LN(2)/2))/(LN(2)/2)*BL73*BO73*VLOOKUP('Données projet'!$B$11,Paramètres!$A$1:$I$89,3,0)*0.475*44/12</f>
        <v>7.8715841134336019E-5</v>
      </c>
      <c r="BS73" s="22">
        <f t="shared" si="63"/>
        <v>86.426340322168869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232</v>
      </c>
      <c r="BW73" s="12">
        <f>VLOOKUP(A73,'Données projet'!$A$113:$I$133,9,0)</f>
        <v>4.9000000000000004</v>
      </c>
      <c r="BX73" s="12">
        <f t="array" ref="BX73">INDEX(BW:BW,MIN(IF(ISNUMBER(BW73:BW269),ROW(BW73:BW269),"")))</f>
        <v>4.9000000000000004</v>
      </c>
      <c r="BY73" s="12">
        <f>IF('Données projet'!$A$114&gt;35,BY72+BX73-CG72,IF(A73&lt;'Données projet'!$A$114,$BV$205^A73,IF(A73='Données projet'!$A$114,'Données projet'!$B$114,BY72+BX73-CG72)))</f>
        <v>232.00000000000028</v>
      </c>
      <c r="BZ73" s="13">
        <f>BY73*VLOOKUP('Données projet'!$B$12,Paramètres!$A$1:$I$89,3,0)*VLOOKUP('Données projet'!$B$12,Paramètres!$A$1:$I$89,5,0)</f>
        <v>188.19840000000025</v>
      </c>
      <c r="CA73" s="13">
        <f t="shared" si="93"/>
        <v>47.141424081428099</v>
      </c>
      <c r="CB73" s="20">
        <f t="shared" si="64"/>
        <v>409.883526941821</v>
      </c>
      <c r="CC73" s="59">
        <f t="shared" si="65"/>
        <v>703.21686027515432</v>
      </c>
      <c r="CD73" s="59">
        <f ca="1">AVERAGE(OFFSET($CC$3,0,0,'Données projet'!$E$12+1,1))-AVERAGE(OFFSET($H$3,0,0,'Données projet'!$E$12+1,1))</f>
        <v>192.4785660463869</v>
      </c>
      <c r="CE73" s="59">
        <f t="shared" si="94"/>
        <v>165.11095806515362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0.36671487111156575</v>
      </c>
      <c r="CL73" s="21">
        <f>EXP(-LN(2)/25)*CL72+(1-EXP(-LN(2)/25))/(LN(2)/25)*Calculateur!CG73*Calculateur!CI73*VLOOKUP('Données projet'!$B$12,Paramètres!$A$1:$I$89,3,0)*0.475*44/12</f>
        <v>1.5574122902594201</v>
      </c>
      <c r="CM73" s="21">
        <f>EXP(-LN(2)/2)*CM72+(1-EXP(-LN(2)/2))/(LN(2)/2)*CG73*CJ73*VLOOKUP('Données projet'!$B$12,Paramètres!$A$1:$I$89,3,0)*0.475*44/12</f>
        <v>6.9833949950964454E-6</v>
      </c>
      <c r="CN73" s="22">
        <f t="shared" si="66"/>
        <v>1.924134144765981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245</v>
      </c>
      <c r="CR73" s="12">
        <f>VLOOKUP(A73,'Données projet'!$A$139:$I$159,9,0)</f>
        <v>6.8</v>
      </c>
      <c r="CS73" s="12">
        <f t="array" ref="CS73">INDEX(CR:CR,MIN(IF(ISNUMBER(CR73:CR269),ROW(CR73:CR269),"")))</f>
        <v>6.8</v>
      </c>
      <c r="CT73" s="12">
        <f>IF('Données projet'!$A$140&gt;35,CT72+CS73-DB72,IF(A73&lt;'Données projet'!$A$140,$CQ$205^A73,IF(A73='Données projet'!$A$140,'Données projet'!$B$140,CT72+CS73-DB72)))</f>
        <v>245.00000000000003</v>
      </c>
      <c r="CU73" s="17">
        <f>CT73*VLOOKUP('Données projet'!$B$13,Paramètres!$A$1:$I$89,3,0)*VLOOKUP('Données projet'!$B$13,Paramètres!$A$1:$I$89,5,0)</f>
        <v>206.38800000000003</v>
      </c>
      <c r="CV73" s="13">
        <f t="shared" si="95"/>
        <v>51.145477584014834</v>
      </c>
      <c r="CW73" s="20">
        <f t="shared" si="67"/>
        <v>448.53747345882584</v>
      </c>
      <c r="CX73" s="59">
        <f t="shared" si="68"/>
        <v>741.8708067921591</v>
      </c>
      <c r="CY73" s="59">
        <f ca="1">AVERAGE(OFFSET($CX$3,0,0,'Données projet'!$E$13+1,1))-AVERAGE(OFFSET($H$3,0,0,'Données projet'!$E$13+1,1))</f>
        <v>247.67539667223065</v>
      </c>
      <c r="CZ73" s="59">
        <f t="shared" si="96"/>
        <v>174.54442616983778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44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0.58029605978093912</v>
      </c>
      <c r="DG73" s="21">
        <f>EXP(-LN(2)/25)*DG72+(1-EXP(-LN(2)/25))/(LN(2)/25)*Calculateur!DB73*Calculateur!DD73*VLOOKUP('Données projet'!$B$13,Paramètres!$A$1:$I$89,3,0)*0.475*44/12</f>
        <v>2.1688927859924703</v>
      </c>
      <c r="DH73" s="21">
        <f>EXP(-LN(2)/2)*DH72+(1-EXP(-LN(2)/2))/(LN(2)/2)*DB73*DE73*VLOOKUP('Données projet'!$B$13,Paramètres!$A$1:$I$89,3,0)*0.475*44/12</f>
        <v>1.0980429936227565E-5</v>
      </c>
      <c r="DI73" s="22">
        <f t="shared" si="69"/>
        <v>2.7491998262033457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5.6899038461538431</v>
      </c>
      <c r="DO73" s="12">
        <f>IF('Données projet'!$A$166&gt;35,DO72+DN73-DW72,IF(A73&lt;'Données projet'!$A$166,$DL$205^A73,IF(A73='Données projet'!$A$166,'Données projet'!$B$166,DO72+DN73-DW72)))</f>
        <v>152.93509615384613</v>
      </c>
      <c r="DP73" s="17">
        <f>DO73*VLOOKUP('Données projet'!$B$14,Paramètres!$A$1:$I$89,3,0)*VLOOKUP('Données projet'!$B$14,Paramètres!$A$1:$I$89,5,0)</f>
        <v>152.69039999999998</v>
      </c>
      <c r="DQ73" s="13">
        <f t="shared" si="97"/>
        <v>39.189354666431989</v>
      </c>
      <c r="DR73" s="20">
        <f t="shared" si="70"/>
        <v>334.19057271070238</v>
      </c>
      <c r="DS73" s="59">
        <f t="shared" si="71"/>
        <v>627.5239060440357</v>
      </c>
      <c r="DT73" s="59">
        <f ca="1">AVERAGE(OFFSET($DS$3,0,0,'Données projet'!$E$14+1,1))-AVERAGE(OFFSET($H$3,0,0,'Données projet'!$E$14+1,1))</f>
        <v>245.06609107649069</v>
      </c>
      <c r="DU73" s="59">
        <f t="shared" si="98"/>
        <v>156.24531945456499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146.361179404577</v>
      </c>
      <c r="EH73" s="12">
        <f>VLOOKUP(A73,'Données projet'!$A$191:$I$211,9,0)</f>
        <v>3.1453526923383279</v>
      </c>
      <c r="EI73" s="12">
        <f t="array" ref="EI73">INDEX(EH:EH,MIN(IF(ISNUMBER(EH73:EH269),ROW(EH73:EH269),"")))</f>
        <v>3.1453526923383279</v>
      </c>
      <c r="EJ73" s="12">
        <f>IF('Données projet'!$A$192&gt;35,EJ72+EI73-ER72,IF(A73&lt;'Données projet'!$A$192,$EG$205^A73,IF(A73='Données projet'!$A$192,'Données projet'!$B$192,EJ72+EI73-ER72)))</f>
        <v>146.36117940457683</v>
      </c>
      <c r="EK73" s="17">
        <f>EJ73*VLOOKUP('Données projet'!$B$15,Paramètres!$A$1:$I$89,3,0)*VLOOKUP('Données projet'!$B$15,Paramètres!$A$1:$I$89,5,0)</f>
        <v>159.82640790979789</v>
      </c>
      <c r="EL73" s="13">
        <f t="shared" si="99"/>
        <v>40.803358752842179</v>
      </c>
      <c r="EM73" s="20">
        <f t="shared" si="73"/>
        <v>349.43017693743144</v>
      </c>
      <c r="EN73" s="59">
        <f t="shared" si="74"/>
        <v>642.76351027076475</v>
      </c>
      <c r="EO73" s="59">
        <f ca="1">AVERAGE(OFFSET($EN$3,0,0,'Données projet'!$E$15+1,1))-AVERAGE(OFFSET($H$3,0,0,'Données projet'!$E$15+1,1))</f>
        <v>173.63857221119594</v>
      </c>
      <c r="EP73" s="59">
        <f t="shared" si="100"/>
        <v>52.373745617370105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199.58634493109349</v>
      </c>
      <c r="T74" s="59">
        <f t="shared" si="88"/>
        <v>288.66487031729008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2.2186484601500509</v>
      </c>
      <c r="AA74" s="21">
        <f>EXP(-LN(2)/25)*AA73+(1-EXP(-LN(2)/25))/(LN(2)/25)*Calculateur!V74*Calculateur!X74*VLOOKUP('Données projet'!$B$9,Paramètres!$A$1:$I$89,3,0)*0.475*44/12</f>
        <v>5.496214633894394</v>
      </c>
      <c r="AB74" s="21">
        <f>EXP(-LN(2)/2)*AB73+(1-EXP(-LN(2)/2))/(LN(2)/2)*V74*Y74*VLOOKUP('Données projet'!$B$9,Paramètres!$A$1:$I$89,3,0)*0.475*44/12</f>
        <v>1.9892650646015574E-6</v>
      </c>
      <c r="AC74" s="22">
        <f t="shared" si="57"/>
        <v>7.7148650833095092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16.3</v>
      </c>
      <c r="AI74" s="13">
        <f>IF('Données projet'!$A$62&gt;35,AI73+AH74-AQ73,IF(A74&lt;'Données projet'!$A$62,$AF$205^A74,IF(A74='Données projet'!$A$62,'Données projet'!$B$62,AI73+AH74-AQ73)))</f>
        <v>524.29999999999984</v>
      </c>
      <c r="AJ74" s="13">
        <f>AI74*VLOOKUP('Données projet'!$B$10,Paramètres!$A$1:$I$89,3,0)*VLOOKUP('Données projet'!$B$10,Paramètres!$A$1:$I$89,5,0)</f>
        <v>313.53139999999991</v>
      </c>
      <c r="AK74" s="13">
        <f t="shared" si="89"/>
        <v>74.005840151309229</v>
      </c>
      <c r="AL74" s="20">
        <f t="shared" si="58"/>
        <v>674.96069326353006</v>
      </c>
      <c r="AM74" s="59">
        <f t="shared" si="59"/>
        <v>968.29402659686343</v>
      </c>
      <c r="AN74" s="59">
        <f ca="1">AVERAGE(OFFSET($AM$3,0,0,'Données projet'!$E$10+1,1))-AVERAGE(OFFSET($H$3,0,0,'Données projet'!$E$10+1,1))</f>
        <v>395.40396173178527</v>
      </c>
      <c r="AO74" s="59">
        <f t="shared" si="90"/>
        <v>304.68075128568756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1.331331483823829</v>
      </c>
      <c r="AV74" s="21">
        <f>EXP(-LN(2)/25)*AV73+(1-EXP(-LN(2)/25))/(LN(2)/25)*Calculateur!AQ74*Calculateur!AS74*VLOOKUP('Données projet'!$B$10,Paramètres!$A$1:$I$89,3,0)*0.475*44/12</f>
        <v>5.9985394437258366</v>
      </c>
      <c r="AW74" s="21">
        <f>EXP(-LN(2)/2)*AW73+(1-EXP(-LN(2)/2))/(LN(2)/2)*AQ74*AT74*VLOOKUP('Données projet'!$B$10,Paramètres!$A$1:$I$89,3,0)*0.475*44/12</f>
        <v>1.7537151445719438E-5</v>
      </c>
      <c r="AX74" s="21">
        <f t="shared" si="60"/>
        <v>7.3298884647011109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36.10000000000008</v>
      </c>
      <c r="BE74" s="13">
        <f>BD74*VLOOKUP('Données projet'!$B$11,Paramètres!$A$1:$I$89,3,0)*VLOOKUP('Données projet'!$B$11,Paramètres!$A$1:$I$89,5,0)</f>
        <v>31.536960000000075</v>
      </c>
      <c r="BF74" s="13">
        <f t="shared" si="91"/>
        <v>9.725440120377133</v>
      </c>
      <c r="BG74" s="20">
        <f t="shared" si="61"/>
        <v>71.865346876323642</v>
      </c>
      <c r="BH74" s="59">
        <f t="shared" si="62"/>
        <v>365.19868020965697</v>
      </c>
      <c r="BI74" s="59">
        <f ca="1">AVERAGE(OFFSET($BH$3,0,0,'Données projet'!$E$11+1,1))-AVERAGE(OFFSET($H$3,0,0,'Données projet'!$E$11+1,1))</f>
        <v>249.21292089724221</v>
      </c>
      <c r="BJ74" s="59">
        <f t="shared" si="92"/>
        <v>640.80644476065254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50.069175668940133</v>
      </c>
      <c r="BQ74" s="21">
        <f>EXP(-LN(2)/25)*BQ73+(1-EXP(-LN(2)/25))/(LN(2)/25)*Calculateur!BL74*Calculateur!BN74*VLOOKUP('Données projet'!$B$11,Paramètres!$A$1:$I$89,3,0)*0.475*44/12</f>
        <v>34.388820503085711</v>
      </c>
      <c r="BR74" s="21">
        <f>EXP(-LN(2)/2)*BR73+(1-EXP(-LN(2)/2))/(LN(2)/2)*BL74*BO74*VLOOKUP('Données projet'!$B$11,Paramètres!$A$1:$I$89,3,0)*0.475*44/12</f>
        <v>5.5660505052891977E-5</v>
      </c>
      <c r="BS74" s="22">
        <f t="shared" si="63"/>
        <v>84.458051832530899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208.40000000000029</v>
      </c>
      <c r="BZ74" s="13">
        <f>BY74*VLOOKUP('Données projet'!$B$12,Paramètres!$A$1:$I$89,3,0)*VLOOKUP('Données projet'!$B$12,Paramètres!$A$1:$I$89,5,0)</f>
        <v>169.05408000000025</v>
      </c>
      <c r="CA74" s="13">
        <f t="shared" si="93"/>
        <v>42.878100222794941</v>
      </c>
      <c r="CB74" s="20">
        <f t="shared" si="64"/>
        <v>369.11521388803493</v>
      </c>
      <c r="CC74" s="59">
        <f t="shared" si="65"/>
        <v>662.44854722136824</v>
      </c>
      <c r="CD74" s="59">
        <f ca="1">AVERAGE(OFFSET($CC$3,0,0,'Données projet'!$E$12+1,1))-AVERAGE(OFFSET($H$3,0,0,'Données projet'!$E$12+1,1))</f>
        <v>192.4785660463869</v>
      </c>
      <c r="CE74" s="59">
        <f t="shared" si="94"/>
        <v>165.11095806515362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0.35952381616305334</v>
      </c>
      <c r="CL74" s="21">
        <f>EXP(-LN(2)/25)*CL73+(1-EXP(-LN(2)/25))/(LN(2)/25)*Calculateur!CG74*Calculateur!CI74*VLOOKUP('Données projet'!$B$12,Paramètres!$A$1:$I$89,3,0)*0.475*44/12</f>
        <v>1.5148247692815233</v>
      </c>
      <c r="CM74" s="21">
        <f>EXP(-LN(2)/2)*CM73+(1-EXP(-LN(2)/2))/(LN(2)/2)*CG74*CJ74*VLOOKUP('Données projet'!$B$12,Paramètres!$A$1:$I$89,3,0)*0.475*44/12</f>
        <v>4.9380059567368932E-6</v>
      </c>
      <c r="CN74" s="22">
        <f t="shared" si="66"/>
        <v>1.8743535234505335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6.4</v>
      </c>
      <c r="CT74" s="12">
        <f>IF('Données projet'!$A$140&gt;35,CT73+CS74-DB73,IF(A74&lt;'Données projet'!$A$140,$CQ$205^A74,IF(A74='Données projet'!$A$140,'Données projet'!$B$140,CT73+CS74-DB73)))</f>
        <v>207.40000000000003</v>
      </c>
      <c r="CU74" s="17">
        <f>CT74*VLOOKUP('Données projet'!$B$13,Paramètres!$A$1:$I$89,3,0)*VLOOKUP('Données projet'!$B$13,Paramètres!$A$1:$I$89,5,0)</f>
        <v>174.71376000000004</v>
      </c>
      <c r="CV74" s="13">
        <f t="shared" si="95"/>
        <v>44.144062647515817</v>
      </c>
      <c r="CW74" s="20">
        <f t="shared" si="67"/>
        <v>381.17737444442349</v>
      </c>
      <c r="CX74" s="59">
        <f t="shared" si="68"/>
        <v>674.51070777775681</v>
      </c>
      <c r="CY74" s="59">
        <f ca="1">AVERAGE(OFFSET($CX$3,0,0,'Données projet'!$E$13+1,1))-AVERAGE(OFFSET($H$3,0,0,'Données projet'!$E$13+1,1))</f>
        <v>247.67539667223065</v>
      </c>
      <c r="CZ74" s="59">
        <f t="shared" si="96"/>
        <v>174.54442616983778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0.56891680799428213</v>
      </c>
      <c r="DG74" s="21">
        <f>EXP(-LN(2)/25)*DG73+(1-EXP(-LN(2)/25))/(LN(2)/25)*Calculateur!DB74*Calculateur!DD74*VLOOKUP('Données projet'!$B$13,Paramètres!$A$1:$I$89,3,0)*0.475*44/12</f>
        <v>2.1095842987023916</v>
      </c>
      <c r="DH74" s="21">
        <f>EXP(-LN(2)/2)*DH73+(1-EXP(-LN(2)/2))/(LN(2)/2)*DB74*DE74*VLOOKUP('Données projet'!$B$13,Paramètres!$A$1:$I$89,3,0)*0.475*44/12</f>
        <v>7.7643364682502805E-6</v>
      </c>
      <c r="DI74" s="22">
        <f t="shared" si="69"/>
        <v>2.6785088710331419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5.6899038461538431</v>
      </c>
      <c r="DO74" s="12">
        <f>IF('Données projet'!$A$166&gt;35,DO73+DN74-DW73,IF(A74&lt;'Données projet'!$A$166,$DL$205^A74,IF(A74='Données projet'!$A$166,'Données projet'!$B$166,DO73+DN74-DW73)))</f>
        <v>158.62499999999997</v>
      </c>
      <c r="DP74" s="17">
        <f>DO74*VLOOKUP('Données projet'!$B$14,Paramètres!$A$1:$I$89,3,0)*VLOOKUP('Données projet'!$B$14,Paramètres!$A$1:$I$89,5,0)</f>
        <v>158.37119999999999</v>
      </c>
      <c r="DQ74" s="13">
        <f t="shared" si="97"/>
        <v>40.474916527059669</v>
      </c>
      <c r="DR74" s="20">
        <f t="shared" si="70"/>
        <v>346.32365295129557</v>
      </c>
      <c r="DS74" s="59">
        <f t="shared" si="71"/>
        <v>639.65698628462883</v>
      </c>
      <c r="DT74" s="59">
        <f ca="1">AVERAGE(OFFSET($DS$3,0,0,'Données projet'!$E$14+1,1))-AVERAGE(OFFSET($H$3,0,0,'Données projet'!$E$14+1,1))</f>
        <v>245.06609107649069</v>
      </c>
      <c r="DU74" s="59">
        <f t="shared" si="98"/>
        <v>156.24531945456499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3.3010743854446729</v>
      </c>
      <c r="EJ74" s="12">
        <f>IF('Données projet'!$A$192&gt;35,EJ73+EI74-ER73,IF(A74&lt;'Données projet'!$A$192,$EG$205^A74,IF(A74='Données projet'!$A$192,'Données projet'!$B$192,EJ73+EI74-ER73)))</f>
        <v>149.66225379002151</v>
      </c>
      <c r="EK74" s="17">
        <f>EJ74*VLOOKUP('Données projet'!$B$15,Paramètres!$A$1:$I$89,3,0)*VLOOKUP('Données projet'!$B$15,Paramètres!$A$1:$I$89,5,0)</f>
        <v>163.43118113870349</v>
      </c>
      <c r="EL74" s="13">
        <f t="shared" si="99"/>
        <v>41.615469598041557</v>
      </c>
      <c r="EM74" s="20">
        <f t="shared" si="73"/>
        <v>357.12291669983097</v>
      </c>
      <c r="EN74" s="59">
        <f t="shared" si="74"/>
        <v>650.45625003316422</v>
      </c>
      <c r="EO74" s="59">
        <f ca="1">AVERAGE(OFFSET($EN$3,0,0,'Données projet'!$E$15+1,1))-AVERAGE(OFFSET($H$3,0,0,'Données projet'!$E$15+1,1))</f>
        <v>173.63857221119594</v>
      </c>
      <c r="EP74" s="59">
        <f t="shared" si="100"/>
        <v>52.373745617370105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199.58634493109349</v>
      </c>
      <c r="T75" s="59">
        <f t="shared" si="88"/>
        <v>288.66487031729008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2.1751421170884475</v>
      </c>
      <c r="AA75" s="21">
        <f>EXP(-LN(2)/25)*AA74+(1-EXP(-LN(2)/25))/(LN(2)/25)*Calculateur!V75*Calculateur!X75*VLOOKUP('Données projet'!$B$9,Paramètres!$A$1:$I$89,3,0)*0.475*44/12</f>
        <v>5.3459203556971859</v>
      </c>
      <c r="AB75" s="21">
        <f>EXP(-LN(2)/2)*AB74+(1-EXP(-LN(2)/2))/(LN(2)/2)*V75*Y75*VLOOKUP('Données projet'!$B$9,Paramètres!$A$1:$I$89,3,0)*0.475*44/12</f>
        <v>1.4066228167572567E-6</v>
      </c>
      <c r="AC75" s="22">
        <f t="shared" si="57"/>
        <v>7.5210638794084499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16.3</v>
      </c>
      <c r="AI75" s="13">
        <f>IF('Données projet'!$A$62&gt;35,AI74+AH75-AQ74,IF(A75&lt;'Données projet'!$A$62,$AF$205^A75,IF(A75='Données projet'!$A$62,'Données projet'!$B$62,AI74+AH75-AQ74)))</f>
        <v>540.5999999999998</v>
      </c>
      <c r="AJ75" s="13">
        <f>AI75*VLOOKUP('Données projet'!$B$10,Paramètres!$A$1:$I$89,3,0)*VLOOKUP('Données projet'!$B$10,Paramètres!$A$1:$I$89,5,0)</f>
        <v>323.27879999999993</v>
      </c>
      <c r="AK75" s="13">
        <f t="shared" si="89"/>
        <v>76.035166482832238</v>
      </c>
      <c r="AL75" s="20">
        <f t="shared" si="58"/>
        <v>695.47182495759932</v>
      </c>
      <c r="AM75" s="59">
        <f t="shared" si="59"/>
        <v>988.8051582909327</v>
      </c>
      <c r="AN75" s="59">
        <f ca="1">AVERAGE(OFFSET($AM$3,0,0,'Données projet'!$E$10+1,1))-AVERAGE(OFFSET($H$3,0,0,'Données projet'!$E$10+1,1))</f>
        <v>395.40396173178527</v>
      </c>
      <c r="AO75" s="59">
        <f t="shared" si="90"/>
        <v>304.68075128568756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1.3052248854580675</v>
      </c>
      <c r="AV75" s="21">
        <f>EXP(-LN(2)/25)*AV74+(1-EXP(-LN(2)/25))/(LN(2)/25)*Calculateur!AQ75*Calculateur!AS75*VLOOKUP('Données projet'!$B$10,Paramètres!$A$1:$I$89,3,0)*0.475*44/12</f>
        <v>5.8345090671876738</v>
      </c>
      <c r="AW75" s="21">
        <f>EXP(-LN(2)/2)*AW74+(1-EXP(-LN(2)/2))/(LN(2)/2)*AQ75*AT75*VLOOKUP('Données projet'!$B$10,Paramètres!$A$1:$I$89,3,0)*0.475*44/12</f>
        <v>1.240063870996368E-5</v>
      </c>
      <c r="AX75" s="21">
        <f t="shared" si="60"/>
        <v>7.1397463532844512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36.10000000000008</v>
      </c>
      <c r="BE75" s="13">
        <f>BD75*VLOOKUP('Données projet'!$B$11,Paramètres!$A$1:$I$89,3,0)*VLOOKUP('Données projet'!$B$11,Paramètres!$A$1:$I$89,5,0)</f>
        <v>31.536960000000075</v>
      </c>
      <c r="BF75" s="13">
        <f t="shared" si="91"/>
        <v>9.725440120377133</v>
      </c>
      <c r="BG75" s="20">
        <f t="shared" si="61"/>
        <v>71.865346876323642</v>
      </c>
      <c r="BH75" s="59">
        <f t="shared" si="62"/>
        <v>365.19868020965697</v>
      </c>
      <c r="BI75" s="59">
        <f ca="1">AVERAGE(OFFSET($BH$3,0,0,'Données projet'!$E$11+1,1))-AVERAGE(OFFSET($H$3,0,0,'Données projet'!$E$11+1,1))</f>
        <v>249.21292089724221</v>
      </c>
      <c r="BJ75" s="59">
        <f t="shared" si="92"/>
        <v>640.80644476065254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49.087349673253883</v>
      </c>
      <c r="BQ75" s="21">
        <f>EXP(-LN(2)/25)*BQ74+(1-EXP(-LN(2)/25))/(LN(2)/25)*Calculateur!BL75*Calculateur!BN75*VLOOKUP('Données projet'!$B$11,Paramètres!$A$1:$I$89,3,0)*0.475*44/12</f>
        <v>33.448456397999358</v>
      </c>
      <c r="BR75" s="21">
        <f>EXP(-LN(2)/2)*BR74+(1-EXP(-LN(2)/2))/(LN(2)/2)*BL75*BO75*VLOOKUP('Données projet'!$B$11,Paramètres!$A$1:$I$89,3,0)*0.475*44/12</f>
        <v>3.9357920567168009E-5</v>
      </c>
      <c r="BS75" s="22">
        <f t="shared" si="63"/>
        <v>82.535845429173804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212.8000000000003</v>
      </c>
      <c r="BZ75" s="13">
        <f>BY75*VLOOKUP('Données projet'!$B$12,Paramètres!$A$1:$I$89,3,0)*VLOOKUP('Données projet'!$B$12,Paramètres!$A$1:$I$89,5,0)</f>
        <v>172.62336000000025</v>
      </c>
      <c r="CA75" s="13">
        <f t="shared" si="93"/>
        <v>43.677044279986113</v>
      </c>
      <c r="CB75" s="20">
        <f t="shared" si="64"/>
        <v>376.72320412097628</v>
      </c>
      <c r="CC75" s="59">
        <f t="shared" si="65"/>
        <v>670.05653745430959</v>
      </c>
      <c r="CD75" s="59">
        <f ca="1">AVERAGE(OFFSET($CC$3,0,0,'Données projet'!$E$12+1,1))-AVERAGE(OFFSET($H$3,0,0,'Données projet'!$E$12+1,1))</f>
        <v>192.4785660463869</v>
      </c>
      <c r="CE75" s="59">
        <f t="shared" si="94"/>
        <v>165.11095806515362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0.35247377341597086</v>
      </c>
      <c r="CL75" s="21">
        <f>EXP(-LN(2)/25)*CL74+(1-EXP(-LN(2)/25))/(LN(2)/25)*Calculateur!CG75*Calculateur!CI75*VLOOKUP('Données projet'!$B$12,Paramètres!$A$1:$I$89,3,0)*0.475*44/12</f>
        <v>1.4734018063043477</v>
      </c>
      <c r="CM75" s="21">
        <f>EXP(-LN(2)/2)*CM74+(1-EXP(-LN(2)/2))/(LN(2)/2)*CG75*CJ75*VLOOKUP('Données projet'!$B$12,Paramètres!$A$1:$I$89,3,0)*0.475*44/12</f>
        <v>3.4916974975482227E-6</v>
      </c>
      <c r="CN75" s="22">
        <f t="shared" si="66"/>
        <v>1.8258790714178161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6.4</v>
      </c>
      <c r="CT75" s="12">
        <f>IF('Données projet'!$A$140&gt;35,CT74+CS75-DB74,IF(A75&lt;'Données projet'!$A$140,$CQ$205^A75,IF(A75='Données projet'!$A$140,'Données projet'!$B$140,CT74+CS75-DB74)))</f>
        <v>213.80000000000004</v>
      </c>
      <c r="CU75" s="17">
        <f>CT75*VLOOKUP('Données projet'!$B$13,Paramètres!$A$1:$I$89,3,0)*VLOOKUP('Données projet'!$B$13,Paramètres!$A$1:$I$89,5,0)</f>
        <v>180.10512000000006</v>
      </c>
      <c r="CV75" s="13">
        <f t="shared" si="95"/>
        <v>45.345572635110635</v>
      </c>
      <c r="CW75" s="20">
        <f t="shared" si="67"/>
        <v>392.65995633948449</v>
      </c>
      <c r="CX75" s="59">
        <f t="shared" si="68"/>
        <v>685.99328967281781</v>
      </c>
      <c r="CY75" s="59">
        <f ca="1">AVERAGE(OFFSET($CX$3,0,0,'Données projet'!$E$13+1,1))-AVERAGE(OFFSET($H$3,0,0,'Données projet'!$E$13+1,1))</f>
        <v>247.67539667223065</v>
      </c>
      <c r="CZ75" s="59">
        <f t="shared" si="96"/>
        <v>174.54442616983778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0.55776069639450321</v>
      </c>
      <c r="DG75" s="21">
        <f>EXP(-LN(2)/25)*DG74+(1-EXP(-LN(2)/25))/(LN(2)/25)*Calculateur!DB75*Calculateur!DD75*VLOOKUP('Données projet'!$B$13,Paramètres!$A$1:$I$89,3,0)*0.475*44/12</f>
        <v>2.0518976051161579</v>
      </c>
      <c r="DH75" s="21">
        <f>EXP(-LN(2)/2)*DH74+(1-EXP(-LN(2)/2))/(LN(2)/2)*DB75*DE75*VLOOKUP('Données projet'!$B$13,Paramètres!$A$1:$I$89,3,0)*0.475*44/12</f>
        <v>5.4902149681137824E-6</v>
      </c>
      <c r="DI75" s="22">
        <f t="shared" si="69"/>
        <v>2.6096637917256293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5.6899038461538431</v>
      </c>
      <c r="DO75" s="12">
        <f>IF('Données projet'!$A$166&gt;35,DO74+DN75-DW74,IF(A75&lt;'Données projet'!$A$166,$DL$205^A75,IF(A75='Données projet'!$A$166,'Données projet'!$B$166,DO74+DN75-DW74)))</f>
        <v>164.31490384615381</v>
      </c>
      <c r="DP75" s="17">
        <f>DO75*VLOOKUP('Données projet'!$B$14,Paramètres!$A$1:$I$89,3,0)*VLOOKUP('Données projet'!$B$14,Paramètres!$A$1:$I$89,5,0)</f>
        <v>164.05199999999996</v>
      </c>
      <c r="DQ75" s="13">
        <f t="shared" si="97"/>
        <v>41.755120775124922</v>
      </c>
      <c r="DR75" s="20">
        <f t="shared" si="70"/>
        <v>358.44740201667582</v>
      </c>
      <c r="DS75" s="59">
        <f t="shared" si="71"/>
        <v>651.78073535000908</v>
      </c>
      <c r="DT75" s="59">
        <f ca="1">AVERAGE(OFFSET($DS$3,0,0,'Données projet'!$E$14+1,1))-AVERAGE(OFFSET($H$3,0,0,'Données projet'!$E$14+1,1))</f>
        <v>245.06609107649069</v>
      </c>
      <c r="DU75" s="59">
        <f t="shared" si="98"/>
        <v>156.24531945456499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3.3010743854446729</v>
      </c>
      <c r="EJ75" s="12">
        <f>IF('Données projet'!$A$192&gt;35,EJ74+EI75-ER74,IF(A75&lt;'Données projet'!$A$192,$EG$205^A75,IF(A75='Données projet'!$A$192,'Données projet'!$B$192,EJ74+EI75-ER74)))</f>
        <v>152.96332817546619</v>
      </c>
      <c r="EK75" s="17">
        <f>EJ75*VLOOKUP('Données projet'!$B$15,Paramètres!$A$1:$I$89,3,0)*VLOOKUP('Données projet'!$B$15,Paramètres!$A$1:$I$89,5,0)</f>
        <v>167.03595436760907</v>
      </c>
      <c r="EL75" s="13">
        <f t="shared" si="99"/>
        <v>42.425497913777683</v>
      </c>
      <c r="EM75" s="20">
        <f t="shared" si="73"/>
        <v>364.81202939008193</v>
      </c>
      <c r="EN75" s="59">
        <f t="shared" si="74"/>
        <v>658.14536272341525</v>
      </c>
      <c r="EO75" s="59">
        <f ca="1">AVERAGE(OFFSET($EN$3,0,0,'Données projet'!$E$15+1,1))-AVERAGE(OFFSET($H$3,0,0,'Données projet'!$E$15+1,1))</f>
        <v>173.63857221119594</v>
      </c>
      <c r="EP75" s="59">
        <f t="shared" si="100"/>
        <v>52.373745617370105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199.58634493109349</v>
      </c>
      <c r="T76" s="59">
        <f t="shared" si="88"/>
        <v>288.66487031729008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2.1324889068780331</v>
      </c>
      <c r="AA76" s="21">
        <f>EXP(-LN(2)/25)*AA75+(1-EXP(-LN(2)/25))/(LN(2)/25)*Calculateur!V76*Calculateur!X76*VLOOKUP('Données projet'!$B$9,Paramètres!$A$1:$I$89,3,0)*0.475*44/12</f>
        <v>5.1997358824409128</v>
      </c>
      <c r="AB76" s="21">
        <f>EXP(-LN(2)/2)*AB75+(1-EXP(-LN(2)/2))/(LN(2)/2)*V76*Y76*VLOOKUP('Données projet'!$B$9,Paramètres!$A$1:$I$89,3,0)*0.475*44/12</f>
        <v>9.9463253230077868E-7</v>
      </c>
      <c r="AC76" s="22">
        <f t="shared" si="57"/>
        <v>7.3322257839514782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16.3</v>
      </c>
      <c r="AI76" s="13">
        <f>IF('Données projet'!$A$62&gt;35,AI75+AH76-AQ75,IF(A76&lt;'Données projet'!$A$62,$AF$205^A76,IF(A76='Données projet'!$A$62,'Données projet'!$B$62,AI75+AH76-AQ75)))</f>
        <v>556.89999999999975</v>
      </c>
      <c r="AJ76" s="13">
        <f>AI76*VLOOKUP('Données projet'!$B$10,Paramètres!$A$1:$I$89,3,0)*VLOOKUP('Données projet'!$B$10,Paramètres!$A$1:$I$89,5,0)</f>
        <v>333.0261999999999</v>
      </c>
      <c r="AK76" s="13">
        <f t="shared" si="89"/>
        <v>78.057381922432512</v>
      </c>
      <c r="AL76" s="20">
        <f t="shared" si="58"/>
        <v>715.97057184823643</v>
      </c>
      <c r="AM76" s="59">
        <f t="shared" si="59"/>
        <v>1009.3039051815697</v>
      </c>
      <c r="AN76" s="59">
        <f ca="1">AVERAGE(OFFSET($AM$3,0,0,'Données projet'!$E$10+1,1))-AVERAGE(OFFSET($H$3,0,0,'Données projet'!$E$10+1,1))</f>
        <v>395.40396173178527</v>
      </c>
      <c r="AO76" s="59">
        <f t="shared" si="90"/>
        <v>304.68075128568756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1.2796302215628057</v>
      </c>
      <c r="AV76" s="21">
        <f>EXP(-LN(2)/25)*AV75+(1-EXP(-LN(2)/25))/(LN(2)/25)*Calculateur!AQ76*Calculateur!AS76*VLOOKUP('Données projet'!$B$10,Paramètres!$A$1:$I$89,3,0)*0.475*44/12</f>
        <v>5.6749641099219303</v>
      </c>
      <c r="AW76" s="21">
        <f>EXP(-LN(2)/2)*AW75+(1-EXP(-LN(2)/2))/(LN(2)/2)*AQ76*AT76*VLOOKUP('Données projet'!$B$10,Paramètres!$A$1:$I$89,3,0)*0.475*44/12</f>
        <v>8.768575722859719E-6</v>
      </c>
      <c r="AX76" s="21">
        <f t="shared" si="60"/>
        <v>6.9546031000604591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36.10000000000008</v>
      </c>
      <c r="BE76" s="13">
        <f>BD76*VLOOKUP('Données projet'!$B$11,Paramètres!$A$1:$I$89,3,0)*VLOOKUP('Données projet'!$B$11,Paramètres!$A$1:$I$89,5,0)</f>
        <v>31.536960000000075</v>
      </c>
      <c r="BF76" s="13">
        <f t="shared" si="91"/>
        <v>9.725440120377133</v>
      </c>
      <c r="BG76" s="20">
        <f t="shared" si="61"/>
        <v>71.865346876323642</v>
      </c>
      <c r="BH76" s="59">
        <f t="shared" si="62"/>
        <v>365.19868020965697</v>
      </c>
      <c r="BI76" s="59">
        <f ca="1">AVERAGE(OFFSET($BH$3,0,0,'Données projet'!$E$11+1,1))-AVERAGE(OFFSET($H$3,0,0,'Données projet'!$E$11+1,1))</f>
        <v>249.21292089724221</v>
      </c>
      <c r="BJ76" s="59">
        <f t="shared" si="92"/>
        <v>640.80644476065254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48.12477668648831</v>
      </c>
      <c r="BQ76" s="21">
        <f>EXP(-LN(2)/25)*BQ75+(1-EXP(-LN(2)/25))/(LN(2)/25)*Calculateur!BL76*Calculateur!BN76*VLOOKUP('Données projet'!$B$11,Paramètres!$A$1:$I$89,3,0)*0.475*44/12</f>
        <v>32.533806598818188</v>
      </c>
      <c r="BR76" s="21">
        <f>EXP(-LN(2)/2)*BR75+(1-EXP(-LN(2)/2))/(LN(2)/2)*BL76*BO76*VLOOKUP('Données projet'!$B$11,Paramètres!$A$1:$I$89,3,0)*0.475*44/12</f>
        <v>2.7830252526445988E-5</v>
      </c>
      <c r="BS76" s="22">
        <f t="shared" si="63"/>
        <v>80.658611115559012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217.2000000000003</v>
      </c>
      <c r="BZ76" s="13">
        <f>BY76*VLOOKUP('Données projet'!$B$12,Paramètres!$A$1:$I$89,3,0)*VLOOKUP('Données projet'!$B$12,Paramètres!$A$1:$I$89,5,0)</f>
        <v>176.19264000000027</v>
      </c>
      <c r="CA76" s="13">
        <f t="shared" si="93"/>
        <v>44.474067632484584</v>
      </c>
      <c r="CB76" s="20">
        <f t="shared" si="64"/>
        <v>384.32784912657775</v>
      </c>
      <c r="CC76" s="59">
        <f t="shared" si="65"/>
        <v>677.66118245991106</v>
      </c>
      <c r="CD76" s="59">
        <f ca="1">AVERAGE(OFFSET($CC$3,0,0,'Données projet'!$E$12+1,1))-AVERAGE(OFFSET($H$3,0,0,'Données projet'!$E$12+1,1))</f>
        <v>192.4785660463869</v>
      </c>
      <c r="CE76" s="59">
        <f t="shared" si="94"/>
        <v>165.11095806515362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0.34556197770705716</v>
      </c>
      <c r="CL76" s="21">
        <f>EXP(-LN(2)/25)*CL75+(1-EXP(-LN(2)/25))/(LN(2)/25)*Calculateur!CG76*Calculateur!CI76*VLOOKUP('Données projet'!$B$12,Paramètres!$A$1:$I$89,3,0)*0.475*44/12</f>
        <v>1.4331115564281218</v>
      </c>
      <c r="CM76" s="21">
        <f>EXP(-LN(2)/2)*CM75+(1-EXP(-LN(2)/2))/(LN(2)/2)*CG76*CJ76*VLOOKUP('Données projet'!$B$12,Paramètres!$A$1:$I$89,3,0)*0.475*44/12</f>
        <v>2.4690029783684466E-6</v>
      </c>
      <c r="CN76" s="22">
        <f t="shared" si="66"/>
        <v>1.7786760031381572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6.4</v>
      </c>
      <c r="CT76" s="12">
        <f>IF('Données projet'!$A$140&gt;35,CT75+CS76-DB75,IF(A76&lt;'Données projet'!$A$140,$CQ$205^A76,IF(A76='Données projet'!$A$140,'Données projet'!$B$140,CT75+CS76-DB75)))</f>
        <v>220.20000000000005</v>
      </c>
      <c r="CU76" s="17">
        <f>CT76*VLOOKUP('Données projet'!$B$13,Paramètres!$A$1:$I$89,3,0)*VLOOKUP('Données projet'!$B$13,Paramètres!$A$1:$I$89,5,0)</f>
        <v>185.49648000000005</v>
      </c>
      <c r="CV76" s="13">
        <f t="shared" si="95"/>
        <v>46.542902733492369</v>
      </c>
      <c r="CW76" s="20">
        <f t="shared" si="67"/>
        <v>404.13525826083259</v>
      </c>
      <c r="CX76" s="59">
        <f t="shared" si="68"/>
        <v>697.4685915941659</v>
      </c>
      <c r="CY76" s="59">
        <f ca="1">AVERAGE(OFFSET($CX$3,0,0,'Données projet'!$E$13+1,1))-AVERAGE(OFFSET($H$3,0,0,'Données projet'!$E$13+1,1))</f>
        <v>247.67539667223065</v>
      </c>
      <c r="CZ76" s="59">
        <f t="shared" si="96"/>
        <v>174.54442616983778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0.54682334933863985</v>
      </c>
      <c r="DG76" s="21">
        <f>EXP(-LN(2)/25)*DG75+(1-EXP(-LN(2)/25))/(LN(2)/25)*Calculateur!DB76*Calculateur!DD76*VLOOKUP('Données projet'!$B$13,Paramètres!$A$1:$I$89,3,0)*0.475*44/12</f>
        <v>1.9957883571996513</v>
      </c>
      <c r="DH76" s="21">
        <f>EXP(-LN(2)/2)*DH75+(1-EXP(-LN(2)/2))/(LN(2)/2)*DB76*DE76*VLOOKUP('Données projet'!$B$13,Paramètres!$A$1:$I$89,3,0)*0.475*44/12</f>
        <v>3.8821682341251403E-6</v>
      </c>
      <c r="DI76" s="22">
        <f t="shared" si="69"/>
        <v>2.5426155887065249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5.6899038461538431</v>
      </c>
      <c r="DO76" s="12">
        <f>IF('Données projet'!$A$166&gt;35,DO75+DN76-DW75,IF(A76&lt;'Données projet'!$A$166,$DL$205^A76,IF(A76='Données projet'!$A$166,'Données projet'!$B$166,DO75+DN76-DW75)))</f>
        <v>170.00480769230765</v>
      </c>
      <c r="DP76" s="17">
        <f>DO76*VLOOKUP('Données projet'!$B$14,Paramètres!$A$1:$I$89,3,0)*VLOOKUP('Données projet'!$B$14,Paramètres!$A$1:$I$89,5,0)</f>
        <v>169.73279999999997</v>
      </c>
      <c r="DQ76" s="13">
        <f t="shared" si="97"/>
        <v>43.030174196364548</v>
      </c>
      <c r="DR76" s="20">
        <f t="shared" si="70"/>
        <v>370.56218005866822</v>
      </c>
      <c r="DS76" s="59">
        <f t="shared" si="71"/>
        <v>663.89551339200148</v>
      </c>
      <c r="DT76" s="59">
        <f ca="1">AVERAGE(OFFSET($DS$3,0,0,'Données projet'!$E$14+1,1))-AVERAGE(OFFSET($H$3,0,0,'Données projet'!$E$14+1,1))</f>
        <v>245.06609107649069</v>
      </c>
      <c r="DU76" s="59">
        <f t="shared" si="98"/>
        <v>156.24531945456499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3.3010743854446729</v>
      </c>
      <c r="EJ76" s="12">
        <f>IF('Données projet'!$A$192&gt;35,EJ75+EI76-ER75,IF(A76&lt;'Données projet'!$A$192,$EG$205^A76,IF(A76='Données projet'!$A$192,'Données projet'!$B$192,EJ75+EI76-ER75)))</f>
        <v>156.26440256091087</v>
      </c>
      <c r="EK76" s="17">
        <f>EJ76*VLOOKUP('Données projet'!$B$15,Paramètres!$A$1:$I$89,3,0)*VLOOKUP('Données projet'!$B$15,Paramètres!$A$1:$I$89,5,0)</f>
        <v>170.64072759651467</v>
      </c>
      <c r="EL76" s="13">
        <f t="shared" si="99"/>
        <v>43.233493818970125</v>
      </c>
      <c r="EM76" s="20">
        <f t="shared" si="73"/>
        <v>372.49760229863597</v>
      </c>
      <c r="EN76" s="59">
        <f t="shared" si="74"/>
        <v>665.83093563196928</v>
      </c>
      <c r="EO76" s="59">
        <f ca="1">AVERAGE(OFFSET($EN$3,0,0,'Données projet'!$E$15+1,1))-AVERAGE(OFFSET($H$3,0,0,'Données projet'!$E$15+1,1))</f>
        <v>173.63857221119594</v>
      </c>
      <c r="EP76" s="59">
        <f t="shared" si="100"/>
        <v>52.373745617370105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199.58634493109349</v>
      </c>
      <c r="T77" s="59">
        <f t="shared" si="88"/>
        <v>288.66487031729008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2.0906721001039554</v>
      </c>
      <c r="AA77" s="21">
        <f>EXP(-LN(2)/25)*AA76+(1-EXP(-LN(2)/25))/(LN(2)/25)*Calculateur!V77*Calculateur!X77*VLOOKUP('Données projet'!$B$9,Paramètres!$A$1:$I$89,3,0)*0.475*44/12</f>
        <v>5.0575488312933405</v>
      </c>
      <c r="AB77" s="21">
        <f>EXP(-LN(2)/2)*AB76+(1-EXP(-LN(2)/2))/(LN(2)/2)*V77*Y77*VLOOKUP('Données projet'!$B$9,Paramètres!$A$1:$I$89,3,0)*0.475*44/12</f>
        <v>7.0331140837862837E-7</v>
      </c>
      <c r="AC77" s="22">
        <f t="shared" si="57"/>
        <v>7.1482216347087038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16.3</v>
      </c>
      <c r="AI77" s="13">
        <f>IF('Données projet'!$A$62&gt;35,AI76+AH77-AQ76,IF(A77&lt;'Données projet'!$A$62,$AF$205^A77,IF(A77='Données projet'!$A$62,'Données projet'!$B$62,AI76+AH77-AQ76)))</f>
        <v>573.1999999999997</v>
      </c>
      <c r="AJ77" s="13">
        <f>AI77*VLOOKUP('Données projet'!$B$10,Paramètres!$A$1:$I$89,3,0)*VLOOKUP('Données projet'!$B$10,Paramètres!$A$1:$I$89,5,0)</f>
        <v>342.77359999999982</v>
      </c>
      <c r="AK77" s="13">
        <f t="shared" si="89"/>
        <v>80.07271849812058</v>
      </c>
      <c r="AL77" s="20">
        <f t="shared" si="58"/>
        <v>736.4573380508931</v>
      </c>
      <c r="AM77" s="59">
        <f t="shared" si="59"/>
        <v>1029.7906713842265</v>
      </c>
      <c r="AN77" s="59">
        <f ca="1">AVERAGE(OFFSET($AM$3,0,0,'Données projet'!$E$10+1,1))-AVERAGE(OFFSET($H$3,0,0,'Données projet'!$E$10+1,1))</f>
        <v>395.40396173178527</v>
      </c>
      <c r="AO77" s="59">
        <f t="shared" si="90"/>
        <v>304.68075128568756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1.2545374534153266</v>
      </c>
      <c r="AV77" s="21">
        <f>EXP(-LN(2)/25)*AV76+(1-EXP(-LN(2)/25))/(LN(2)/25)*Calculateur!AQ77*Calculateur!AS77*VLOOKUP('Données projet'!$B$10,Paramètres!$A$1:$I$89,3,0)*0.475*44/12</f>
        <v>5.5197819179027228</v>
      </c>
      <c r="AW77" s="21">
        <f>EXP(-LN(2)/2)*AW76+(1-EXP(-LN(2)/2))/(LN(2)/2)*AQ77*AT77*VLOOKUP('Données projet'!$B$10,Paramètres!$A$1:$I$89,3,0)*0.475*44/12</f>
        <v>6.2003193549818402E-6</v>
      </c>
      <c r="AX77" s="21">
        <f t="shared" si="60"/>
        <v>6.7743255716374042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36.10000000000008</v>
      </c>
      <c r="BE77" s="13">
        <f>BD77*VLOOKUP('Données projet'!$B$11,Paramètres!$A$1:$I$89,3,0)*VLOOKUP('Données projet'!$B$11,Paramètres!$A$1:$I$89,5,0)</f>
        <v>31.536960000000075</v>
      </c>
      <c r="BF77" s="13">
        <f t="shared" si="91"/>
        <v>9.725440120377133</v>
      </c>
      <c r="BG77" s="20">
        <f t="shared" si="61"/>
        <v>71.865346876323642</v>
      </c>
      <c r="BH77" s="59">
        <f t="shared" si="62"/>
        <v>365.19868020965697</v>
      </c>
      <c r="BI77" s="59">
        <f ca="1">AVERAGE(OFFSET($BH$3,0,0,'Données projet'!$E$11+1,1))-AVERAGE(OFFSET($H$3,0,0,'Données projet'!$E$11+1,1))</f>
        <v>249.21292089724221</v>
      </c>
      <c r="BJ77" s="59">
        <f t="shared" si="92"/>
        <v>640.80644476065254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47.181079168881666</v>
      </c>
      <c r="BQ77" s="21">
        <f>EXP(-LN(2)/25)*BQ76+(1-EXP(-LN(2)/25))/(LN(2)/25)*Calculateur!BL77*Calculateur!BN77*VLOOKUP('Données projet'!$B$11,Paramètres!$A$1:$I$89,3,0)*0.475*44/12</f>
        <v>31.644167946494974</v>
      </c>
      <c r="BR77" s="21">
        <f>EXP(-LN(2)/2)*BR76+(1-EXP(-LN(2)/2))/(LN(2)/2)*BL77*BO77*VLOOKUP('Données projet'!$B$11,Paramètres!$A$1:$I$89,3,0)*0.475*44/12</f>
        <v>1.9678960283584005E-5</v>
      </c>
      <c r="BS77" s="22">
        <f t="shared" si="63"/>
        <v>78.825266794336926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221.60000000000031</v>
      </c>
      <c r="BZ77" s="13">
        <f>BY77*VLOOKUP('Données projet'!$B$12,Paramètres!$A$1:$I$89,3,0)*VLOOKUP('Données projet'!$B$12,Paramètres!$A$1:$I$89,5,0)</f>
        <v>179.76192000000026</v>
      </c>
      <c r="CA77" s="13">
        <f t="shared" si="93"/>
        <v>45.269213673453336</v>
      </c>
      <c r="CB77" s="20">
        <f t="shared" si="64"/>
        <v>391.92922448126501</v>
      </c>
      <c r="CC77" s="59">
        <f t="shared" si="65"/>
        <v>685.26255781459827</v>
      </c>
      <c r="CD77" s="59">
        <f ca="1">AVERAGE(OFFSET($CC$3,0,0,'Données projet'!$E$12+1,1))-AVERAGE(OFFSET($H$3,0,0,'Données projet'!$E$12+1,1))</f>
        <v>192.4785660463869</v>
      </c>
      <c r="CE77" s="59">
        <f t="shared" si="94"/>
        <v>165.11095806515362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0.33878571809621616</v>
      </c>
      <c r="CL77" s="21">
        <f>EXP(-LN(2)/25)*CL76+(1-EXP(-LN(2)/25))/(LN(2)/25)*Calculateur!CG77*Calculateur!CI77*VLOOKUP('Données projet'!$B$12,Paramètres!$A$1:$I$89,3,0)*0.475*44/12</f>
        <v>1.3939230455535334</v>
      </c>
      <c r="CM77" s="21">
        <f>EXP(-LN(2)/2)*CM76+(1-EXP(-LN(2)/2))/(LN(2)/2)*CG77*CJ77*VLOOKUP('Données projet'!$B$12,Paramètres!$A$1:$I$89,3,0)*0.475*44/12</f>
        <v>1.7458487487741113E-6</v>
      </c>
      <c r="CN77" s="22">
        <f t="shared" si="66"/>
        <v>1.7327105094984983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6.4</v>
      </c>
      <c r="CT77" s="12">
        <f>IF('Données projet'!$A$140&gt;35,CT76+CS77-DB76,IF(A77&lt;'Données projet'!$A$140,$CQ$205^A77,IF(A77='Données projet'!$A$140,'Données projet'!$B$140,CT76+CS77-DB76)))</f>
        <v>226.60000000000005</v>
      </c>
      <c r="CU77" s="17">
        <f>CT77*VLOOKUP('Données projet'!$B$13,Paramètres!$A$1:$I$89,3,0)*VLOOKUP('Données projet'!$B$13,Paramètres!$A$1:$I$89,5,0)</f>
        <v>190.88784000000007</v>
      </c>
      <c r="CV77" s="13">
        <f t="shared" si="95"/>
        <v>47.736188379493683</v>
      </c>
      <c r="CW77" s="20">
        <f t="shared" si="67"/>
        <v>415.60351609428494</v>
      </c>
      <c r="CX77" s="59">
        <f t="shared" si="68"/>
        <v>708.9368494276182</v>
      </c>
      <c r="CY77" s="59">
        <f ca="1">AVERAGE(OFFSET($CX$3,0,0,'Données projet'!$E$13+1,1))-AVERAGE(OFFSET($H$3,0,0,'Données projet'!$E$13+1,1))</f>
        <v>247.67539667223065</v>
      </c>
      <c r="CZ77" s="59">
        <f t="shared" si="96"/>
        <v>174.54442616983778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0.53610047698741892</v>
      </c>
      <c r="DG77" s="21">
        <f>EXP(-LN(2)/25)*DG76+(1-EXP(-LN(2)/25))/(LN(2)/25)*Calculateur!DB77*Calculateur!DD77*VLOOKUP('Données projet'!$B$13,Paramètres!$A$1:$I$89,3,0)*0.475*44/12</f>
        <v>1.9412134196180786</v>
      </c>
      <c r="DH77" s="21">
        <f>EXP(-LN(2)/2)*DH76+(1-EXP(-LN(2)/2))/(LN(2)/2)*DB77*DE77*VLOOKUP('Données projet'!$B$13,Paramètres!$A$1:$I$89,3,0)*0.475*44/12</f>
        <v>2.7451074840568912E-6</v>
      </c>
      <c r="DI77" s="22">
        <f t="shared" si="69"/>
        <v>2.4773166417129815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5.6899038461538431</v>
      </c>
      <c r="DO77" s="12">
        <f>IF('Données projet'!$A$166&gt;35,DO76+DN77-DW76,IF(A77&lt;'Données projet'!$A$166,$DL$205^A77,IF(A77='Données projet'!$A$166,'Données projet'!$B$166,DO76+DN77-DW76)))</f>
        <v>175.69471153846149</v>
      </c>
      <c r="DP77" s="17">
        <f>DO77*VLOOKUP('Données projet'!$B$14,Paramètres!$A$1:$I$89,3,0)*VLOOKUP('Données projet'!$B$14,Paramètres!$A$1:$I$89,5,0)</f>
        <v>175.41359999999997</v>
      </c>
      <c r="DQ77" s="13">
        <f t="shared" si="97"/>
        <v>44.300268949253812</v>
      </c>
      <c r="DR77" s="20">
        <f t="shared" si="70"/>
        <v>382.66832175328369</v>
      </c>
      <c r="DS77" s="59">
        <f t="shared" si="71"/>
        <v>676.00165508661701</v>
      </c>
      <c r="DT77" s="59">
        <f ca="1">AVERAGE(OFFSET($DS$3,0,0,'Données projet'!$E$14+1,1))-AVERAGE(OFFSET($H$3,0,0,'Données projet'!$E$14+1,1))</f>
        <v>245.06609107649069</v>
      </c>
      <c r="DU77" s="59">
        <f t="shared" si="98"/>
        <v>156.24531945456499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3.3010743854446729</v>
      </c>
      <c r="EJ77" s="12">
        <f>IF('Données projet'!$A$192&gt;35,EJ76+EI77-ER76,IF(A77&lt;'Données projet'!$A$192,$EG$205^A77,IF(A77='Données projet'!$A$192,'Données projet'!$B$192,EJ76+EI77-ER76)))</f>
        <v>159.56547694635555</v>
      </c>
      <c r="EK77" s="17">
        <f>EJ77*VLOOKUP('Données projet'!$B$15,Paramètres!$A$1:$I$89,3,0)*VLOOKUP('Données projet'!$B$15,Paramètres!$A$1:$I$89,5,0)</f>
        <v>174.24550082542027</v>
      </c>
      <c r="EL77" s="13">
        <f t="shared" si="99"/>
        <v>44.039505194034426</v>
      </c>
      <c r="EM77" s="20">
        <f t="shared" si="73"/>
        <v>380.17971881721695</v>
      </c>
      <c r="EN77" s="59">
        <f t="shared" si="74"/>
        <v>673.51305215055027</v>
      </c>
      <c r="EO77" s="59">
        <f ca="1">AVERAGE(OFFSET($EN$3,0,0,'Données projet'!$E$15+1,1))-AVERAGE(OFFSET($H$3,0,0,'Données projet'!$E$15+1,1))</f>
        <v>173.63857221119594</v>
      </c>
      <c r="EP77" s="59">
        <f t="shared" si="100"/>
        <v>52.373745617370105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199.58634493109349</v>
      </c>
      <c r="T78" s="59">
        <f t="shared" si="88"/>
        <v>288.66487031729008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2.0496752954049842</v>
      </c>
      <c r="AA78" s="21">
        <f>EXP(-LN(2)/25)*AA77+(1-EXP(-LN(2)/25))/(LN(2)/25)*Calculateur!V78*Calculateur!X78*VLOOKUP('Données projet'!$B$9,Paramètres!$A$1:$I$89,3,0)*0.475*44/12</f>
        <v>4.9192498925366905</v>
      </c>
      <c r="AB78" s="21">
        <f>EXP(-LN(2)/2)*AB77+(1-EXP(-LN(2)/2))/(LN(2)/2)*V78*Y78*VLOOKUP('Données projet'!$B$9,Paramètres!$A$1:$I$89,3,0)*0.475*44/12</f>
        <v>4.9731626615038934E-7</v>
      </c>
      <c r="AC78" s="22">
        <f t="shared" si="57"/>
        <v>6.9689256852579415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16.3</v>
      </c>
      <c r="AI78" s="13">
        <f>IF('Données projet'!$A$62&gt;35,AI77+AH78-AQ77,IF(A78&lt;'Données projet'!$A$62,$AF$205^A78,IF(A78='Données projet'!$A$62,'Données projet'!$B$62,AI77+AH78-AQ77)))</f>
        <v>589.49999999999966</v>
      </c>
      <c r="AJ78" s="13">
        <f>AI78*VLOOKUP('Données projet'!$B$10,Paramètres!$A$1:$I$89,3,0)*VLOOKUP('Données projet'!$B$10,Paramètres!$A$1:$I$89,5,0)</f>
        <v>352.52099999999979</v>
      </c>
      <c r="AK78" s="13">
        <f t="shared" si="89"/>
        <v>82.081394290992733</v>
      </c>
      <c r="AL78" s="20">
        <f t="shared" si="58"/>
        <v>756.93250339014514</v>
      </c>
      <c r="AM78" s="59">
        <f t="shared" si="59"/>
        <v>1050.2658367234785</v>
      </c>
      <c r="AN78" s="59">
        <f ca="1">AVERAGE(OFFSET($AM$3,0,0,'Données projet'!$E$10+1,1))-AVERAGE(OFFSET($H$3,0,0,'Données projet'!$E$10+1,1))</f>
        <v>395.40396173178527</v>
      </c>
      <c r="AO78" s="59">
        <f t="shared" si="90"/>
        <v>304.68075128568756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1.2299367391461422</v>
      </c>
      <c r="AV78" s="21">
        <f>EXP(-LN(2)/25)*AV77+(1-EXP(-LN(2)/25))/(LN(2)/25)*Calculateur!AQ78*Calculateur!AS78*VLOOKUP('Données projet'!$B$10,Paramètres!$A$1:$I$89,3,0)*0.475*44/12</f>
        <v>5.3688431910849577</v>
      </c>
      <c r="AW78" s="21">
        <f>EXP(-LN(2)/2)*AW77+(1-EXP(-LN(2)/2))/(LN(2)/2)*AQ78*AT78*VLOOKUP('Données projet'!$B$10,Paramètres!$A$1:$I$89,3,0)*0.475*44/12</f>
        <v>4.3842878614298595E-6</v>
      </c>
      <c r="AX78" s="21">
        <f t="shared" si="60"/>
        <v>6.5987843145189613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36.10000000000008</v>
      </c>
      <c r="BE78" s="13">
        <f>BD78*VLOOKUP('Données projet'!$B$11,Paramètres!$A$1:$I$89,3,0)*VLOOKUP('Données projet'!$B$11,Paramètres!$A$1:$I$89,5,0)</f>
        <v>31.536960000000075</v>
      </c>
      <c r="BF78" s="13">
        <f t="shared" si="91"/>
        <v>9.725440120377133</v>
      </c>
      <c r="BG78" s="20">
        <f t="shared" si="61"/>
        <v>71.865346876323642</v>
      </c>
      <c r="BH78" s="59">
        <f t="shared" si="62"/>
        <v>365.19868020965697</v>
      </c>
      <c r="BI78" s="59">
        <f ca="1">AVERAGE(OFFSET($BH$3,0,0,'Données projet'!$E$11+1,1))-AVERAGE(OFFSET($H$3,0,0,'Données projet'!$E$11+1,1))</f>
        <v>249.21292089724221</v>
      </c>
      <c r="BJ78" s="59">
        <f t="shared" si="92"/>
        <v>640.80644476065254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46.255886983996639</v>
      </c>
      <c r="BQ78" s="21">
        <f>EXP(-LN(2)/25)*BQ77+(1-EXP(-LN(2)/25))/(LN(2)/25)*Calculateur!BL78*Calculateur!BN78*VLOOKUP('Données projet'!$B$11,Paramètres!$A$1:$I$89,3,0)*0.475*44/12</f>
        <v>30.778856509903601</v>
      </c>
      <c r="BR78" s="21">
        <f>EXP(-LN(2)/2)*BR77+(1-EXP(-LN(2)/2))/(LN(2)/2)*BL78*BO78*VLOOKUP('Données projet'!$B$11,Paramètres!$A$1:$I$89,3,0)*0.475*44/12</f>
        <v>1.3915126263222994E-5</v>
      </c>
      <c r="BS78" s="22">
        <f t="shared" si="63"/>
        <v>77.034757409026497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226.00000000000031</v>
      </c>
      <c r="BZ78" s="13">
        <f>BY78*VLOOKUP('Données projet'!$B$12,Paramètres!$A$1:$I$89,3,0)*VLOOKUP('Données projet'!$B$12,Paramètres!$A$1:$I$89,5,0)</f>
        <v>183.33120000000028</v>
      </c>
      <c r="CA78" s="13">
        <f t="shared" si="93"/>
        <v>46.062523974317905</v>
      </c>
      <c r="CB78" s="20">
        <f t="shared" si="64"/>
        <v>399.52740258860416</v>
      </c>
      <c r="CC78" s="59">
        <f t="shared" si="65"/>
        <v>692.86073592193748</v>
      </c>
      <c r="CD78" s="59">
        <f ca="1">AVERAGE(OFFSET($CC$3,0,0,'Données projet'!$E$12+1,1))-AVERAGE(OFFSET($H$3,0,0,'Données projet'!$E$12+1,1))</f>
        <v>192.4785660463869</v>
      </c>
      <c r="CE78" s="59">
        <f t="shared" si="94"/>
        <v>165.11095806515362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0.33214233680323352</v>
      </c>
      <c r="CL78" s="21">
        <f>EXP(-LN(2)/25)*CL77+(1-EXP(-LN(2)/25))/(LN(2)/25)*Calculateur!CG78*Calculateur!CI78*VLOOKUP('Données projet'!$B$12,Paramètres!$A$1:$I$89,3,0)*0.475*44/12</f>
        <v>1.3558061465696449</v>
      </c>
      <c r="CM78" s="21">
        <f>EXP(-LN(2)/2)*CM77+(1-EXP(-LN(2)/2))/(LN(2)/2)*CG78*CJ78*VLOOKUP('Données projet'!$B$12,Paramètres!$A$1:$I$89,3,0)*0.475*44/12</f>
        <v>1.2345014891842233E-6</v>
      </c>
      <c r="CN78" s="22">
        <f t="shared" si="66"/>
        <v>1.6879497178743676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6.4</v>
      </c>
      <c r="CT78" s="12">
        <f>IF('Données projet'!$A$140&gt;35,CT77+CS78-DB77,IF(A78&lt;'Données projet'!$A$140,$CQ$205^A78,IF(A78='Données projet'!$A$140,'Données projet'!$B$140,CT77+CS78-DB77)))</f>
        <v>233.00000000000006</v>
      </c>
      <c r="CU78" s="17">
        <f>CT78*VLOOKUP('Données projet'!$B$13,Paramètres!$A$1:$I$89,3,0)*VLOOKUP('Données projet'!$B$13,Paramètres!$A$1:$I$89,5,0)</f>
        <v>196.27920000000006</v>
      </c>
      <c r="CV78" s="13">
        <f t="shared" si="95"/>
        <v>48.925556924284628</v>
      </c>
      <c r="CW78" s="20">
        <f t="shared" si="67"/>
        <v>427.06495164312918</v>
      </c>
      <c r="CX78" s="59">
        <f t="shared" si="68"/>
        <v>720.39828497646249</v>
      </c>
      <c r="CY78" s="59">
        <f ca="1">AVERAGE(OFFSET($CX$3,0,0,'Données projet'!$E$13+1,1))-AVERAGE(OFFSET($H$3,0,0,'Données projet'!$E$13+1,1))</f>
        <v>247.67539667223065</v>
      </c>
      <c r="CZ78" s="59">
        <f t="shared" si="96"/>
        <v>174.54442616983778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0.5255878736226991</v>
      </c>
      <c r="DG78" s="21">
        <f>EXP(-LN(2)/25)*DG77+(1-EXP(-LN(2)/25))/(LN(2)/25)*Calculateur!DB78*Calculateur!DD78*VLOOKUP('Données projet'!$B$13,Paramètres!$A$1:$I$89,3,0)*0.475*44/12</f>
        <v>1.8881308365746452</v>
      </c>
      <c r="DH78" s="21">
        <f>EXP(-LN(2)/2)*DH77+(1-EXP(-LN(2)/2))/(LN(2)/2)*DB78*DE78*VLOOKUP('Données projet'!$B$13,Paramètres!$A$1:$I$89,3,0)*0.475*44/12</f>
        <v>1.9410841170625701E-6</v>
      </c>
      <c r="DI78" s="22">
        <f t="shared" si="69"/>
        <v>2.4137206512814613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181.38461538461536</v>
      </c>
      <c r="DM78" s="12">
        <f>VLOOKUP(A78,'Données projet'!$A$165:$I$185,9,0)</f>
        <v>5.6899038461538431</v>
      </c>
      <c r="DN78" s="12">
        <f t="array" ref="DN78">INDEX(DM:DM,MIN(IF(ISNUMBER(DM78:DM274),ROW(DM78:DM274),"")))</f>
        <v>5.6899038461538431</v>
      </c>
      <c r="DO78" s="12">
        <f>IF('Données projet'!$A$166&gt;35,DO77+DN78-DW77,IF(A78&lt;'Données projet'!$A$166,$DL$205^A78,IF(A78='Données projet'!$A$166,'Données projet'!$B$166,DO77+DN78-DW77)))</f>
        <v>181.38461538461533</v>
      </c>
      <c r="DP78" s="17">
        <f>DO78*VLOOKUP('Données projet'!$B$14,Paramètres!$A$1:$I$89,3,0)*VLOOKUP('Données projet'!$B$14,Paramètres!$A$1:$I$89,5,0)</f>
        <v>181.09439999999998</v>
      </c>
      <c r="DQ78" s="13">
        <f t="shared" si="97"/>
        <v>45.565584039538123</v>
      </c>
      <c r="DR78" s="20">
        <f t="shared" si="70"/>
        <v>394.76613886886213</v>
      </c>
      <c r="DS78" s="59">
        <f t="shared" si="71"/>
        <v>688.09947220219544</v>
      </c>
      <c r="DT78" s="59">
        <f ca="1">AVERAGE(OFFSET($DS$3,0,0,'Données projet'!$E$14+1,1))-AVERAGE(OFFSET($H$3,0,0,'Données projet'!$E$14+1,1))</f>
        <v>245.06609107649069</v>
      </c>
      <c r="DU78" s="59">
        <f t="shared" si="98"/>
        <v>156.24531945456499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30.916666666666664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3.3010743854446729</v>
      </c>
      <c r="EJ78" s="12">
        <f>IF('Données projet'!$A$192&gt;35,EJ77+EI78-ER77,IF(A78&lt;'Données projet'!$A$192,$EG$205^A78,IF(A78='Données projet'!$A$192,'Données projet'!$B$192,EJ77+EI78-ER77)))</f>
        <v>162.86655133180022</v>
      </c>
      <c r="EK78" s="17">
        <f>EJ78*VLOOKUP('Données projet'!$B$15,Paramètres!$A$1:$I$89,3,0)*VLOOKUP('Données projet'!$B$15,Paramètres!$A$1:$I$89,5,0)</f>
        <v>177.85027405432584</v>
      </c>
      <c r="EL78" s="13">
        <f t="shared" si="99"/>
        <v>44.84357782507</v>
      </c>
      <c r="EM78" s="20">
        <f t="shared" si="73"/>
        <v>387.85845868994778</v>
      </c>
      <c r="EN78" s="59">
        <f t="shared" si="74"/>
        <v>681.1917920232811</v>
      </c>
      <c r="EO78" s="59">
        <f ca="1">AVERAGE(OFFSET($EN$3,0,0,'Données projet'!$E$15+1,1))-AVERAGE(OFFSET($H$3,0,0,'Données projet'!$E$15+1,1))</f>
        <v>173.63857221119594</v>
      </c>
      <c r="EP78" s="59">
        <f t="shared" si="100"/>
        <v>52.373745617370105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199.58634493109349</v>
      </c>
      <c r="T79" s="59">
        <f t="shared" si="88"/>
        <v>288.66487031729008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2.009482413040578</v>
      </c>
      <c r="AA79" s="21">
        <f>EXP(-LN(2)/25)*AA78+(1-EXP(-LN(2)/25))/(LN(2)/25)*Calculateur!V79*Calculateur!X79*VLOOKUP('Données projet'!$B$9,Paramètres!$A$1:$I$89,3,0)*0.475*44/12</f>
        <v>4.7847327455331659</v>
      </c>
      <c r="AB79" s="21">
        <f>EXP(-LN(2)/2)*AB78+(1-EXP(-LN(2)/2))/(LN(2)/2)*V79*Y79*VLOOKUP('Données projet'!$B$9,Paramètres!$A$1:$I$89,3,0)*0.475*44/12</f>
        <v>3.5165570418931419E-7</v>
      </c>
      <c r="AC79" s="22">
        <f t="shared" si="57"/>
        <v>6.7942155102294484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16.3</v>
      </c>
      <c r="AI79" s="13">
        <f>IF('Données projet'!$A$62&gt;35,AI78+AH79-AQ78,IF(A79&lt;'Données projet'!$A$62,$AF$205^A79,IF(A79='Données projet'!$A$62,'Données projet'!$B$62,AI78+AH79-AQ78)))</f>
        <v>605.79999999999961</v>
      </c>
      <c r="AJ79" s="13">
        <f>AI79*VLOOKUP('Données projet'!$B$10,Paramètres!$A$1:$I$89,3,0)*VLOOKUP('Données projet'!$B$10,Paramètres!$A$1:$I$89,5,0)</f>
        <v>362.26839999999982</v>
      </c>
      <c r="AK79" s="13">
        <f t="shared" si="89"/>
        <v>84.08361463572642</v>
      </c>
      <c r="AL79" s="20">
        <f t="shared" si="58"/>
        <v>777.39642549055645</v>
      </c>
      <c r="AM79" s="59">
        <f t="shared" si="59"/>
        <v>1070.7297588238898</v>
      </c>
      <c r="AN79" s="59">
        <f ca="1">AVERAGE(OFFSET($AM$3,0,0,'Données projet'!$E$10+1,1))-AVERAGE(OFFSET($H$3,0,0,'Données projet'!$E$10+1,1))</f>
        <v>395.40396173178527</v>
      </c>
      <c r="AO79" s="59">
        <f t="shared" si="90"/>
        <v>304.68075128568756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1.2058184298788224</v>
      </c>
      <c r="AV79" s="21">
        <f>EXP(-LN(2)/25)*AV78+(1-EXP(-LN(2)/25))/(LN(2)/25)*Calculateur!AQ79*Calculateur!AS79*VLOOKUP('Données projet'!$B$10,Paramètres!$A$1:$I$89,3,0)*0.475*44/12</f>
        <v>5.2220318916895465</v>
      </c>
      <c r="AW79" s="21">
        <f>EXP(-LN(2)/2)*AW78+(1-EXP(-LN(2)/2))/(LN(2)/2)*AQ79*AT79*VLOOKUP('Données projet'!$B$10,Paramètres!$A$1:$I$89,3,0)*0.475*44/12</f>
        <v>3.1001596774909201E-6</v>
      </c>
      <c r="AX79" s="21">
        <f t="shared" si="60"/>
        <v>6.4278534217280461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36.10000000000008</v>
      </c>
      <c r="BE79" s="13">
        <f>BD79*VLOOKUP('Données projet'!$B$11,Paramètres!$A$1:$I$89,3,0)*VLOOKUP('Données projet'!$B$11,Paramètres!$A$1:$I$89,5,0)</f>
        <v>31.536960000000075</v>
      </c>
      <c r="BF79" s="13">
        <f t="shared" si="91"/>
        <v>9.725440120377133</v>
      </c>
      <c r="BG79" s="20">
        <f t="shared" si="61"/>
        <v>71.865346876323642</v>
      </c>
      <c r="BH79" s="59">
        <f t="shared" si="62"/>
        <v>365.19868020965697</v>
      </c>
      <c r="BI79" s="59">
        <f ca="1">AVERAGE(OFFSET($BH$3,0,0,'Données projet'!$E$11+1,1))-AVERAGE(OFFSET($H$3,0,0,'Données projet'!$E$11+1,1))</f>
        <v>249.21292089724221</v>
      </c>
      <c r="BJ79" s="59">
        <f t="shared" si="92"/>
        <v>640.80644476065254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45.348837253545696</v>
      </c>
      <c r="BQ79" s="21">
        <f>EXP(-LN(2)/25)*BQ78+(1-EXP(-LN(2)/25))/(LN(2)/25)*Calculateur!BL79*Calculateur!BN79*VLOOKUP('Données projet'!$B$11,Paramètres!$A$1:$I$89,3,0)*0.475*44/12</f>
        <v>29.937207060050568</v>
      </c>
      <c r="BR79" s="21">
        <f>EXP(-LN(2)/2)*BR78+(1-EXP(-LN(2)/2))/(LN(2)/2)*BL79*BO79*VLOOKUP('Données projet'!$B$11,Paramètres!$A$1:$I$89,3,0)*0.475*44/12</f>
        <v>9.8394801417920023E-6</v>
      </c>
      <c r="BS79" s="22">
        <f t="shared" si="63"/>
        <v>75.286054153076407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230.40000000000032</v>
      </c>
      <c r="BZ79" s="13">
        <f>BY79*VLOOKUP('Données projet'!$B$12,Paramètres!$A$1:$I$89,3,0)*VLOOKUP('Données projet'!$B$12,Paramètres!$A$1:$I$89,5,0)</f>
        <v>186.90048000000027</v>
      </c>
      <c r="CA79" s="13">
        <f t="shared" si="93"/>
        <v>46.854038395199787</v>
      </c>
      <c r="CB79" s="20">
        <f t="shared" si="64"/>
        <v>407.12245287164006</v>
      </c>
      <c r="CC79" s="59">
        <f t="shared" si="65"/>
        <v>700.45578620497338</v>
      </c>
      <c r="CD79" s="59">
        <f ca="1">AVERAGE(OFFSET($CC$3,0,0,'Données projet'!$E$12+1,1))-AVERAGE(OFFSET($H$3,0,0,'Données projet'!$E$12+1,1))</f>
        <v>192.4785660463869</v>
      </c>
      <c r="CE79" s="59">
        <f t="shared" si="94"/>
        <v>165.11095806515362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0.32562922816534379</v>
      </c>
      <c r="CL79" s="21">
        <f>EXP(-LN(2)/25)*CL78+(1-EXP(-LN(2)/25))/(LN(2)/25)*Calculateur!CG79*Calculateur!CI79*VLOOKUP('Données projet'!$B$12,Paramètres!$A$1:$I$89,3,0)*0.475*44/12</f>
        <v>1.3187315561929516</v>
      </c>
      <c r="CM79" s="21">
        <f>EXP(-LN(2)/2)*CM78+(1-EXP(-LN(2)/2))/(LN(2)/2)*CG79*CJ79*VLOOKUP('Données projet'!$B$12,Paramètres!$A$1:$I$89,3,0)*0.475*44/12</f>
        <v>8.7292437438705567E-7</v>
      </c>
      <c r="CN79" s="22">
        <f t="shared" si="66"/>
        <v>1.6443616572826698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6.4</v>
      </c>
      <c r="CT79" s="12">
        <f>IF('Données projet'!$A$140&gt;35,CT78+CS79-DB78,IF(A79&lt;'Données projet'!$A$140,$CQ$205^A79,IF(A79='Données projet'!$A$140,'Données projet'!$B$140,CT78+CS79-DB78)))</f>
        <v>239.40000000000006</v>
      </c>
      <c r="CU79" s="17">
        <f>CT79*VLOOKUP('Données projet'!$B$13,Paramètres!$A$1:$I$89,3,0)*VLOOKUP('Données projet'!$B$13,Paramètres!$A$1:$I$89,5,0)</f>
        <v>201.67056000000008</v>
      </c>
      <c r="CV79" s="13">
        <f t="shared" si="95"/>
        <v>50.111128324758013</v>
      </c>
      <c r="CW79" s="20">
        <f t="shared" si="67"/>
        <v>438.519773832287</v>
      </c>
      <c r="CX79" s="59">
        <f t="shared" si="68"/>
        <v>731.85310716562026</v>
      </c>
      <c r="CY79" s="59">
        <f ca="1">AVERAGE(OFFSET($CX$3,0,0,'Données projet'!$E$13+1,1))-AVERAGE(OFFSET($H$3,0,0,'Données projet'!$E$13+1,1))</f>
        <v>247.67539667223065</v>
      </c>
      <c r="CZ79" s="59">
        <f t="shared" si="96"/>
        <v>174.54442616983778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0.51528141599790656</v>
      </c>
      <c r="DG79" s="21">
        <f>EXP(-LN(2)/25)*DG78+(1-EXP(-LN(2)/25))/(LN(2)/25)*Calculateur!DB79*Calculateur!DD79*VLOOKUP('Données projet'!$B$13,Paramètres!$A$1:$I$89,3,0)*0.475*44/12</f>
        <v>1.8364997995560262</v>
      </c>
      <c r="DH79" s="21">
        <f>EXP(-LN(2)/2)*DH78+(1-EXP(-LN(2)/2))/(LN(2)/2)*DB79*DE79*VLOOKUP('Données projet'!$B$13,Paramètres!$A$1:$I$89,3,0)*0.475*44/12</f>
        <v>1.3725537420284456E-6</v>
      </c>
      <c r="DI79" s="22">
        <f t="shared" si="69"/>
        <v>2.351782588107675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5.5042735042735051</v>
      </c>
      <c r="DO79" s="12">
        <f>IF('Données projet'!$A$166&gt;35,DO78+DN79-DW78,IF(A79&lt;'Données projet'!$A$166,$DL$205^A79,IF(A79='Données projet'!$A$166,'Données projet'!$B$166,DO78+DN79-DW78)))</f>
        <v>155.97222222222217</v>
      </c>
      <c r="DP79" s="17">
        <f>DO79*VLOOKUP('Données projet'!$B$14,Paramètres!$A$1:$I$89,3,0)*VLOOKUP('Données projet'!$B$14,Paramètres!$A$1:$I$89,5,0)</f>
        <v>155.72266666666664</v>
      </c>
      <c r="DQ79" s="13">
        <f t="shared" si="97"/>
        <v>39.876234728273594</v>
      </c>
      <c r="DR79" s="20">
        <f t="shared" si="70"/>
        <v>340.66808659618761</v>
      </c>
      <c r="DS79" s="59">
        <f t="shared" si="71"/>
        <v>634.00141992952092</v>
      </c>
      <c r="DT79" s="59">
        <f ca="1">AVERAGE(OFFSET($DS$3,0,0,'Données projet'!$E$14+1,1))-AVERAGE(OFFSET($H$3,0,0,'Données projet'!$E$14+1,1))</f>
        <v>245.06609107649069</v>
      </c>
      <c r="DU79" s="59">
        <f t="shared" si="98"/>
        <v>156.24531945456499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3.3010743854446729</v>
      </c>
      <c r="EJ79" s="12">
        <f>IF('Données projet'!$A$192&gt;35,EJ78+EI79-ER78,IF(A79&lt;'Données projet'!$A$192,$EG$205^A79,IF(A79='Données projet'!$A$192,'Données projet'!$B$192,EJ78+EI79-ER78)))</f>
        <v>166.1676257172449</v>
      </c>
      <c r="EK79" s="17">
        <f>EJ79*VLOOKUP('Données projet'!$B$15,Paramètres!$A$1:$I$89,3,0)*VLOOKUP('Données projet'!$B$15,Paramètres!$A$1:$I$89,5,0)</f>
        <v>181.45504728323144</v>
      </c>
      <c r="EL79" s="13">
        <f t="shared" si="99"/>
        <v>45.645755536027998</v>
      </c>
      <c r="EM79" s="20">
        <f t="shared" si="73"/>
        <v>395.53389824354349</v>
      </c>
      <c r="EN79" s="59">
        <f t="shared" si="74"/>
        <v>688.86723157687675</v>
      </c>
      <c r="EO79" s="59">
        <f ca="1">AVERAGE(OFFSET($EN$3,0,0,'Données projet'!$E$15+1,1))-AVERAGE(OFFSET($H$3,0,0,'Données projet'!$E$15+1,1))</f>
        <v>173.63857221119594</v>
      </c>
      <c r="EP79" s="59">
        <f t="shared" si="100"/>
        <v>52.373745617370105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199.58634493109349</v>
      </c>
      <c r="T80" s="59">
        <f t="shared" si="88"/>
        <v>288.66487031729008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1.9700776885841</v>
      </c>
      <c r="AA80" s="21">
        <f>EXP(-LN(2)/25)*AA79+(1-EXP(-LN(2)/25))/(LN(2)/25)*Calculateur!V80*Calculateur!X80*VLOOKUP('Données projet'!$B$9,Paramètres!$A$1:$I$89,3,0)*0.475*44/12</f>
        <v>4.6538939769884022</v>
      </c>
      <c r="AB80" s="21">
        <f>EXP(-LN(2)/2)*AB79+(1-EXP(-LN(2)/2))/(LN(2)/2)*V80*Y80*VLOOKUP('Données projet'!$B$9,Paramètres!$A$1:$I$89,3,0)*0.475*44/12</f>
        <v>2.4865813307519467E-7</v>
      </c>
      <c r="AC80" s="22">
        <f t="shared" si="57"/>
        <v>6.6239719142306352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16.3</v>
      </c>
      <c r="AI80" s="13">
        <f>IF('Données projet'!$A$62&gt;35,AI79+AH80-AQ79,IF(A80&lt;'Données projet'!$A$62,$AF$205^A80,IF(A80='Données projet'!$A$62,'Données projet'!$B$62,AI79+AH80-AQ79)))</f>
        <v>622.09999999999957</v>
      </c>
      <c r="AJ80" s="13">
        <f>AI80*VLOOKUP('Données projet'!$B$10,Paramètres!$A$1:$I$89,3,0)*VLOOKUP('Données projet'!$B$10,Paramètres!$A$1:$I$89,5,0)</f>
        <v>372.01579999999979</v>
      </c>
      <c r="AK80" s="13">
        <f t="shared" si="89"/>
        <v>86.079573188237205</v>
      </c>
      <c r="AL80" s="20">
        <f t="shared" si="58"/>
        <v>797.84944163617945</v>
      </c>
      <c r="AM80" s="59">
        <f t="shared" si="59"/>
        <v>1091.1827749695128</v>
      </c>
      <c r="AN80" s="59">
        <f ca="1">AVERAGE(OFFSET($AM$3,0,0,'Données projet'!$E$10+1,1))-AVERAGE(OFFSET($H$3,0,0,'Données projet'!$E$10+1,1))</f>
        <v>395.40396173178527</v>
      </c>
      <c r="AO80" s="59">
        <f t="shared" si="90"/>
        <v>304.68075128568756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1.1821730659455185</v>
      </c>
      <c r="AV80" s="21">
        <f>EXP(-LN(2)/25)*AV79+(1-EXP(-LN(2)/25))/(LN(2)/25)*Calculateur!AQ80*Calculateur!AS80*VLOOKUP('Données projet'!$B$10,Paramètres!$A$1:$I$89,3,0)*0.475*44/12</f>
        <v>5.0792351549965735</v>
      </c>
      <c r="AW80" s="21">
        <f>EXP(-LN(2)/2)*AW79+(1-EXP(-LN(2)/2))/(LN(2)/2)*AQ80*AT80*VLOOKUP('Données projet'!$B$10,Paramètres!$A$1:$I$89,3,0)*0.475*44/12</f>
        <v>2.1921439307149297E-6</v>
      </c>
      <c r="AX80" s="21">
        <f t="shared" si="60"/>
        <v>6.2614104130860229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36.10000000000008</v>
      </c>
      <c r="BE80" s="13">
        <f>BD80*VLOOKUP('Données projet'!$B$11,Paramètres!$A$1:$I$89,3,0)*VLOOKUP('Données projet'!$B$11,Paramètres!$A$1:$I$89,5,0)</f>
        <v>31.536960000000075</v>
      </c>
      <c r="BF80" s="13">
        <f t="shared" si="91"/>
        <v>9.725440120377133</v>
      </c>
      <c r="BG80" s="20">
        <f t="shared" si="61"/>
        <v>71.865346876323642</v>
      </c>
      <c r="BH80" s="59">
        <f t="shared" si="62"/>
        <v>365.19868020965697</v>
      </c>
      <c r="BI80" s="59">
        <f ca="1">AVERAGE(OFFSET($BH$3,0,0,'Données projet'!$E$11+1,1))-AVERAGE(OFFSET($H$3,0,0,'Données projet'!$E$11+1,1))</f>
        <v>249.21292089724221</v>
      </c>
      <c r="BJ80" s="59">
        <f t="shared" si="92"/>
        <v>640.80644476065254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44.459574215063185</v>
      </c>
      <c r="BQ80" s="21">
        <f>EXP(-LN(2)/25)*BQ79+(1-EXP(-LN(2)/25))/(LN(2)/25)*Calculateur!BL80*Calculateur!BN80*VLOOKUP('Données projet'!$B$11,Paramètres!$A$1:$I$89,3,0)*0.475*44/12</f>
        <v>29.118572558664187</v>
      </c>
      <c r="BR80" s="21">
        <f>EXP(-LN(2)/2)*BR79+(1-EXP(-LN(2)/2))/(LN(2)/2)*BL80*BO80*VLOOKUP('Données projet'!$B$11,Paramètres!$A$1:$I$89,3,0)*0.475*44/12</f>
        <v>6.9575631316114971E-6</v>
      </c>
      <c r="BS80" s="22">
        <f t="shared" si="63"/>
        <v>73.578153731290499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234.80000000000032</v>
      </c>
      <c r="BZ80" s="13">
        <f>BY80*VLOOKUP('Données projet'!$B$12,Paramètres!$A$1:$I$89,3,0)*VLOOKUP('Données projet'!$B$12,Paramètres!$A$1:$I$89,5,0)</f>
        <v>190.46976000000029</v>
      </c>
      <c r="CA80" s="13">
        <f t="shared" si="93"/>
        <v>47.643795186675668</v>
      </c>
      <c r="CB80" s="20">
        <f t="shared" si="64"/>
        <v>414.71444195012731</v>
      </c>
      <c r="CC80" s="59">
        <f t="shared" si="65"/>
        <v>708.04777528346062</v>
      </c>
      <c r="CD80" s="59">
        <f ca="1">AVERAGE(OFFSET($CC$3,0,0,'Données projet'!$E$12+1,1))-AVERAGE(OFFSET($H$3,0,0,'Données projet'!$E$12+1,1))</f>
        <v>192.4785660463869</v>
      </c>
      <c r="CE80" s="59">
        <f t="shared" si="94"/>
        <v>165.11095806515362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0.31924383761523906</v>
      </c>
      <c r="CL80" s="21">
        <f>EXP(-LN(2)/25)*CL79+(1-EXP(-LN(2)/25))/(LN(2)/25)*Calculateur!CG80*Calculateur!CI80*VLOOKUP('Données projet'!$B$12,Paramètres!$A$1:$I$89,3,0)*0.475*44/12</f>
        <v>1.2826707724397768</v>
      </c>
      <c r="CM80" s="21">
        <f>EXP(-LN(2)/2)*CM79+(1-EXP(-LN(2)/2))/(LN(2)/2)*CG80*CJ80*VLOOKUP('Données projet'!$B$12,Paramètres!$A$1:$I$89,3,0)*0.475*44/12</f>
        <v>6.1725074459211166E-7</v>
      </c>
      <c r="CN80" s="22">
        <f t="shared" si="66"/>
        <v>1.6019152273057604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6.4</v>
      </c>
      <c r="CT80" s="12">
        <f>IF('Données projet'!$A$140&gt;35,CT79+CS80-DB79,IF(A80&lt;'Données projet'!$A$140,$CQ$205^A80,IF(A80='Données projet'!$A$140,'Données projet'!$B$140,CT79+CS80-DB79)))</f>
        <v>245.80000000000007</v>
      </c>
      <c r="CU80" s="17">
        <f>CT80*VLOOKUP('Données projet'!$B$13,Paramètres!$A$1:$I$89,3,0)*VLOOKUP('Données projet'!$B$13,Paramètres!$A$1:$I$89,5,0)</f>
        <v>207.0619200000001</v>
      </c>
      <c r="CV80" s="13">
        <f t="shared" si="95"/>
        <v>51.293015758902222</v>
      </c>
      <c r="CW80" s="20">
        <f t="shared" si="67"/>
        <v>449.96817978008818</v>
      </c>
      <c r="CX80" s="59">
        <f t="shared" si="68"/>
        <v>743.30151311342149</v>
      </c>
      <c r="CY80" s="59">
        <f ca="1">AVERAGE(OFFSET($CX$3,0,0,'Données projet'!$E$13+1,1))-AVERAGE(OFFSET($H$3,0,0,'Données projet'!$E$13+1,1))</f>
        <v>247.67539667223065</v>
      </c>
      <c r="CZ80" s="59">
        <f t="shared" si="96"/>
        <v>174.54442616983778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0.50517706172081778</v>
      </c>
      <c r="DG80" s="21">
        <f>EXP(-LN(2)/25)*DG79+(1-EXP(-LN(2)/25))/(LN(2)/25)*Calculateur!DB80*Calculateur!DD80*VLOOKUP('Données projet'!$B$13,Paramètres!$A$1:$I$89,3,0)*0.475*44/12</f>
        <v>1.7862806159598394</v>
      </c>
      <c r="DH80" s="21">
        <f>EXP(-LN(2)/2)*DH79+(1-EXP(-LN(2)/2))/(LN(2)/2)*DB80*DE80*VLOOKUP('Données projet'!$B$13,Paramètres!$A$1:$I$89,3,0)*0.475*44/12</f>
        <v>9.7054205853128507E-7</v>
      </c>
      <c r="DI80" s="22">
        <f t="shared" si="69"/>
        <v>2.2914586482227159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5.5042735042735051</v>
      </c>
      <c r="DO80" s="12">
        <f>IF('Données projet'!$A$166&gt;35,DO79+DN80-DW79,IF(A80&lt;'Données projet'!$A$166,$DL$205^A80,IF(A80='Données projet'!$A$166,'Données projet'!$B$166,DO79+DN80-DW79)))</f>
        <v>161.47649572649567</v>
      </c>
      <c r="DP80" s="17">
        <f>DO80*VLOOKUP('Données projet'!$B$14,Paramètres!$A$1:$I$89,3,0)*VLOOKUP('Données projet'!$B$14,Paramètres!$A$1:$I$89,5,0)</f>
        <v>161.2181333333333</v>
      </c>
      <c r="DQ80" s="13">
        <f t="shared" si="97"/>
        <v>41.117147381658619</v>
      </c>
      <c r="DR80" s="20">
        <f t="shared" si="70"/>
        <v>352.40061391194422</v>
      </c>
      <c r="DS80" s="59">
        <f t="shared" si="71"/>
        <v>645.73394724527748</v>
      </c>
      <c r="DT80" s="59">
        <f ca="1">AVERAGE(OFFSET($DS$3,0,0,'Données projet'!$E$14+1,1))-AVERAGE(OFFSET($H$3,0,0,'Données projet'!$E$14+1,1))</f>
        <v>245.06609107649069</v>
      </c>
      <c r="DU80" s="59">
        <f t="shared" si="98"/>
        <v>156.24531945456499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3.3010743854446729</v>
      </c>
      <c r="EJ80" s="12">
        <f>IF('Données projet'!$A$192&gt;35,EJ79+EI80-ER79,IF(A80&lt;'Données projet'!$A$192,$EG$205^A80,IF(A80='Données projet'!$A$192,'Données projet'!$B$192,EJ79+EI80-ER79)))</f>
        <v>169.46870010268958</v>
      </c>
      <c r="EK80" s="17">
        <f>EJ80*VLOOKUP('Données projet'!$B$15,Paramètres!$A$1:$I$89,3,0)*VLOOKUP('Données projet'!$B$15,Paramètres!$A$1:$I$89,5,0)</f>
        <v>185.05982051213701</v>
      </c>
      <c r="EL80" s="13">
        <f t="shared" si="99"/>
        <v>46.446080310079715</v>
      </c>
      <c r="EM80" s="20">
        <f t="shared" si="73"/>
        <v>403.20611059869407</v>
      </c>
      <c r="EN80" s="59">
        <f t="shared" si="74"/>
        <v>696.53944393202732</v>
      </c>
      <c r="EO80" s="59">
        <f ca="1">AVERAGE(OFFSET($EN$3,0,0,'Données projet'!$E$15+1,1))-AVERAGE(OFFSET($H$3,0,0,'Données projet'!$E$15+1,1))</f>
        <v>173.63857221119594</v>
      </c>
      <c r="EP80" s="59">
        <f t="shared" si="100"/>
        <v>52.373745617370105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199.58634493109349</v>
      </c>
      <c r="T81" s="59">
        <f t="shared" si="88"/>
        <v>288.66487031729008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1.9314456667397049</v>
      </c>
      <c r="AA81" s="21">
        <f>EXP(-LN(2)/25)*AA80+(1-EXP(-LN(2)/25))/(LN(2)/25)*Calculateur!V81*Calculateur!X81*VLOOKUP('Données projet'!$B$9,Paramètres!$A$1:$I$89,3,0)*0.475*44/12</f>
        <v>4.5266330014500067</v>
      </c>
      <c r="AB81" s="21">
        <f>EXP(-LN(2)/2)*AB80+(1-EXP(-LN(2)/2))/(LN(2)/2)*V81*Y81*VLOOKUP('Données projet'!$B$9,Paramètres!$A$1:$I$89,3,0)*0.475*44/12</f>
        <v>1.7582785209465709E-7</v>
      </c>
      <c r="AC81" s="22">
        <f t="shared" si="57"/>
        <v>6.4580788440175638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16.3</v>
      </c>
      <c r="AI81" s="13">
        <f>IF('Données projet'!$A$62&gt;35,AI80+AH81-AQ80,IF(A81&lt;'Données projet'!$A$62,$AF$205^A81,IF(A81='Données projet'!$A$62,'Données projet'!$B$62,AI80+AH81-AQ80)))</f>
        <v>638.39999999999952</v>
      </c>
      <c r="AJ81" s="13">
        <f>AI81*VLOOKUP('Données projet'!$B$10,Paramètres!$A$1:$I$89,3,0)*VLOOKUP('Données projet'!$B$10,Paramètres!$A$1:$I$89,5,0)</f>
        <v>381.76319999999976</v>
      </c>
      <c r="AK81" s="13">
        <f t="shared" si="89"/>
        <v>88.069452878291912</v>
      </c>
      <c r="AL81" s="20">
        <f t="shared" si="58"/>
        <v>818.29187042969136</v>
      </c>
      <c r="AM81" s="59">
        <f t="shared" si="59"/>
        <v>1111.6252037630247</v>
      </c>
      <c r="AN81" s="59">
        <f ca="1">AVERAGE(OFFSET($AM$3,0,0,'Données projet'!$E$10+1,1))-AVERAGE(OFFSET($H$3,0,0,'Données projet'!$E$10+1,1))</f>
        <v>395.40396173178527</v>
      </c>
      <c r="AO81" s="59">
        <f t="shared" si="90"/>
        <v>304.68075128568756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1.158991373176699</v>
      </c>
      <c r="AV81" s="21">
        <f>EXP(-LN(2)/25)*AV80+(1-EXP(-LN(2)/25))/(LN(2)/25)*Calculateur!AQ81*Calculateur!AS81*VLOOKUP('Données projet'!$B$10,Paramètres!$A$1:$I$89,3,0)*0.475*44/12</f>
        <v>4.9403432025778242</v>
      </c>
      <c r="AW81" s="21">
        <f>EXP(-LN(2)/2)*AW80+(1-EXP(-LN(2)/2))/(LN(2)/2)*AQ81*AT81*VLOOKUP('Données projet'!$B$10,Paramètres!$A$1:$I$89,3,0)*0.475*44/12</f>
        <v>1.5500798387454601E-6</v>
      </c>
      <c r="AX81" s="21">
        <f t="shared" si="60"/>
        <v>6.0993361258343617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36.10000000000008</v>
      </c>
      <c r="BE81" s="13">
        <f>BD81*VLOOKUP('Données projet'!$B$11,Paramètres!$A$1:$I$89,3,0)*VLOOKUP('Données projet'!$B$11,Paramètres!$A$1:$I$89,5,0)</f>
        <v>31.536960000000075</v>
      </c>
      <c r="BF81" s="13">
        <f t="shared" si="91"/>
        <v>9.725440120377133</v>
      </c>
      <c r="BG81" s="20">
        <f t="shared" si="61"/>
        <v>71.865346876323642</v>
      </c>
      <c r="BH81" s="59">
        <f t="shared" si="62"/>
        <v>365.19868020965697</v>
      </c>
      <c r="BI81" s="59">
        <f ca="1">AVERAGE(OFFSET($BH$3,0,0,'Données projet'!$E$11+1,1))-AVERAGE(OFFSET($H$3,0,0,'Données projet'!$E$11+1,1))</f>
        <v>249.21292089724221</v>
      </c>
      <c r="BJ81" s="59">
        <f t="shared" si="92"/>
        <v>640.80644476065254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43.587749082368418</v>
      </c>
      <c r="BQ81" s="21">
        <f>EXP(-LN(2)/25)*BQ80+(1-EXP(-LN(2)/25))/(LN(2)/25)*Calculateur!BL81*Calculateur!BN81*VLOOKUP('Données projet'!$B$11,Paramètres!$A$1:$I$89,3,0)*0.475*44/12</f>
        <v>28.322323660768337</v>
      </c>
      <c r="BR81" s="21">
        <f>EXP(-LN(2)/2)*BR80+(1-EXP(-LN(2)/2))/(LN(2)/2)*BL81*BO81*VLOOKUP('Données projet'!$B$11,Paramètres!$A$1:$I$89,3,0)*0.475*44/12</f>
        <v>4.9197400708960012E-6</v>
      </c>
      <c r="BS81" s="22">
        <f t="shared" si="63"/>
        <v>71.910077662876816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239.20000000000033</v>
      </c>
      <c r="BZ81" s="13">
        <f>BY81*VLOOKUP('Données projet'!$B$12,Paramètres!$A$1:$I$89,3,0)*VLOOKUP('Données projet'!$B$12,Paramètres!$A$1:$I$89,5,0)</f>
        <v>194.03904000000028</v>
      </c>
      <c r="CA81" s="13">
        <f t="shared" si="93"/>
        <v>48.431831083693268</v>
      </c>
      <c r="CB81" s="20">
        <f t="shared" si="64"/>
        <v>422.3034338040996</v>
      </c>
      <c r="CC81" s="59">
        <f t="shared" si="65"/>
        <v>715.63676713743291</v>
      </c>
      <c r="CD81" s="59">
        <f ca="1">AVERAGE(OFFSET($CC$3,0,0,'Données projet'!$E$12+1,1))-AVERAGE(OFFSET($H$3,0,0,'Données projet'!$E$12+1,1))</f>
        <v>192.4785660463869</v>
      </c>
      <c r="CE81" s="59">
        <f t="shared" si="94"/>
        <v>165.11095806515362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0.3129836606791182</v>
      </c>
      <c r="CL81" s="21">
        <f>EXP(-LN(2)/25)*CL80+(1-EXP(-LN(2)/25))/(LN(2)/25)*Calculateur!CG81*Calculateur!CI81*VLOOKUP('Données projet'!$B$12,Paramètres!$A$1:$I$89,3,0)*0.475*44/12</f>
        <v>1.2475960727146866</v>
      </c>
      <c r="CM81" s="21">
        <f>EXP(-LN(2)/2)*CM80+(1-EXP(-LN(2)/2))/(LN(2)/2)*CG81*CJ81*VLOOKUP('Données projet'!$B$12,Paramètres!$A$1:$I$89,3,0)*0.475*44/12</f>
        <v>4.3646218719352784E-7</v>
      </c>
      <c r="CN81" s="22">
        <f t="shared" si="66"/>
        <v>1.5605801698559922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6.4</v>
      </c>
      <c r="CT81" s="12">
        <f>IF('Données projet'!$A$140&gt;35,CT80+CS81-DB80,IF(A81&lt;'Données projet'!$A$140,$CQ$205^A81,IF(A81='Données projet'!$A$140,'Données projet'!$B$140,CT80+CS81-DB80)))</f>
        <v>252.20000000000007</v>
      </c>
      <c r="CU81" s="17">
        <f>CT81*VLOOKUP('Données projet'!$B$13,Paramètres!$A$1:$I$89,3,0)*VLOOKUP('Données projet'!$B$13,Paramètres!$A$1:$I$89,5,0)</f>
        <v>212.45328000000006</v>
      </c>
      <c r="CV81" s="13">
        <f t="shared" si="95"/>
        <v>52.471326175280439</v>
      </c>
      <c r="CW81" s="20">
        <f t="shared" si="67"/>
        <v>461.41035575528014</v>
      </c>
      <c r="CX81" s="59">
        <f t="shared" si="68"/>
        <v>754.74368908861345</v>
      </c>
      <c r="CY81" s="59">
        <f ca="1">AVERAGE(OFFSET($CX$3,0,0,'Données projet'!$E$13+1,1))-AVERAGE(OFFSET($H$3,0,0,'Données projet'!$E$13+1,1))</f>
        <v>247.67539667223065</v>
      </c>
      <c r="CZ81" s="59">
        <f t="shared" si="96"/>
        <v>174.54442616983778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0.49527084766805513</v>
      </c>
      <c r="DG81" s="21">
        <f>EXP(-LN(2)/25)*DG80+(1-EXP(-LN(2)/25))/(LN(2)/25)*Calculateur!DB81*Calculateur!DD81*VLOOKUP('Données projet'!$B$13,Paramètres!$A$1:$I$89,3,0)*0.475*44/12</f>
        <v>1.7374346785800026</v>
      </c>
      <c r="DH81" s="21">
        <f>EXP(-LN(2)/2)*DH80+(1-EXP(-LN(2)/2))/(LN(2)/2)*DB81*DE81*VLOOKUP('Données projet'!$B$13,Paramètres!$A$1:$I$89,3,0)*0.475*44/12</f>
        <v>6.862768710142228E-7</v>
      </c>
      <c r="DI81" s="22">
        <f t="shared" si="69"/>
        <v>2.2327062125249286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5.5042735042735051</v>
      </c>
      <c r="DO81" s="12">
        <f>IF('Données projet'!$A$166&gt;35,DO80+DN81-DW80,IF(A81&lt;'Données projet'!$A$166,$DL$205^A81,IF(A81='Données projet'!$A$166,'Données projet'!$B$166,DO80+DN81-DW80)))</f>
        <v>166.98076923076917</v>
      </c>
      <c r="DP81" s="17">
        <f>DO81*VLOOKUP('Données projet'!$B$14,Paramètres!$A$1:$I$89,3,0)*VLOOKUP('Données projet'!$B$14,Paramètres!$A$1:$I$89,5,0)</f>
        <v>166.71359999999993</v>
      </c>
      <c r="DQ81" s="13">
        <f t="shared" si="97"/>
        <v>42.35314516047071</v>
      </c>
      <c r="DR81" s="20">
        <f t="shared" si="70"/>
        <v>364.12458115448635</v>
      </c>
      <c r="DS81" s="59">
        <f t="shared" si="71"/>
        <v>657.45791448781961</v>
      </c>
      <c r="DT81" s="59">
        <f ca="1">AVERAGE(OFFSET($DS$3,0,0,'Données projet'!$E$14+1,1))-AVERAGE(OFFSET($H$3,0,0,'Données projet'!$E$14+1,1))</f>
        <v>245.06609107649069</v>
      </c>
      <c r="DU81" s="59">
        <f t="shared" si="98"/>
        <v>156.24531945456499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3.3010743854446729</v>
      </c>
      <c r="EJ81" s="12">
        <f>IF('Données projet'!$A$192&gt;35,EJ80+EI81-ER80,IF(A81&lt;'Données projet'!$A$192,$EG$205^A81,IF(A81='Données projet'!$A$192,'Données projet'!$B$192,EJ80+EI81-ER80)))</f>
        <v>172.76977448813426</v>
      </c>
      <c r="EK81" s="17">
        <f>EJ81*VLOOKUP('Données projet'!$B$15,Paramètres!$A$1:$I$89,3,0)*VLOOKUP('Données projet'!$B$15,Paramètres!$A$1:$I$89,5,0)</f>
        <v>188.66459374104261</v>
      </c>
      <c r="EL81" s="13">
        <f t="shared" si="99"/>
        <v>47.244592401261677</v>
      </c>
      <c r="EM81" s="20">
        <f t="shared" si="73"/>
        <v>410.87516586451329</v>
      </c>
      <c r="EN81" s="59">
        <f t="shared" si="74"/>
        <v>704.20849919784655</v>
      </c>
      <c r="EO81" s="59">
        <f ca="1">AVERAGE(OFFSET($EN$3,0,0,'Données projet'!$E$15+1,1))-AVERAGE(OFFSET($H$3,0,0,'Données projet'!$E$15+1,1))</f>
        <v>173.63857221119594</v>
      </c>
      <c r="EP81" s="59">
        <f t="shared" si="100"/>
        <v>52.373745617370105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199.58634493109349</v>
      </c>
      <c r="T82" s="59">
        <f t="shared" si="88"/>
        <v>288.66487031729008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1.8935711952804717</v>
      </c>
      <c r="AA82" s="21">
        <f>EXP(-LN(2)/25)*AA81+(1-EXP(-LN(2)/25))/(LN(2)/25)*Calculateur!V82*Calculateur!X82*VLOOKUP('Données projet'!$B$9,Paramètres!$A$1:$I$89,3,0)*0.475*44/12</f>
        <v>4.4028519839800726</v>
      </c>
      <c r="AB82" s="21">
        <f>EXP(-LN(2)/2)*AB81+(1-EXP(-LN(2)/2))/(LN(2)/2)*V82*Y82*VLOOKUP('Données projet'!$B$9,Paramètres!$A$1:$I$89,3,0)*0.475*44/12</f>
        <v>1.2432906653759733E-7</v>
      </c>
      <c r="AC82" s="22">
        <f t="shared" si="57"/>
        <v>6.2964233035896102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16.3</v>
      </c>
      <c r="AI82" s="13">
        <f>IF('Données projet'!$A$62&gt;35,AI81+AH82-AQ81,IF(A82&lt;'Données projet'!$A$62,$AF$205^A82,IF(A82='Données projet'!$A$62,'Données projet'!$B$62,AI81+AH82-AQ81)))</f>
        <v>654.69999999999948</v>
      </c>
      <c r="AJ82" s="13">
        <f>AI82*VLOOKUP('Données projet'!$B$10,Paramètres!$A$1:$I$89,3,0)*VLOOKUP('Données projet'!$B$10,Paramètres!$A$1:$I$89,5,0)</f>
        <v>391.51059999999967</v>
      </c>
      <c r="AK82" s="13">
        <f t="shared" si="89"/>
        <v>90.053426762091306</v>
      </c>
      <c r="AL82" s="20">
        <f t="shared" si="58"/>
        <v>838.72401327730847</v>
      </c>
      <c r="AM82" s="59">
        <f t="shared" si="59"/>
        <v>1132.0573466106418</v>
      </c>
      <c r="AN82" s="59">
        <f ca="1">AVERAGE(OFFSET($AM$3,0,0,'Données projet'!$E$10+1,1))-AVERAGE(OFFSET($H$3,0,0,'Données projet'!$E$10+1,1))</f>
        <v>395.40396173178527</v>
      </c>
      <c r="AO82" s="59">
        <f t="shared" si="90"/>
        <v>304.68075128568756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1.1362642592636396</v>
      </c>
      <c r="AV82" s="21">
        <f>EXP(-LN(2)/25)*AV81+(1-EXP(-LN(2)/25))/(LN(2)/25)*Calculateur!AQ82*Calculateur!AS82*VLOOKUP('Données projet'!$B$10,Paramètres!$A$1:$I$89,3,0)*0.475*44/12</f>
        <v>4.8052492579019761</v>
      </c>
      <c r="AW82" s="21">
        <f>EXP(-LN(2)/2)*AW81+(1-EXP(-LN(2)/2))/(LN(2)/2)*AQ82*AT82*VLOOKUP('Données projet'!$B$10,Paramètres!$A$1:$I$89,3,0)*0.475*44/12</f>
        <v>1.0960719653574649E-6</v>
      </c>
      <c r="AX82" s="21">
        <f t="shared" si="60"/>
        <v>5.9415146132375813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36.10000000000008</v>
      </c>
      <c r="BE82" s="13">
        <f>BD82*VLOOKUP('Données projet'!$B$11,Paramètres!$A$1:$I$89,3,0)*VLOOKUP('Données projet'!$B$11,Paramètres!$A$1:$I$89,5,0)</f>
        <v>31.536960000000075</v>
      </c>
      <c r="BF82" s="13">
        <f t="shared" si="91"/>
        <v>9.725440120377133</v>
      </c>
      <c r="BG82" s="20">
        <f t="shared" si="61"/>
        <v>71.865346876323642</v>
      </c>
      <c r="BH82" s="59">
        <f t="shared" si="62"/>
        <v>365.19868020965697</v>
      </c>
      <c r="BI82" s="59">
        <f ca="1">AVERAGE(OFFSET($BH$3,0,0,'Données projet'!$E$11+1,1))-AVERAGE(OFFSET($H$3,0,0,'Données projet'!$E$11+1,1))</f>
        <v>249.21292089724221</v>
      </c>
      <c r="BJ82" s="59">
        <f t="shared" si="92"/>
        <v>640.80644476065254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42.733019908764973</v>
      </c>
      <c r="BQ82" s="21">
        <f>EXP(-LN(2)/25)*BQ81+(1-EXP(-LN(2)/25))/(LN(2)/25)*Calculateur!BL82*Calculateur!BN82*VLOOKUP('Données projet'!$B$11,Paramètres!$A$1:$I$89,3,0)*0.475*44/12</f>
        <v>27.547848230858357</v>
      </c>
      <c r="BR82" s="21">
        <f>EXP(-LN(2)/2)*BR81+(1-EXP(-LN(2)/2))/(LN(2)/2)*BL82*BO82*VLOOKUP('Données projet'!$B$11,Paramètres!$A$1:$I$89,3,0)*0.475*44/12</f>
        <v>3.4787815658057485E-6</v>
      </c>
      <c r="BS82" s="22">
        <f t="shared" si="63"/>
        <v>70.280871618404888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243.60000000000034</v>
      </c>
      <c r="BZ82" s="13">
        <f>BY82*VLOOKUP('Données projet'!$B$12,Paramètres!$A$1:$I$89,3,0)*VLOOKUP('Données projet'!$B$12,Paramètres!$A$1:$I$89,5,0)</f>
        <v>197.60832000000028</v>
      </c>
      <c r="CA82" s="13">
        <f t="shared" si="93"/>
        <v>49.218181392381446</v>
      </c>
      <c r="CB82" s="20">
        <f t="shared" si="64"/>
        <v>429.88948992506477</v>
      </c>
      <c r="CC82" s="59">
        <f t="shared" si="65"/>
        <v>723.22282325839808</v>
      </c>
      <c r="CD82" s="59">
        <f ca="1">AVERAGE(OFFSET($CC$3,0,0,'Données projet'!$E$12+1,1))-AVERAGE(OFFSET($H$3,0,0,'Données projet'!$E$12+1,1))</f>
        <v>192.4785660463869</v>
      </c>
      <c r="CE82" s="59">
        <f t="shared" si="94"/>
        <v>165.11095806515362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0.30684624199438376</v>
      </c>
      <c r="CL82" s="21">
        <f>EXP(-LN(2)/25)*CL81+(1-EXP(-LN(2)/25))/(LN(2)/25)*Calculateur!CG82*Calculateur!CI82*VLOOKUP('Données projet'!$B$12,Paramètres!$A$1:$I$89,3,0)*0.475*44/12</f>
        <v>1.2134804924980775</v>
      </c>
      <c r="CM82" s="21">
        <f>EXP(-LN(2)/2)*CM81+(1-EXP(-LN(2)/2))/(LN(2)/2)*CG82*CJ82*VLOOKUP('Données projet'!$B$12,Paramètres!$A$1:$I$89,3,0)*0.475*44/12</f>
        <v>3.0862537229605583E-7</v>
      </c>
      <c r="CN82" s="22">
        <f t="shared" si="66"/>
        <v>1.5203270431178337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6.4</v>
      </c>
      <c r="CT82" s="12">
        <f>IF('Données projet'!$A$140&gt;35,CT81+CS82-DB81,IF(A82&lt;'Données projet'!$A$140,$CQ$205^A82,IF(A82='Données projet'!$A$140,'Données projet'!$B$140,CT81+CS82-DB81)))</f>
        <v>258.60000000000008</v>
      </c>
      <c r="CU82" s="17">
        <f>CT82*VLOOKUP('Données projet'!$B$13,Paramètres!$A$1:$I$89,3,0)*VLOOKUP('Données projet'!$B$13,Paramètres!$A$1:$I$89,5,0)</f>
        <v>217.84464000000011</v>
      </c>
      <c r="CV82" s="13">
        <f t="shared" si="95"/>
        <v>53.646160785163993</v>
      </c>
      <c r="CW82" s="20">
        <f t="shared" si="67"/>
        <v>472.84647803416073</v>
      </c>
      <c r="CX82" s="59">
        <f t="shared" si="68"/>
        <v>766.17981136749404</v>
      </c>
      <c r="CY82" s="59">
        <f ca="1">AVERAGE(OFFSET($CX$3,0,0,'Données projet'!$E$13+1,1))-AVERAGE(OFFSET($H$3,0,0,'Données projet'!$E$13+1,1))</f>
        <v>247.67539667223065</v>
      </c>
      <c r="CZ82" s="59">
        <f t="shared" si="96"/>
        <v>174.54442616983778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0.48555888843067319</v>
      </c>
      <c r="DG82" s="21">
        <f>EXP(-LN(2)/25)*DG81+(1-EXP(-LN(2)/25))/(LN(2)/25)*Calculateur!DB82*Calculateur!DD82*VLOOKUP('Données projet'!$B$13,Paramètres!$A$1:$I$89,3,0)*0.475*44/12</f>
        <v>1.6899244359265135</v>
      </c>
      <c r="DH82" s="21">
        <f>EXP(-LN(2)/2)*DH81+(1-EXP(-LN(2)/2))/(LN(2)/2)*DB82*DE82*VLOOKUP('Données projet'!$B$13,Paramètres!$A$1:$I$89,3,0)*0.475*44/12</f>
        <v>4.8527102926564253E-7</v>
      </c>
      <c r="DI82" s="22">
        <f t="shared" si="69"/>
        <v>2.1754838096282159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5.5042735042735051</v>
      </c>
      <c r="DO82" s="12">
        <f>IF('Données projet'!$A$166&gt;35,DO81+DN82-DW81,IF(A82&lt;'Données projet'!$A$166,$DL$205^A82,IF(A82='Données projet'!$A$166,'Données projet'!$B$166,DO81+DN82-DW81)))</f>
        <v>172.48504273504267</v>
      </c>
      <c r="DP82" s="17">
        <f>DO82*VLOOKUP('Données projet'!$B$14,Paramètres!$A$1:$I$89,3,0)*VLOOKUP('Données projet'!$B$14,Paramètres!$A$1:$I$89,5,0)</f>
        <v>172.20906666666662</v>
      </c>
      <c r="DQ82" s="13">
        <f t="shared" si="97"/>
        <v>43.584408654273936</v>
      </c>
      <c r="DR82" s="20">
        <f t="shared" si="70"/>
        <v>375.84030285063812</v>
      </c>
      <c r="DS82" s="59">
        <f t="shared" si="71"/>
        <v>669.17363618397144</v>
      </c>
      <c r="DT82" s="59">
        <f ca="1">AVERAGE(OFFSET($DS$3,0,0,'Données projet'!$E$14+1,1))-AVERAGE(OFFSET($H$3,0,0,'Données projet'!$E$14+1,1))</f>
        <v>245.06609107649069</v>
      </c>
      <c r="DU82" s="59">
        <f t="shared" si="98"/>
        <v>156.24531945456499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3.3010743854446729</v>
      </c>
      <c r="EJ82" s="12">
        <f>IF('Données projet'!$A$192&gt;35,EJ81+EI82-ER81,IF(A82&lt;'Données projet'!$A$192,$EG$205^A82,IF(A82='Données projet'!$A$192,'Données projet'!$B$192,EJ81+EI82-ER81)))</f>
        <v>176.07084887357894</v>
      </c>
      <c r="EK82" s="17">
        <f>EJ82*VLOOKUP('Données projet'!$B$15,Paramètres!$A$1:$I$89,3,0)*VLOOKUP('Données projet'!$B$15,Paramètres!$A$1:$I$89,5,0)</f>
        <v>192.26936696994821</v>
      </c>
      <c r="EL82" s="13">
        <f t="shared" si="99"/>
        <v>48.041330437346119</v>
      </c>
      <c r="EM82" s="20">
        <f t="shared" si="73"/>
        <v>418.54113131770424</v>
      </c>
      <c r="EN82" s="59">
        <f t="shared" si="74"/>
        <v>711.87446465103756</v>
      </c>
      <c r="EO82" s="59">
        <f ca="1">AVERAGE(OFFSET($EN$3,0,0,'Données projet'!$E$15+1,1))-AVERAGE(OFFSET($H$3,0,0,'Données projet'!$E$15+1,1))</f>
        <v>173.63857221119594</v>
      </c>
      <c r="EP82" s="59">
        <f t="shared" si="100"/>
        <v>52.373745617370105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199.58634493109349</v>
      </c>
      <c r="T83" s="59">
        <f t="shared" si="88"/>
        <v>288.66487031729008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1.8564394191054074</v>
      </c>
      <c r="AA83" s="21">
        <f>EXP(-LN(2)/25)*AA82+(1-EXP(-LN(2)/25))/(LN(2)/25)*Calculateur!V83*Calculateur!X83*VLOOKUP('Données projet'!$B$9,Paramètres!$A$1:$I$89,3,0)*0.475*44/12</f>
        <v>4.2824557649422141</v>
      </c>
      <c r="AB83" s="21">
        <f>EXP(-LN(2)/2)*AB82+(1-EXP(-LN(2)/2))/(LN(2)/2)*V83*Y83*VLOOKUP('Données projet'!$B$9,Paramètres!$A$1:$I$89,3,0)*0.475*44/12</f>
        <v>8.7913926047328547E-8</v>
      </c>
      <c r="AC83" s="22">
        <f t="shared" si="57"/>
        <v>6.1388952719615473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671</v>
      </c>
      <c r="AG83" s="12">
        <f>VLOOKUP(A83,'Données projet'!$A$61:$I$81,9,0)</f>
        <v>16.3</v>
      </c>
      <c r="AH83" s="12">
        <f t="array" ref="AH83">INDEX(AG:AG,MIN(IF(ISNUMBER(AG83:AG279),ROW(AG83:AG279),"")))</f>
        <v>16.3</v>
      </c>
      <c r="AI83" s="13">
        <f>IF('Données projet'!$A$62&gt;35,AI82+AH83-AQ82,IF(A83&lt;'Données projet'!$A$62,$AF$205^A83,IF(A83='Données projet'!$A$62,'Données projet'!$B$62,AI82+AH83-AQ82)))</f>
        <v>670.99999999999943</v>
      </c>
      <c r="AJ83" s="13">
        <f>AI83*VLOOKUP('Données projet'!$B$10,Paramètres!$A$1:$I$89,3,0)*VLOOKUP('Données projet'!$B$10,Paramètres!$A$1:$I$89,5,0)</f>
        <v>401.2579999999997</v>
      </c>
      <c r="AK83" s="13">
        <f t="shared" si="89"/>
        <v>92.03165878755776</v>
      </c>
      <c r="AL83" s="20">
        <f t="shared" si="58"/>
        <v>859.14615572166258</v>
      </c>
      <c r="AM83" s="59">
        <f t="shared" si="59"/>
        <v>1152.4794890549958</v>
      </c>
      <c r="AN83" s="59">
        <f ca="1">AVERAGE(OFFSET($AM$3,0,0,'Données projet'!$E$10+1,1))-AVERAGE(OFFSET($H$3,0,0,'Données projet'!$E$10+1,1))</f>
        <v>395.40396173178527</v>
      </c>
      <c r="AO83" s="59">
        <f t="shared" si="90"/>
        <v>304.68075128568756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109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1.1139828101922444</v>
      </c>
      <c r="AV83" s="21">
        <f>EXP(-LN(2)/25)*AV82+(1-EXP(-LN(2)/25))/(LN(2)/25)*Calculateur!AQ83*Calculateur!AS83*VLOOKUP('Données projet'!$B$10,Paramètres!$A$1:$I$89,3,0)*0.475*44/12</f>
        <v>4.6738494642475708</v>
      </c>
      <c r="AW83" s="21">
        <f>EXP(-LN(2)/2)*AW82+(1-EXP(-LN(2)/2))/(LN(2)/2)*AQ83*AT83*VLOOKUP('Données projet'!$B$10,Paramètres!$A$1:$I$89,3,0)*0.475*44/12</f>
        <v>7.7503991937273003E-7</v>
      </c>
      <c r="AX83" s="21">
        <f t="shared" si="60"/>
        <v>5.7878330494797341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36.10000000000008</v>
      </c>
      <c r="BE83" s="13">
        <f>BD83*VLOOKUP('Données projet'!$B$11,Paramètres!$A$1:$I$89,3,0)*VLOOKUP('Données projet'!$B$11,Paramètres!$A$1:$I$89,5,0)</f>
        <v>31.536960000000075</v>
      </c>
      <c r="BF83" s="13">
        <f t="shared" si="91"/>
        <v>9.725440120377133</v>
      </c>
      <c r="BG83" s="20">
        <f t="shared" si="61"/>
        <v>71.865346876323642</v>
      </c>
      <c r="BH83" s="59">
        <f t="shared" si="62"/>
        <v>365.19868020965697</v>
      </c>
      <c r="BI83" s="59">
        <f ca="1">AVERAGE(OFFSET($BH$3,0,0,'Données projet'!$E$11+1,1))-AVERAGE(OFFSET($H$3,0,0,'Données projet'!$E$11+1,1))</f>
        <v>249.21292089724221</v>
      </c>
      <c r="BJ83" s="59">
        <f t="shared" si="92"/>
        <v>640.80644476065254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41.895051452922573</v>
      </c>
      <c r="BQ83" s="21">
        <f>EXP(-LN(2)/25)*BQ82+(1-EXP(-LN(2)/25))/(LN(2)/25)*Calculateur!BL83*Calculateur!BN83*VLOOKUP('Données projet'!$B$11,Paramètres!$A$1:$I$89,3,0)*0.475*44/12</f>
        <v>26.794550872307159</v>
      </c>
      <c r="BR83" s="21">
        <f>EXP(-LN(2)/2)*BR82+(1-EXP(-LN(2)/2))/(LN(2)/2)*BL83*BO83*VLOOKUP('Données projet'!$B$11,Paramètres!$A$1:$I$89,3,0)*0.475*44/12</f>
        <v>2.4598700354480006E-6</v>
      </c>
      <c r="BS83" s="22">
        <f t="shared" si="63"/>
        <v>68.68960478509976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248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248.00000000000034</v>
      </c>
      <c r="BZ83" s="13">
        <f>BY83*VLOOKUP('Données projet'!$B$12,Paramètres!$A$1:$I$89,3,0)*VLOOKUP('Données projet'!$B$12,Paramètres!$A$1:$I$89,5,0)</f>
        <v>201.1776000000003</v>
      </c>
      <c r="CA83" s="13">
        <f t="shared" si="93"/>
        <v>50.002880070410818</v>
      </c>
      <c r="CB83" s="20">
        <f t="shared" si="64"/>
        <v>437.47266945596601</v>
      </c>
      <c r="CC83" s="59">
        <f t="shared" si="65"/>
        <v>730.80600278929933</v>
      </c>
      <c r="CD83" s="59">
        <f ca="1">AVERAGE(OFFSET($CC$3,0,0,'Données projet'!$E$12+1,1))-AVERAGE(OFFSET($H$3,0,0,'Données projet'!$E$12+1,1))</f>
        <v>192.4785660463869</v>
      </c>
      <c r="CE83" s="59">
        <f t="shared" si="94"/>
        <v>165.11095806515362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27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0.30082917434660122</v>
      </c>
      <c r="CL83" s="21">
        <f>EXP(-LN(2)/25)*CL82+(1-EXP(-LN(2)/25))/(LN(2)/25)*Calculateur!CG83*Calculateur!CI83*VLOOKUP('Données projet'!$B$12,Paramètres!$A$1:$I$89,3,0)*0.475*44/12</f>
        <v>1.180297804616552</v>
      </c>
      <c r="CM83" s="21">
        <f>EXP(-LN(2)/2)*CM82+(1-EXP(-LN(2)/2))/(LN(2)/2)*CG83*CJ83*VLOOKUP('Données projet'!$B$12,Paramètres!$A$1:$I$89,3,0)*0.475*44/12</f>
        <v>2.1823109359676392E-7</v>
      </c>
      <c r="CN83" s="22">
        <f t="shared" si="66"/>
        <v>1.4811271971942468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265</v>
      </c>
      <c r="CR83" s="12">
        <f>VLOOKUP(A83,'Données projet'!$A$139:$I$159,9,0)</f>
        <v>6.4</v>
      </c>
      <c r="CS83" s="12">
        <f t="array" ref="CS83">INDEX(CR:CR,MIN(IF(ISNUMBER(CR83:CR279),ROW(CR83:CR279),"")))</f>
        <v>6.4</v>
      </c>
      <c r="CT83" s="12">
        <f>IF('Données projet'!$A$140&gt;35,CT82+CS83-DB82,IF(A83&lt;'Données projet'!$A$140,$CQ$205^A83,IF(A83='Données projet'!$A$140,'Données projet'!$B$140,CT82+CS83-DB82)))</f>
        <v>265.00000000000006</v>
      </c>
      <c r="CU83" s="17">
        <f>CT83*VLOOKUP('Données projet'!$B$13,Paramètres!$A$1:$I$89,3,0)*VLOOKUP('Données projet'!$B$13,Paramètres!$A$1:$I$89,5,0)</f>
        <v>223.23600000000008</v>
      </c>
      <c r="CV83" s="13">
        <f t="shared" si="95"/>
        <v>54.817615504575855</v>
      </c>
      <c r="CW83" s="20">
        <f t="shared" si="67"/>
        <v>484.27671367046969</v>
      </c>
      <c r="CX83" s="59">
        <f t="shared" si="68"/>
        <v>777.61004700380295</v>
      </c>
      <c r="CY83" s="59">
        <f ca="1">AVERAGE(OFFSET($CX$3,0,0,'Données projet'!$E$13+1,1))-AVERAGE(OFFSET($H$3,0,0,'Données projet'!$E$13+1,1))</f>
        <v>247.67539667223065</v>
      </c>
      <c r="CZ83" s="59">
        <f t="shared" si="96"/>
        <v>174.54442616983778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43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0.47603737479022606</v>
      </c>
      <c r="DG83" s="21">
        <f>EXP(-LN(2)/25)*DG82+(1-EXP(-LN(2)/25))/(LN(2)/25)*Calculateur!DB83*Calculateur!DD83*VLOOKUP('Données projet'!$B$13,Paramètres!$A$1:$I$89,3,0)*0.475*44/12</f>
        <v>1.6437133633568393</v>
      </c>
      <c r="DH83" s="21">
        <f>EXP(-LN(2)/2)*DH82+(1-EXP(-LN(2)/2))/(LN(2)/2)*DB83*DE83*VLOOKUP('Données projet'!$B$13,Paramètres!$A$1:$I$89,3,0)*0.475*44/12</f>
        <v>3.431384355071114E-7</v>
      </c>
      <c r="DI83" s="22">
        <f t="shared" si="69"/>
        <v>2.1197510812855009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5.5042735042735051</v>
      </c>
      <c r="DO83" s="12">
        <f>IF('Données projet'!$A$166&gt;35,DO82+DN83-DW82,IF(A83&lt;'Données projet'!$A$166,$DL$205^A83,IF(A83='Données projet'!$A$166,'Données projet'!$B$166,DO82+DN83-DW82)))</f>
        <v>177.98931623931617</v>
      </c>
      <c r="DP83" s="17">
        <f>DO83*VLOOKUP('Données projet'!$B$14,Paramètres!$A$1:$I$89,3,0)*VLOOKUP('Données projet'!$B$14,Paramètres!$A$1:$I$89,5,0)</f>
        <v>177.70453333333327</v>
      </c>
      <c r="DQ83" s="13">
        <f t="shared" si="97"/>
        <v>44.811106272374367</v>
      </c>
      <c r="DR83" s="20">
        <f t="shared" si="70"/>
        <v>387.54807231327413</v>
      </c>
      <c r="DS83" s="59">
        <f t="shared" si="71"/>
        <v>680.88140564660739</v>
      </c>
      <c r="DT83" s="59">
        <f ca="1">AVERAGE(OFFSET($DS$3,0,0,'Données projet'!$E$14+1,1))-AVERAGE(OFFSET($H$3,0,0,'Données projet'!$E$14+1,1))</f>
        <v>245.06609107649069</v>
      </c>
      <c r="DU83" s="59">
        <f t="shared" si="98"/>
        <v>156.24531945456499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179.37192325902373</v>
      </c>
      <c r="EH83" s="12">
        <f>VLOOKUP(A83,'Données projet'!$A$191:$I$211,9,0)</f>
        <v>3.3010743854446729</v>
      </c>
      <c r="EI83" s="12">
        <f t="array" ref="EI83">INDEX(EH:EH,MIN(IF(ISNUMBER(EH83:EH279),ROW(EH83:EH279),"")))</f>
        <v>3.3010743854446729</v>
      </c>
      <c r="EJ83" s="12">
        <f>IF('Données projet'!$A$192&gt;35,EJ82+EI83-ER82,IF(A83&lt;'Données projet'!$A$192,$EG$205^A83,IF(A83='Données projet'!$A$192,'Données projet'!$B$192,EJ82+EI83-ER82)))</f>
        <v>179.37192325902362</v>
      </c>
      <c r="EK83" s="17">
        <f>EJ83*VLOOKUP('Données projet'!$B$15,Paramètres!$A$1:$I$89,3,0)*VLOOKUP('Données projet'!$B$15,Paramètres!$A$1:$I$89,5,0)</f>
        <v>195.87414019885378</v>
      </c>
      <c r="EL83" s="13">
        <f t="shared" si="99"/>
        <v>48.836331514779282</v>
      </c>
      <c r="EM83" s="20">
        <f t="shared" si="73"/>
        <v>426.20407156791089</v>
      </c>
      <c r="EN83" s="59">
        <f t="shared" si="74"/>
        <v>719.53740490124414</v>
      </c>
      <c r="EO83" s="59">
        <f ca="1">AVERAGE(OFFSET($EN$3,0,0,'Données projet'!$E$15+1,1))-AVERAGE(OFFSET($H$3,0,0,'Données projet'!$E$15+1,1))</f>
        <v>173.63857221119594</v>
      </c>
      <c r="EP83" s="59">
        <f t="shared" si="100"/>
        <v>52.373745617370105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199.58634493109349</v>
      </c>
      <c r="T84" s="59">
        <f t="shared" si="88"/>
        <v>288.66487031729008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1.8200357744129891</v>
      </c>
      <c r="AA84" s="21">
        <f>EXP(-LN(2)/25)*AA83+(1-EXP(-LN(2)/25))/(LN(2)/25)*Calculateur!V84*Calculateur!X84*VLOOKUP('Données projet'!$B$9,Paramètres!$A$1:$I$89,3,0)*0.475*44/12</f>
        <v>4.1653517868453083</v>
      </c>
      <c r="AB84" s="21">
        <f>EXP(-LN(2)/2)*AB83+(1-EXP(-LN(2)/2))/(LN(2)/2)*V84*Y84*VLOOKUP('Données projet'!$B$9,Paramètres!$A$1:$I$89,3,0)*0.475*44/12</f>
        <v>6.2164533268798667E-8</v>
      </c>
      <c r="AC84" s="22">
        <f t="shared" si="57"/>
        <v>5.9853876234228309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14.2</v>
      </c>
      <c r="AI84" s="13">
        <f>IF('Données projet'!$A$62&gt;35,AI83+AH84-AQ83,IF(A84&lt;'Données projet'!$A$62,$AF$205^A84,IF(A84='Données projet'!$A$62,'Données projet'!$B$62,AI83+AH84-AQ83)))</f>
        <v>576.19999999999948</v>
      </c>
      <c r="AJ84" s="13">
        <f>AI84*VLOOKUP('Données projet'!$B$10,Paramètres!$A$1:$I$89,3,0)*VLOOKUP('Données projet'!$B$10,Paramètres!$A$1:$I$89,5,0)</f>
        <v>344.56759999999974</v>
      </c>
      <c r="AK84" s="13">
        <f t="shared" si="89"/>
        <v>80.442907320779725</v>
      </c>
      <c r="AL84" s="20">
        <f t="shared" si="58"/>
        <v>740.22663358369084</v>
      </c>
      <c r="AM84" s="59">
        <f t="shared" si="59"/>
        <v>1033.5599669170242</v>
      </c>
      <c r="AN84" s="59">
        <f ca="1">AVERAGE(OFFSET($AM$3,0,0,'Données projet'!$E$10+1,1))-AVERAGE(OFFSET($H$3,0,0,'Données projet'!$E$10+1,1))</f>
        <v>395.40396173178527</v>
      </c>
      <c r="AO84" s="59">
        <f t="shared" si="90"/>
        <v>304.68075128568756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1.0921382867467975</v>
      </c>
      <c r="AV84" s="21">
        <f>EXP(-LN(2)/25)*AV83+(1-EXP(-LN(2)/25))/(LN(2)/25)*Calculateur!AQ84*Calculateur!AS84*VLOOKUP('Données projet'!$B$10,Paramètres!$A$1:$I$89,3,0)*0.475*44/12</f>
        <v>4.5460428048606598</v>
      </c>
      <c r="AW84" s="21">
        <f>EXP(-LN(2)/2)*AW83+(1-EXP(-LN(2)/2))/(LN(2)/2)*AQ84*AT84*VLOOKUP('Données projet'!$B$10,Paramètres!$A$1:$I$89,3,0)*0.475*44/12</f>
        <v>5.4803598267873244E-7</v>
      </c>
      <c r="AX84" s="21">
        <f t="shared" si="60"/>
        <v>5.6381816396434399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36.10000000000008</v>
      </c>
      <c r="BE84" s="13">
        <f>BD84*VLOOKUP('Données projet'!$B$11,Paramètres!$A$1:$I$89,3,0)*VLOOKUP('Données projet'!$B$11,Paramètres!$A$1:$I$89,5,0)</f>
        <v>31.536960000000075</v>
      </c>
      <c r="BF84" s="13">
        <f t="shared" si="91"/>
        <v>9.725440120377133</v>
      </c>
      <c r="BG84" s="20">
        <f t="shared" si="61"/>
        <v>71.865346876323642</v>
      </c>
      <c r="BH84" s="59">
        <f t="shared" si="62"/>
        <v>365.19868020965697</v>
      </c>
      <c r="BI84" s="59">
        <f ca="1">AVERAGE(OFFSET($BH$3,0,0,'Données projet'!$E$11+1,1))-AVERAGE(OFFSET($H$3,0,0,'Données projet'!$E$11+1,1))</f>
        <v>249.21292089724221</v>
      </c>
      <c r="BJ84" s="59">
        <f t="shared" si="92"/>
        <v>640.80644476065254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41.073515047388952</v>
      </c>
      <c r="BQ84" s="21">
        <f>EXP(-LN(2)/25)*BQ83+(1-EXP(-LN(2)/25))/(LN(2)/25)*Calculateur!BL84*Calculateur!BN84*VLOOKUP('Données projet'!$B$11,Paramètres!$A$1:$I$89,3,0)*0.475*44/12</f>
        <v>26.061852469639728</v>
      </c>
      <c r="BR84" s="21">
        <f>EXP(-LN(2)/2)*BR83+(1-EXP(-LN(2)/2))/(LN(2)/2)*BL84*BO84*VLOOKUP('Données projet'!$B$11,Paramètres!$A$1:$I$89,3,0)*0.475*44/12</f>
        <v>1.7393907829028743E-6</v>
      </c>
      <c r="BS84" s="22">
        <f t="shared" si="63"/>
        <v>67.135369256419466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3.8</v>
      </c>
      <c r="BY84" s="12">
        <f>IF('Données projet'!$A$114&gt;35,BY83+BX84-CG83,IF(A84&lt;'Données projet'!$A$114,$BV$205^A84,IF(A84='Données projet'!$A$114,'Données projet'!$B$114,BY83+BX84-CG83)))</f>
        <v>224.80000000000035</v>
      </c>
      <c r="BZ84" s="13">
        <f>BY84*VLOOKUP('Données projet'!$B$12,Paramètres!$A$1:$I$89,3,0)*VLOOKUP('Données projet'!$B$12,Paramètres!$A$1:$I$89,5,0)</f>
        <v>182.3577600000003</v>
      </c>
      <c r="CA84" s="13">
        <f t="shared" si="93"/>
        <v>45.846346370344527</v>
      </c>
      <c r="CB84" s="20">
        <f t="shared" si="64"/>
        <v>397.45548526168386</v>
      </c>
      <c r="CC84" s="59">
        <f t="shared" si="65"/>
        <v>690.78881859501712</v>
      </c>
      <c r="CD84" s="59">
        <f ca="1">AVERAGE(OFFSET($CC$3,0,0,'Données projet'!$E$12+1,1))-AVERAGE(OFFSET($H$3,0,0,'Données projet'!$E$12+1,1))</f>
        <v>192.4785660463869</v>
      </c>
      <c r="CE84" s="59">
        <f t="shared" si="94"/>
        <v>165.11095806515362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0.29493009772534284</v>
      </c>
      <c r="CL84" s="21">
        <f>EXP(-LN(2)/25)*CL83+(1-EXP(-LN(2)/25))/(LN(2)/25)*Calculateur!CG84*Calculateur!CI84*VLOOKUP('Données projet'!$B$12,Paramètres!$A$1:$I$89,3,0)*0.475*44/12</f>
        <v>1.1480224990801484</v>
      </c>
      <c r="CM84" s="21">
        <f>EXP(-LN(2)/2)*CM83+(1-EXP(-LN(2)/2))/(LN(2)/2)*CG84*CJ84*VLOOKUP('Données projet'!$B$12,Paramètres!$A$1:$I$89,3,0)*0.475*44/12</f>
        <v>1.5431268614802791E-7</v>
      </c>
      <c r="CN84" s="22">
        <f t="shared" si="66"/>
        <v>1.4429527511181774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5.7</v>
      </c>
      <c r="CT84" s="12">
        <f>IF('Données projet'!$A$140&gt;35,CT83+CS84-DB83,IF(A84&lt;'Données projet'!$A$140,$CQ$205^A84,IF(A84='Données projet'!$A$140,'Données projet'!$B$140,CT83+CS84-DB83)))</f>
        <v>227.70000000000005</v>
      </c>
      <c r="CU84" s="17">
        <f>CT84*VLOOKUP('Données projet'!$B$13,Paramètres!$A$1:$I$89,3,0)*VLOOKUP('Données projet'!$B$13,Paramètres!$A$1:$I$89,5,0)</f>
        <v>191.81448000000006</v>
      </c>
      <c r="CV84" s="13">
        <f t="shared" si="95"/>
        <v>47.94088644132102</v>
      </c>
      <c r="CW84" s="20">
        <f t="shared" si="67"/>
        <v>417.57392988530086</v>
      </c>
      <c r="CX84" s="59">
        <f t="shared" si="68"/>
        <v>710.90726321863417</v>
      </c>
      <c r="CY84" s="59">
        <f ca="1">AVERAGE(OFFSET($CX$3,0,0,'Données projet'!$E$13+1,1))-AVERAGE(OFFSET($H$3,0,0,'Données projet'!$E$13+1,1))</f>
        <v>247.67539667223065</v>
      </c>
      <c r="CZ84" s="59">
        <f t="shared" si="96"/>
        <v>174.54442616983778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0.46670257222471828</v>
      </c>
      <c r="DG84" s="21">
        <f>EXP(-LN(2)/25)*DG83+(1-EXP(-LN(2)/25))/(LN(2)/25)*Calculateur!DB84*Calculateur!DD84*VLOOKUP('Données projet'!$B$13,Paramètres!$A$1:$I$89,3,0)*0.475*44/12</f>
        <v>1.5987659349967174</v>
      </c>
      <c r="DH84" s="21">
        <f>EXP(-LN(2)/2)*DH83+(1-EXP(-LN(2)/2))/(LN(2)/2)*DB84*DE84*VLOOKUP('Données projet'!$B$13,Paramètres!$A$1:$I$89,3,0)*0.475*44/12</f>
        <v>2.4263551463282127E-7</v>
      </c>
      <c r="DI84" s="22">
        <f t="shared" si="69"/>
        <v>2.0654687498569504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5.5042735042735051</v>
      </c>
      <c r="DO84" s="12">
        <f>IF('Données projet'!$A$166&gt;35,DO83+DN84-DW83,IF(A84&lt;'Données projet'!$A$166,$DL$205^A84,IF(A84='Données projet'!$A$166,'Données projet'!$B$166,DO83+DN84-DW83)))</f>
        <v>183.49358974358967</v>
      </c>
      <c r="DP84" s="17">
        <f>DO84*VLOOKUP('Données projet'!$B$14,Paramètres!$A$1:$I$89,3,0)*VLOOKUP('Données projet'!$B$14,Paramètres!$A$1:$I$89,5,0)</f>
        <v>183.19999999999993</v>
      </c>
      <c r="DQ84" s="13">
        <f t="shared" si="97"/>
        <v>46.03339541632932</v>
      </c>
      <c r="DR84" s="20">
        <f t="shared" si="70"/>
        <v>399.24816368344005</v>
      </c>
      <c r="DS84" s="59">
        <f t="shared" si="71"/>
        <v>692.58149701677337</v>
      </c>
      <c r="DT84" s="59">
        <f ca="1">AVERAGE(OFFSET($DS$3,0,0,'Données projet'!$E$14+1,1))-AVERAGE(OFFSET($H$3,0,0,'Données projet'!$E$14+1,1))</f>
        <v>245.06609107649069</v>
      </c>
      <c r="DU84" s="59">
        <f t="shared" si="98"/>
        <v>156.24531945456499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3.4011202926386175</v>
      </c>
      <c r="EJ84" s="12">
        <f>IF('Données projet'!$A$192&gt;35,EJ83+EI84-ER83,IF(A84&lt;'Données projet'!$A$192,$EG$205^A84,IF(A84='Données projet'!$A$192,'Données projet'!$B$192,EJ83+EI84-ER83)))</f>
        <v>182.77304355166223</v>
      </c>
      <c r="EK84" s="17">
        <f>EJ84*VLOOKUP('Données projet'!$B$15,Paramètres!$A$1:$I$89,3,0)*VLOOKUP('Données projet'!$B$15,Paramètres!$A$1:$I$89,5,0)</f>
        <v>199.58816355841515</v>
      </c>
      <c r="EL84" s="13">
        <f t="shared" si="99"/>
        <v>49.653647685231583</v>
      </c>
      <c r="EM84" s="20">
        <f t="shared" si="73"/>
        <v>434.09615458268473</v>
      </c>
      <c r="EN84" s="59">
        <f t="shared" si="74"/>
        <v>727.42948791601805</v>
      </c>
      <c r="EO84" s="59">
        <f ca="1">AVERAGE(OFFSET($EN$3,0,0,'Données projet'!$E$15+1,1))-AVERAGE(OFFSET($H$3,0,0,'Données projet'!$E$15+1,1))</f>
        <v>173.63857221119594</v>
      </c>
      <c r="EP84" s="59">
        <f t="shared" si="100"/>
        <v>52.373745617370105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199.58634493109349</v>
      </c>
      <c r="T85" s="59">
        <f t="shared" si="88"/>
        <v>288.66487031729008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1.7843459829889583</v>
      </c>
      <c r="AA85" s="21">
        <f>EXP(-LN(2)/25)*AA84+(1-EXP(-LN(2)/25))/(LN(2)/25)*Calculateur!V85*Calculateur!X85*VLOOKUP('Données projet'!$B$9,Paramètres!$A$1:$I$89,3,0)*0.475*44/12</f>
        <v>4.0514500231876927</v>
      </c>
      <c r="AB85" s="21">
        <f>EXP(-LN(2)/2)*AB84+(1-EXP(-LN(2)/2))/(LN(2)/2)*V85*Y85*VLOOKUP('Données projet'!$B$9,Paramètres!$A$1:$I$89,3,0)*0.475*44/12</f>
        <v>4.3956963023664273E-8</v>
      </c>
      <c r="AC85" s="22">
        <f t="shared" si="57"/>
        <v>5.8357960501336139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14.2</v>
      </c>
      <c r="AI85" s="13">
        <f>IF('Données projet'!$A$62&gt;35,AI84+AH85-AQ84,IF(A85&lt;'Données projet'!$A$62,$AF$205^A85,IF(A85='Données projet'!$A$62,'Données projet'!$B$62,AI84+AH85-AQ84)))</f>
        <v>590.39999999999952</v>
      </c>
      <c r="AJ85" s="13">
        <f>AI85*VLOOKUP('Données projet'!$B$10,Paramètres!$A$1:$I$89,3,0)*VLOOKUP('Données projet'!$B$10,Paramètres!$A$1:$I$89,5,0)</f>
        <v>353.05919999999975</v>
      </c>
      <c r="AK85" s="13">
        <f t="shared" si="89"/>
        <v>82.192112885281873</v>
      </c>
      <c r="AL85" s="20">
        <f t="shared" si="58"/>
        <v>758.06270327519871</v>
      </c>
      <c r="AM85" s="59">
        <f t="shared" si="59"/>
        <v>1051.3960366085321</v>
      </c>
      <c r="AN85" s="59">
        <f ca="1">AVERAGE(OFFSET($AM$3,0,0,'Données projet'!$E$10+1,1))-AVERAGE(OFFSET($H$3,0,0,'Données projet'!$E$10+1,1))</f>
        <v>395.40396173178527</v>
      </c>
      <c r="AO85" s="59">
        <f t="shared" si="90"/>
        <v>304.68075128568756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1.0707221210822719</v>
      </c>
      <c r="AV85" s="21">
        <f>EXP(-LN(2)/25)*AV84+(1-EXP(-LN(2)/25))/(LN(2)/25)*Calculateur!AQ85*Calculateur!AS85*VLOOKUP('Données projet'!$B$10,Paramètres!$A$1:$I$89,3,0)*0.475*44/12</f>
        <v>4.4217310252957445</v>
      </c>
      <c r="AW85" s="21">
        <f>EXP(-LN(2)/2)*AW84+(1-EXP(-LN(2)/2))/(LN(2)/2)*AQ85*AT85*VLOOKUP('Données projet'!$B$10,Paramètres!$A$1:$I$89,3,0)*0.475*44/12</f>
        <v>3.8751995968636501E-7</v>
      </c>
      <c r="AX85" s="21">
        <f t="shared" si="60"/>
        <v>5.4924535338979767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36.10000000000008</v>
      </c>
      <c r="BE85" s="13">
        <f>BD85*VLOOKUP('Données projet'!$B$11,Paramètres!$A$1:$I$89,3,0)*VLOOKUP('Données projet'!$B$11,Paramètres!$A$1:$I$89,5,0)</f>
        <v>31.536960000000075</v>
      </c>
      <c r="BF85" s="13">
        <f t="shared" si="91"/>
        <v>9.725440120377133</v>
      </c>
      <c r="BG85" s="20">
        <f t="shared" si="61"/>
        <v>71.865346876323642</v>
      </c>
      <c r="BH85" s="59">
        <f t="shared" si="62"/>
        <v>365.19868020965697</v>
      </c>
      <c r="BI85" s="59">
        <f ca="1">AVERAGE(OFFSET($BH$3,0,0,'Données projet'!$E$11+1,1))-AVERAGE(OFFSET($H$3,0,0,'Données projet'!$E$11+1,1))</f>
        <v>249.21292089724221</v>
      </c>
      <c r="BJ85" s="59">
        <f t="shared" si="92"/>
        <v>640.80644476065254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40.268088469680116</v>
      </c>
      <c r="BQ85" s="21">
        <f>EXP(-LN(2)/25)*BQ84+(1-EXP(-LN(2)/25))/(LN(2)/25)*Calculateur!BL85*Calculateur!BN85*VLOOKUP('Données projet'!$B$11,Paramètres!$A$1:$I$89,3,0)*0.475*44/12</f>
        <v>25.349189743324175</v>
      </c>
      <c r="BR85" s="21">
        <f>EXP(-LN(2)/2)*BR84+(1-EXP(-LN(2)/2))/(LN(2)/2)*BL85*BO85*VLOOKUP('Données projet'!$B$11,Paramètres!$A$1:$I$89,3,0)*0.475*44/12</f>
        <v>1.2299350177240003E-6</v>
      </c>
      <c r="BS85" s="22">
        <f t="shared" si="63"/>
        <v>65.617279442939306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3.8</v>
      </c>
      <c r="BY85" s="12">
        <f>IF('Données projet'!$A$114&gt;35,BY84+BX85-CG84,IF(A85&lt;'Données projet'!$A$114,$BV$205^A85,IF(A85='Données projet'!$A$114,'Données projet'!$B$114,BY84+BX85-CG84)))</f>
        <v>228.60000000000036</v>
      </c>
      <c r="BZ85" s="13">
        <f>BY85*VLOOKUP('Données projet'!$B$12,Paramètres!$A$1:$I$89,3,0)*VLOOKUP('Données projet'!$B$12,Paramètres!$A$1:$I$89,5,0)</f>
        <v>185.44032000000033</v>
      </c>
      <c r="CA85" s="13">
        <f t="shared" si="93"/>
        <v>46.530451618270206</v>
      </c>
      <c r="CB85" s="20">
        <f t="shared" si="64"/>
        <v>404.01576056848785</v>
      </c>
      <c r="CC85" s="59">
        <f t="shared" si="65"/>
        <v>697.34909390182111</v>
      </c>
      <c r="CD85" s="59">
        <f ca="1">AVERAGE(OFFSET($CC$3,0,0,'Données projet'!$E$12+1,1))-AVERAGE(OFFSET($H$3,0,0,'Données projet'!$E$12+1,1))</f>
        <v>192.4785660463869</v>
      </c>
      <c r="CE85" s="59">
        <f t="shared" si="94"/>
        <v>165.11095806515362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0.28914669839854584</v>
      </c>
      <c r="CL85" s="21">
        <f>EXP(-LN(2)/25)*CL84+(1-EXP(-LN(2)/25))/(LN(2)/25)*Calculateur!CG85*Calculateur!CI85*VLOOKUP('Données projet'!$B$12,Paramètres!$A$1:$I$89,3,0)*0.475*44/12</f>
        <v>1.1166297634709224</v>
      </c>
      <c r="CM85" s="21">
        <f>EXP(-LN(2)/2)*CM84+(1-EXP(-LN(2)/2))/(LN(2)/2)*CG85*CJ85*VLOOKUP('Données projet'!$B$12,Paramètres!$A$1:$I$89,3,0)*0.475*44/12</f>
        <v>1.0911554679838196E-7</v>
      </c>
      <c r="CN85" s="22">
        <f t="shared" si="66"/>
        <v>1.405776570985015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5.7</v>
      </c>
      <c r="CT85" s="12">
        <f>IF('Données projet'!$A$140&gt;35,CT84+CS85-DB84,IF(A85&lt;'Données projet'!$A$140,$CQ$205^A85,IF(A85='Données projet'!$A$140,'Données projet'!$B$140,CT84+CS85-DB84)))</f>
        <v>233.40000000000003</v>
      </c>
      <c r="CU85" s="17">
        <f>CT85*VLOOKUP('Données projet'!$B$13,Paramètres!$A$1:$I$89,3,0)*VLOOKUP('Données projet'!$B$13,Paramètres!$A$1:$I$89,5,0)</f>
        <v>196.61616000000006</v>
      </c>
      <c r="CV85" s="13">
        <f t="shared" si="95"/>
        <v>48.999765174076551</v>
      </c>
      <c r="CW85" s="20">
        <f t="shared" si="67"/>
        <v>427.78106967818343</v>
      </c>
      <c r="CX85" s="59">
        <f t="shared" si="68"/>
        <v>721.11440301151674</v>
      </c>
      <c r="CY85" s="59">
        <f ca="1">AVERAGE(OFFSET($CX$3,0,0,'Données projet'!$E$13+1,1))-AVERAGE(OFFSET($H$3,0,0,'Données projet'!$E$13+1,1))</f>
        <v>247.67539667223065</v>
      </c>
      <c r="CZ85" s="59">
        <f t="shared" si="96"/>
        <v>174.54442616983778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0.45755081944385273</v>
      </c>
      <c r="DG85" s="21">
        <f>EXP(-LN(2)/25)*DG84+(1-EXP(-LN(2)/25))/(LN(2)/25)*Calculateur!DB85*Calculateur!DD85*VLOOKUP('Données projet'!$B$13,Paramètres!$A$1:$I$89,3,0)*0.475*44/12</f>
        <v>1.5550475964287855</v>
      </c>
      <c r="DH85" s="21">
        <f>EXP(-LN(2)/2)*DH84+(1-EXP(-LN(2)/2))/(LN(2)/2)*DB85*DE85*VLOOKUP('Données projet'!$B$13,Paramètres!$A$1:$I$89,3,0)*0.475*44/12</f>
        <v>1.715692177535557E-7</v>
      </c>
      <c r="DI85" s="22">
        <f t="shared" si="69"/>
        <v>2.0125985874418562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5.5042735042735051</v>
      </c>
      <c r="DO85" s="12">
        <f>IF('Données projet'!$A$166&gt;35,DO84+DN85-DW84,IF(A85&lt;'Données projet'!$A$166,$DL$205^A85,IF(A85='Données projet'!$A$166,'Données projet'!$B$166,DO84+DN85-DW84)))</f>
        <v>188.99786324786317</v>
      </c>
      <c r="DP85" s="17">
        <f>DO85*VLOOKUP('Données projet'!$B$14,Paramètres!$A$1:$I$89,3,0)*VLOOKUP('Données projet'!$B$14,Paramètres!$A$1:$I$89,5,0)</f>
        <v>188.69546666666659</v>
      </c>
      <c r="DQ85" s="13">
        <f t="shared" si="97"/>
        <v>47.251423507816483</v>
      </c>
      <c r="DR85" s="20">
        <f t="shared" si="70"/>
        <v>410.94083372055803</v>
      </c>
      <c r="DS85" s="59">
        <f t="shared" si="71"/>
        <v>704.27416705389135</v>
      </c>
      <c r="DT85" s="59">
        <f ca="1">AVERAGE(OFFSET($DS$3,0,0,'Données projet'!$E$14+1,1))-AVERAGE(OFFSET($H$3,0,0,'Données projet'!$E$14+1,1))</f>
        <v>245.06609107649069</v>
      </c>
      <c r="DU85" s="59">
        <f t="shared" si="98"/>
        <v>156.24531945456499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3.4011202926386175</v>
      </c>
      <c r="EJ85" s="12">
        <f>IF('Données projet'!$A$192&gt;35,EJ84+EI85-ER84,IF(A85&lt;'Données projet'!$A$192,$EG$205^A85,IF(A85='Données projet'!$A$192,'Données projet'!$B$192,EJ84+EI85-ER84)))</f>
        <v>186.17416384430084</v>
      </c>
      <c r="EK85" s="17">
        <f>EJ85*VLOOKUP('Données projet'!$B$15,Paramètres!$A$1:$I$89,3,0)*VLOOKUP('Données projet'!$B$15,Paramètres!$A$1:$I$89,5,0)</f>
        <v>203.30218691797654</v>
      </c>
      <c r="EL85" s="13">
        <f t="shared" si="99"/>
        <v>50.469195339017503</v>
      </c>
      <c r="EM85" s="20">
        <f t="shared" si="73"/>
        <v>441.98515743093134</v>
      </c>
      <c r="EN85" s="59">
        <f t="shared" si="74"/>
        <v>735.31849076426465</v>
      </c>
      <c r="EO85" s="59">
        <f ca="1">AVERAGE(OFFSET($EN$3,0,0,'Données projet'!$E$15+1,1))-AVERAGE(OFFSET($H$3,0,0,'Données projet'!$E$15+1,1))</f>
        <v>173.63857221119594</v>
      </c>
      <c r="EP85" s="59">
        <f t="shared" si="100"/>
        <v>52.373745617370105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199.58634493109349</v>
      </c>
      <c r="T86" s="59">
        <f t="shared" si="88"/>
        <v>288.66487031729008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1.7493560466061295</v>
      </c>
      <c r="AA86" s="21">
        <f>EXP(-LN(2)/25)*AA85+(1-EXP(-LN(2)/25))/(LN(2)/25)*Calculateur!V86*Calculateur!X86*VLOOKUP('Données projet'!$B$9,Paramètres!$A$1:$I$89,3,0)*0.475*44/12</f>
        <v>3.9406629092471284</v>
      </c>
      <c r="AB86" s="21">
        <f>EXP(-LN(2)/2)*AB85+(1-EXP(-LN(2)/2))/(LN(2)/2)*V86*Y86*VLOOKUP('Données projet'!$B$9,Paramètres!$A$1:$I$89,3,0)*0.475*44/12</f>
        <v>3.1082266634399334E-8</v>
      </c>
      <c r="AC86" s="22">
        <f t="shared" si="57"/>
        <v>5.6900189869355247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14.2</v>
      </c>
      <c r="AI86" s="13">
        <f>IF('Données projet'!$A$62&gt;35,AI85+AH86-AQ85,IF(A86&lt;'Données projet'!$A$62,$AF$205^A86,IF(A86='Données projet'!$A$62,'Données projet'!$B$62,AI85+AH86-AQ85)))</f>
        <v>604.59999999999957</v>
      </c>
      <c r="AJ86" s="13">
        <f>AI86*VLOOKUP('Données projet'!$B$10,Paramètres!$A$1:$I$89,3,0)*VLOOKUP('Données projet'!$B$10,Paramètres!$A$1:$I$89,5,0)</f>
        <v>361.55079999999975</v>
      </c>
      <c r="AK86" s="13">
        <f t="shared" si="89"/>
        <v>83.936427735425312</v>
      </c>
      <c r="AL86" s="20">
        <f t="shared" si="58"/>
        <v>775.89025497253203</v>
      </c>
      <c r="AM86" s="59">
        <f t="shared" si="59"/>
        <v>1069.2235883058654</v>
      </c>
      <c r="AN86" s="59">
        <f ca="1">AVERAGE(OFFSET($AM$3,0,0,'Données projet'!$E$10+1,1))-AVERAGE(OFFSET($H$3,0,0,'Données projet'!$E$10+1,1))</f>
        <v>395.40396173178527</v>
      </c>
      <c r="AO86" s="59">
        <f t="shared" si="90"/>
        <v>304.68075128568756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1.0497259133638566</v>
      </c>
      <c r="AV86" s="21">
        <f>EXP(-LN(2)/25)*AV85+(1-EXP(-LN(2)/25))/(LN(2)/25)*Calculateur!AQ86*Calculateur!AS86*VLOOKUP('Données projet'!$B$10,Paramètres!$A$1:$I$89,3,0)*0.475*44/12</f>
        <v>4.3008185578803033</v>
      </c>
      <c r="AW86" s="21">
        <f>EXP(-LN(2)/2)*AW85+(1-EXP(-LN(2)/2))/(LN(2)/2)*AQ86*AT86*VLOOKUP('Données projet'!$B$10,Paramètres!$A$1:$I$89,3,0)*0.475*44/12</f>
        <v>2.7401799133936622E-7</v>
      </c>
      <c r="AX86" s="21">
        <f t="shared" si="60"/>
        <v>5.3505447452621508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36.10000000000008</v>
      </c>
      <c r="BE86" s="13">
        <f>BD86*VLOOKUP('Données projet'!$B$11,Paramètres!$A$1:$I$89,3,0)*VLOOKUP('Données projet'!$B$11,Paramètres!$A$1:$I$89,5,0)</f>
        <v>31.536960000000075</v>
      </c>
      <c r="BF86" s="13">
        <f t="shared" si="91"/>
        <v>9.725440120377133</v>
      </c>
      <c r="BG86" s="20">
        <f t="shared" si="61"/>
        <v>71.865346876323642</v>
      </c>
      <c r="BH86" s="59">
        <f t="shared" si="62"/>
        <v>365.19868020965697</v>
      </c>
      <c r="BI86" s="59">
        <f ca="1">AVERAGE(OFFSET($BH$3,0,0,'Données projet'!$E$11+1,1))-AVERAGE(OFFSET($H$3,0,0,'Données projet'!$E$11+1,1))</f>
        <v>249.21292089724221</v>
      </c>
      <c r="BJ86" s="59">
        <f t="shared" si="92"/>
        <v>640.80644476065254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39.47845581589845</v>
      </c>
      <c r="BQ86" s="21">
        <f>EXP(-LN(2)/25)*BQ85+(1-EXP(-LN(2)/25))/(LN(2)/25)*Calculateur!BL86*Calculateur!BN86*VLOOKUP('Données projet'!$B$11,Paramètres!$A$1:$I$89,3,0)*0.475*44/12</f>
        <v>24.656014816737024</v>
      </c>
      <c r="BR86" s="21">
        <f>EXP(-LN(2)/2)*BR85+(1-EXP(-LN(2)/2))/(LN(2)/2)*BL86*BO86*VLOOKUP('Données projet'!$B$11,Paramètres!$A$1:$I$89,3,0)*0.475*44/12</f>
        <v>8.6969539145143714E-7</v>
      </c>
      <c r="BS86" s="22">
        <f t="shared" si="63"/>
        <v>64.134471502330868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3.8</v>
      </c>
      <c r="BY86" s="12">
        <f>IF('Données projet'!$A$114&gt;35,BY85+BX86-CG85,IF(A86&lt;'Données projet'!$A$114,$BV$205^A86,IF(A86='Données projet'!$A$114,'Données projet'!$B$114,BY85+BX86-CG85)))</f>
        <v>232.40000000000038</v>
      </c>
      <c r="BZ86" s="13">
        <f>BY86*VLOOKUP('Données projet'!$B$12,Paramètres!$A$1:$I$89,3,0)*VLOOKUP('Données projet'!$B$12,Paramètres!$A$1:$I$89,5,0)</f>
        <v>188.52288000000033</v>
      </c>
      <c r="CA86" s="13">
        <f t="shared" si="93"/>
        <v>47.213234400769387</v>
      </c>
      <c r="CB86" s="20">
        <f t="shared" si="64"/>
        <v>410.57373258134049</v>
      </c>
      <c r="CC86" s="59">
        <f t="shared" si="65"/>
        <v>703.90706591467381</v>
      </c>
      <c r="CD86" s="59">
        <f ca="1">AVERAGE(OFFSET($CC$3,0,0,'Données projet'!$E$12+1,1))-AVERAGE(OFFSET($H$3,0,0,'Données projet'!$E$12+1,1))</f>
        <v>192.4785660463869</v>
      </c>
      <c r="CE86" s="59">
        <f t="shared" si="94"/>
        <v>165.11095806515362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0.28347670800502206</v>
      </c>
      <c r="CL86" s="21">
        <f>EXP(-LN(2)/25)*CL85+(1-EXP(-LN(2)/25))/(LN(2)/25)*Calculateur!CG86*Calculateur!CI86*VLOOKUP('Données projet'!$B$12,Paramètres!$A$1:$I$89,3,0)*0.475*44/12</f>
        <v>1.0860954638678029</v>
      </c>
      <c r="CM86" s="21">
        <f>EXP(-LN(2)/2)*CM85+(1-EXP(-LN(2)/2))/(LN(2)/2)*CG86*CJ86*VLOOKUP('Données projet'!$B$12,Paramètres!$A$1:$I$89,3,0)*0.475*44/12</f>
        <v>7.7156343074013957E-8</v>
      </c>
      <c r="CN86" s="22">
        <f t="shared" si="66"/>
        <v>1.369572249029168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5.7</v>
      </c>
      <c r="CT86" s="12">
        <f>IF('Données projet'!$A$140&gt;35,CT85+CS86-DB85,IF(A86&lt;'Données projet'!$A$140,$CQ$205^A86,IF(A86='Données projet'!$A$140,'Données projet'!$B$140,CT85+CS86-DB85)))</f>
        <v>239.10000000000002</v>
      </c>
      <c r="CU86" s="17">
        <f>CT86*VLOOKUP('Données projet'!$B$13,Paramètres!$A$1:$I$89,3,0)*VLOOKUP('Données projet'!$B$13,Paramètres!$A$1:$I$89,5,0)</f>
        <v>201.41784000000007</v>
      </c>
      <c r="CV86" s="13">
        <f t="shared" si="95"/>
        <v>50.05563781873483</v>
      </c>
      <c r="CW86" s="20">
        <f t="shared" si="67"/>
        <v>437.98297386762988</v>
      </c>
      <c r="CX86" s="59">
        <f t="shared" si="68"/>
        <v>731.31630720096314</v>
      </c>
      <c r="CY86" s="59">
        <f ca="1">AVERAGE(OFFSET($CX$3,0,0,'Données projet'!$E$13+1,1))-AVERAGE(OFFSET($H$3,0,0,'Données projet'!$E$13+1,1))</f>
        <v>247.67539667223065</v>
      </c>
      <c r="CZ86" s="59">
        <f t="shared" si="96"/>
        <v>174.54442616983778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0.44857852695300193</v>
      </c>
      <c r="DG86" s="21">
        <f>EXP(-LN(2)/25)*DG85+(1-EXP(-LN(2)/25))/(LN(2)/25)*Calculateur!DB86*Calculateur!DD86*VLOOKUP('Données projet'!$B$13,Paramètres!$A$1:$I$89,3,0)*0.475*44/12</f>
        <v>1.5125247381280413</v>
      </c>
      <c r="DH86" s="21">
        <f>EXP(-LN(2)/2)*DH85+(1-EXP(-LN(2)/2))/(LN(2)/2)*DB86*DE86*VLOOKUP('Données projet'!$B$13,Paramètres!$A$1:$I$89,3,0)*0.475*44/12</f>
        <v>1.2131775731641063E-7</v>
      </c>
      <c r="DI86" s="22">
        <f t="shared" si="69"/>
        <v>1.9611033863988008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5.5042735042735051</v>
      </c>
      <c r="DO86" s="12">
        <f>IF('Données projet'!$A$166&gt;35,DO85+DN86-DW85,IF(A86&lt;'Données projet'!$A$166,$DL$205^A86,IF(A86='Données projet'!$A$166,'Données projet'!$B$166,DO85+DN86-DW85)))</f>
        <v>194.50213675213666</v>
      </c>
      <c r="DP86" s="17">
        <f>DO86*VLOOKUP('Données projet'!$B$14,Paramètres!$A$1:$I$89,3,0)*VLOOKUP('Données projet'!$B$14,Paramètres!$A$1:$I$89,5,0)</f>
        <v>194.19093333333328</v>
      </c>
      <c r="DQ86" s="13">
        <f t="shared" si="97"/>
        <v>48.465328893397</v>
      </c>
      <c r="DR86" s="20">
        <f t="shared" si="70"/>
        <v>422.62632337822191</v>
      </c>
      <c r="DS86" s="59">
        <f t="shared" si="71"/>
        <v>715.95965671155523</v>
      </c>
      <c r="DT86" s="59">
        <f ca="1">AVERAGE(OFFSET($DS$3,0,0,'Données projet'!$E$14+1,1))-AVERAGE(OFFSET($H$3,0,0,'Données projet'!$E$14+1,1))</f>
        <v>245.06609107649069</v>
      </c>
      <c r="DU86" s="59">
        <f t="shared" si="98"/>
        <v>156.24531945456499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3.4011202926386175</v>
      </c>
      <c r="EJ86" s="12">
        <f>IF('Données projet'!$A$192&gt;35,EJ85+EI86-ER85,IF(A86&lt;'Données projet'!$A$192,$EG$205^A86,IF(A86='Données projet'!$A$192,'Données projet'!$B$192,EJ85+EI86-ER85)))</f>
        <v>189.57528413693944</v>
      </c>
      <c r="EK86" s="17">
        <f>EJ86*VLOOKUP('Données projet'!$B$15,Paramètres!$A$1:$I$89,3,0)*VLOOKUP('Données projet'!$B$15,Paramètres!$A$1:$I$89,5,0)</f>
        <v>207.01621027753785</v>
      </c>
      <c r="EL86" s="13">
        <f t="shared" si="99"/>
        <v>51.283010510646271</v>
      </c>
      <c r="EM86" s="20">
        <f t="shared" si="73"/>
        <v>449.87114287275404</v>
      </c>
      <c r="EN86" s="59">
        <f t="shared" si="74"/>
        <v>743.20447620608729</v>
      </c>
      <c r="EO86" s="59">
        <f ca="1">AVERAGE(OFFSET($EN$3,0,0,'Données projet'!$E$15+1,1))-AVERAGE(OFFSET($H$3,0,0,'Données projet'!$E$15+1,1))</f>
        <v>173.63857221119594</v>
      </c>
      <c r="EP86" s="59">
        <f t="shared" si="100"/>
        <v>52.373745617370105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199.58634493109349</v>
      </c>
      <c r="T87" s="59">
        <f t="shared" si="88"/>
        <v>288.66487031729008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1.7150522415340141</v>
      </c>
      <c r="AA87" s="21">
        <f>EXP(-LN(2)/25)*AA86+(1-EXP(-LN(2)/25))/(LN(2)/25)*Calculateur!V87*Calculateur!X87*VLOOKUP('Données projet'!$B$9,Paramètres!$A$1:$I$89,3,0)*0.475*44/12</f>
        <v>3.8329052747633097</v>
      </c>
      <c r="AB87" s="21">
        <f>EXP(-LN(2)/2)*AB86+(1-EXP(-LN(2)/2))/(LN(2)/2)*V87*Y87*VLOOKUP('Données projet'!$B$9,Paramètres!$A$1:$I$89,3,0)*0.475*44/12</f>
        <v>2.1978481511832137E-8</v>
      </c>
      <c r="AC87" s="22">
        <f t="shared" si="57"/>
        <v>5.5479575382758046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14.2</v>
      </c>
      <c r="AI87" s="13">
        <f>IF('Données projet'!$A$62&gt;35,AI86+AH87-AQ86,IF(A87&lt;'Données projet'!$A$62,$AF$205^A87,IF(A87='Données projet'!$A$62,'Données projet'!$B$62,AI86+AH87-AQ86)))</f>
        <v>618.79999999999961</v>
      </c>
      <c r="AJ87" s="13">
        <f>AI87*VLOOKUP('Données projet'!$B$10,Paramètres!$A$1:$I$89,3,0)*VLOOKUP('Données projet'!$B$10,Paramètres!$A$1:$I$89,5,0)</f>
        <v>370.04239999999982</v>
      </c>
      <c r="AK87" s="13">
        <f t="shared" si="89"/>
        <v>85.675979956583944</v>
      </c>
      <c r="AL87" s="20">
        <f t="shared" si="58"/>
        <v>793.70951175771677</v>
      </c>
      <c r="AM87" s="59">
        <f t="shared" si="59"/>
        <v>1087.0428450910501</v>
      </c>
      <c r="AN87" s="59">
        <f ca="1">AVERAGE(OFFSET($AM$3,0,0,'Données projet'!$E$10+1,1))-AVERAGE(OFFSET($H$3,0,0,'Données projet'!$E$10+1,1))</f>
        <v>395.40396173178527</v>
      </c>
      <c r="AO87" s="59">
        <f t="shared" si="90"/>
        <v>304.68075128568756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1.0291414284723772</v>
      </c>
      <c r="AV87" s="21">
        <f>EXP(-LN(2)/25)*AV86+(1-EXP(-LN(2)/25))/(LN(2)/25)*Calculateur!AQ87*Calculateur!AS87*VLOOKUP('Données projet'!$B$10,Paramètres!$A$1:$I$89,3,0)*0.475*44/12</f>
        <v>4.1832124482448485</v>
      </c>
      <c r="AW87" s="21">
        <f>EXP(-LN(2)/2)*AW86+(1-EXP(-LN(2)/2))/(LN(2)/2)*AQ87*AT87*VLOOKUP('Données projet'!$B$10,Paramètres!$A$1:$I$89,3,0)*0.475*44/12</f>
        <v>1.9375997984318251E-7</v>
      </c>
      <c r="AX87" s="21">
        <f t="shared" si="60"/>
        <v>5.2123540704772049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36.10000000000008</v>
      </c>
      <c r="BE87" s="13">
        <f>BD87*VLOOKUP('Données projet'!$B$11,Paramètres!$A$1:$I$89,3,0)*VLOOKUP('Données projet'!$B$11,Paramètres!$A$1:$I$89,5,0)</f>
        <v>31.536960000000075</v>
      </c>
      <c r="BF87" s="13">
        <f t="shared" si="91"/>
        <v>9.725440120377133</v>
      </c>
      <c r="BG87" s="20">
        <f t="shared" si="61"/>
        <v>71.865346876323642</v>
      </c>
      <c r="BH87" s="59">
        <f t="shared" si="62"/>
        <v>365.19868020965697</v>
      </c>
      <c r="BI87" s="59">
        <f ca="1">AVERAGE(OFFSET($BH$3,0,0,'Données projet'!$E$11+1,1))-AVERAGE(OFFSET($H$3,0,0,'Données projet'!$E$11+1,1))</f>
        <v>249.21292089724221</v>
      </c>
      <c r="BJ87" s="59">
        <f t="shared" si="92"/>
        <v>640.80644476065254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38.704307376829078</v>
      </c>
      <c r="BQ87" s="21">
        <f>EXP(-LN(2)/25)*BQ86+(1-EXP(-LN(2)/25))/(LN(2)/25)*Calculateur!BL87*Calculateur!BN87*VLOOKUP('Données projet'!$B$11,Paramètres!$A$1:$I$89,3,0)*0.475*44/12</f>
        <v>23.981794794969883</v>
      </c>
      <c r="BR87" s="21">
        <f>EXP(-LN(2)/2)*BR86+(1-EXP(-LN(2)/2))/(LN(2)/2)*BL87*BO87*VLOOKUP('Données projet'!$B$11,Paramètres!$A$1:$I$89,3,0)*0.475*44/12</f>
        <v>6.1496750886200015E-7</v>
      </c>
      <c r="BS87" s="22">
        <f t="shared" si="63"/>
        <v>62.686102786766476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3.8</v>
      </c>
      <c r="BY87" s="12">
        <f>IF('Données projet'!$A$114&gt;35,BY86+BX87-CG86,IF(A87&lt;'Données projet'!$A$114,$BV$205^A87,IF(A87='Données projet'!$A$114,'Données projet'!$B$114,BY86+BX87-CG86)))</f>
        <v>236.20000000000039</v>
      </c>
      <c r="BZ87" s="13">
        <f>BY87*VLOOKUP('Données projet'!$B$12,Paramètres!$A$1:$I$89,3,0)*VLOOKUP('Données projet'!$B$12,Paramètres!$A$1:$I$89,5,0)</f>
        <v>191.60544000000033</v>
      </c>
      <c r="CA87" s="13">
        <f t="shared" si="93"/>
        <v>47.894718837847243</v>
      </c>
      <c r="CB87" s="20">
        <f t="shared" si="64"/>
        <v>417.1294433092512</v>
      </c>
      <c r="CC87" s="59">
        <f t="shared" si="65"/>
        <v>710.46277664258446</v>
      </c>
      <c r="CD87" s="59">
        <f ca="1">AVERAGE(OFFSET($CC$3,0,0,'Données projet'!$E$12+1,1))-AVERAGE(OFFSET($H$3,0,0,'Données projet'!$E$12+1,1))</f>
        <v>192.4785660463869</v>
      </c>
      <c r="CE87" s="59">
        <f t="shared" si="94"/>
        <v>165.11095806515362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0.27791790266476263</v>
      </c>
      <c r="CL87" s="21">
        <f>EXP(-LN(2)/25)*CL86+(1-EXP(-LN(2)/25))/(LN(2)/25)*Calculateur!CG87*Calculateur!CI87*VLOOKUP('Données projet'!$B$12,Paramètres!$A$1:$I$89,3,0)*0.475*44/12</f>
        <v>1.0563961262930597</v>
      </c>
      <c r="CM87" s="21">
        <f>EXP(-LN(2)/2)*CM86+(1-EXP(-LN(2)/2))/(LN(2)/2)*CG87*CJ87*VLOOKUP('Données projet'!$B$12,Paramètres!$A$1:$I$89,3,0)*0.475*44/12</f>
        <v>5.4557773399190979E-8</v>
      </c>
      <c r="CN87" s="22">
        <f t="shared" si="66"/>
        <v>1.3343140835155958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5.7</v>
      </c>
      <c r="CT87" s="12">
        <f>IF('Données projet'!$A$140&gt;35,CT86+CS87-DB86,IF(A87&lt;'Données projet'!$A$140,$CQ$205^A87,IF(A87='Données projet'!$A$140,'Données projet'!$B$140,CT86+CS87-DB86)))</f>
        <v>244.8</v>
      </c>
      <c r="CU87" s="17">
        <f>CT87*VLOOKUP('Données projet'!$B$13,Paramètres!$A$1:$I$89,3,0)*VLOOKUP('Données projet'!$B$13,Paramètres!$A$1:$I$89,5,0)</f>
        <v>206.21952000000002</v>
      </c>
      <c r="CV87" s="13">
        <f t="shared" si="95"/>
        <v>51.108584284640322</v>
      </c>
      <c r="CW87" s="20">
        <f t="shared" si="67"/>
        <v>448.1797816290819</v>
      </c>
      <c r="CX87" s="59">
        <f t="shared" si="68"/>
        <v>741.51311496241522</v>
      </c>
      <c r="CY87" s="59">
        <f ca="1">AVERAGE(OFFSET($CX$3,0,0,'Données projet'!$E$13+1,1))-AVERAGE(OFFSET($H$3,0,0,'Données projet'!$E$13+1,1))</f>
        <v>247.67539667223065</v>
      </c>
      <c r="CZ87" s="59">
        <f t="shared" si="96"/>
        <v>174.54442616983778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0.43978217564533867</v>
      </c>
      <c r="DG87" s="21">
        <f>EXP(-LN(2)/25)*DG86+(1-EXP(-LN(2)/25))/(LN(2)/25)*Calculateur!DB87*Calculateur!DD87*VLOOKUP('Données projet'!$B$13,Paramètres!$A$1:$I$89,3,0)*0.475*44/12</f>
        <v>1.4711646696237111</v>
      </c>
      <c r="DH87" s="21">
        <f>EXP(-LN(2)/2)*DH86+(1-EXP(-LN(2)/2))/(LN(2)/2)*DB87*DE87*VLOOKUP('Données projet'!$B$13,Paramètres!$A$1:$I$89,3,0)*0.475*44/12</f>
        <v>8.578460887677785E-8</v>
      </c>
      <c r="DI87" s="22">
        <f t="shared" si="69"/>
        <v>1.9109469310536586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200.00641025641025</v>
      </c>
      <c r="DM87" s="12">
        <f>VLOOKUP(A87,'Données projet'!$A$165:$I$185,9,0)</f>
        <v>5.5042735042735051</v>
      </c>
      <c r="DN87" s="12">
        <f t="array" ref="DN87">INDEX(DM:DM,MIN(IF(ISNUMBER(DM87:DM283),ROW(DM87:DM283),"")))</f>
        <v>5.5042735042735051</v>
      </c>
      <c r="DO87" s="12">
        <f>IF('Données projet'!$A$166&gt;35,DO86+DN87-DW86,IF(A87&lt;'Données projet'!$A$166,$DL$205^A87,IF(A87='Données projet'!$A$166,'Données projet'!$B$166,DO86+DN87-DW86)))</f>
        <v>200.00641025641016</v>
      </c>
      <c r="DP87" s="17">
        <f>DO87*VLOOKUP('Données projet'!$B$14,Paramètres!$A$1:$I$89,3,0)*VLOOKUP('Données projet'!$B$14,Paramètres!$A$1:$I$89,5,0)</f>
        <v>199.68639999999994</v>
      </c>
      <c r="DQ87" s="13">
        <f t="shared" si="97"/>
        <v>49.675241643983554</v>
      </c>
      <c r="DR87" s="20">
        <f t="shared" si="70"/>
        <v>434.30485919660458</v>
      </c>
      <c r="DS87" s="59">
        <f t="shared" si="71"/>
        <v>727.6381925299379</v>
      </c>
      <c r="DT87" s="59">
        <f ca="1">AVERAGE(OFFSET($DS$3,0,0,'Données projet'!$E$14+1,1))-AVERAGE(OFFSET($H$3,0,0,'Données projet'!$E$14+1,1))</f>
        <v>245.06609107649069</v>
      </c>
      <c r="DU87" s="59">
        <f t="shared" si="98"/>
        <v>156.24531945456499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35.083333333333329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3.4011202926386175</v>
      </c>
      <c r="EJ87" s="12">
        <f>IF('Données projet'!$A$192&gt;35,EJ86+EI87-ER86,IF(A87&lt;'Données projet'!$A$192,$EG$205^A87,IF(A87='Données projet'!$A$192,'Données projet'!$B$192,EJ86+EI87-ER86)))</f>
        <v>192.97640442957805</v>
      </c>
      <c r="EK87" s="17">
        <f>EJ87*VLOOKUP('Données projet'!$B$15,Paramètres!$A$1:$I$89,3,0)*VLOOKUP('Données projet'!$B$15,Paramètres!$A$1:$I$89,5,0)</f>
        <v>210.73023363709922</v>
      </c>
      <c r="EL87" s="13">
        <f t="shared" si="99"/>
        <v>52.095127867612987</v>
      </c>
      <c r="EM87" s="20">
        <f t="shared" si="73"/>
        <v>457.75417128737371</v>
      </c>
      <c r="EN87" s="59">
        <f t="shared" si="74"/>
        <v>751.08750462070702</v>
      </c>
      <c r="EO87" s="59">
        <f ca="1">AVERAGE(OFFSET($EN$3,0,0,'Données projet'!$E$15+1,1))-AVERAGE(OFFSET($H$3,0,0,'Données projet'!$E$15+1,1))</f>
        <v>173.63857221119594</v>
      </c>
      <c r="EP87" s="59">
        <f t="shared" si="100"/>
        <v>52.373745617370105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199.58634493109349</v>
      </c>
      <c r="T88" s="59">
        <f t="shared" si="88"/>
        <v>288.66487031729008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1.6814211131561079</v>
      </c>
      <c r="AA88" s="21">
        <f>EXP(-LN(2)/25)*AA87+(1-EXP(-LN(2)/25))/(LN(2)/25)*Calculateur!V88*Calculateur!X88*VLOOKUP('Données projet'!$B$9,Paramètres!$A$1:$I$89,3,0)*0.475*44/12</f>
        <v>3.7280942784611786</v>
      </c>
      <c r="AB88" s="21">
        <f>EXP(-LN(2)/2)*AB87+(1-EXP(-LN(2)/2))/(LN(2)/2)*V88*Y88*VLOOKUP('Données projet'!$B$9,Paramètres!$A$1:$I$89,3,0)*0.475*44/12</f>
        <v>1.5541133317199667E-8</v>
      </c>
      <c r="AC88" s="22">
        <f t="shared" si="57"/>
        <v>5.4095154071584206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14.2</v>
      </c>
      <c r="AI88" s="13">
        <f>IF('Données projet'!$A$62&gt;35,AI87+AH88-AQ87,IF(A88&lt;'Données projet'!$A$62,$AF$205^A88,IF(A88='Données projet'!$A$62,'Données projet'!$B$62,AI87+AH88-AQ87)))</f>
        <v>632.99999999999966</v>
      </c>
      <c r="AJ88" s="13">
        <f>AI88*VLOOKUP('Données projet'!$B$10,Paramètres!$A$1:$I$89,3,0)*VLOOKUP('Données projet'!$B$10,Paramètres!$A$1:$I$89,5,0)</f>
        <v>378.53399999999982</v>
      </c>
      <c r="AK88" s="13">
        <f t="shared" si="89"/>
        <v>87.410891420148147</v>
      </c>
      <c r="AL88" s="20">
        <f t="shared" si="58"/>
        <v>811.52068589009104</v>
      </c>
      <c r="AM88" s="59">
        <f t="shared" si="59"/>
        <v>1104.8540192234243</v>
      </c>
      <c r="AN88" s="59">
        <f ca="1">AVERAGE(OFFSET($AM$3,0,0,'Données projet'!$E$10+1,1))-AVERAGE(OFFSET($H$3,0,0,'Données projet'!$E$10+1,1))</f>
        <v>395.40396173178527</v>
      </c>
      <c r="AO88" s="59">
        <f t="shared" si="90"/>
        <v>304.68075128568756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1.0089605927743237</v>
      </c>
      <c r="AV88" s="21">
        <f>EXP(-LN(2)/25)*AV87+(1-EXP(-LN(2)/25))/(LN(2)/25)*Calculateur!AQ88*Calculateur!AS88*VLOOKUP('Données projet'!$B$10,Paramètres!$A$1:$I$89,3,0)*0.475*44/12</f>
        <v>4.0688222838620112</v>
      </c>
      <c r="AW88" s="21">
        <f>EXP(-LN(2)/2)*AW87+(1-EXP(-LN(2)/2))/(LN(2)/2)*AQ88*AT88*VLOOKUP('Données projet'!$B$10,Paramètres!$A$1:$I$89,3,0)*0.475*44/12</f>
        <v>1.3700899566968311E-7</v>
      </c>
      <c r="AX88" s="21">
        <f t="shared" si="60"/>
        <v>5.0777830136453304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36.10000000000008</v>
      </c>
      <c r="BE88" s="13">
        <f>BD88*VLOOKUP('Données projet'!$B$11,Paramètres!$A$1:$I$89,3,0)*VLOOKUP('Données projet'!$B$11,Paramètres!$A$1:$I$89,5,0)</f>
        <v>31.536960000000075</v>
      </c>
      <c r="BF88" s="13">
        <f t="shared" si="91"/>
        <v>9.725440120377133</v>
      </c>
      <c r="BG88" s="20">
        <f t="shared" si="61"/>
        <v>71.865346876323642</v>
      </c>
      <c r="BH88" s="59">
        <f t="shared" si="62"/>
        <v>365.19868020965697</v>
      </c>
      <c r="BI88" s="59">
        <f ca="1">AVERAGE(OFFSET($BH$3,0,0,'Données projet'!$E$11+1,1))-AVERAGE(OFFSET($H$3,0,0,'Données projet'!$E$11+1,1))</f>
        <v>249.21292089724221</v>
      </c>
      <c r="BJ88" s="59">
        <f t="shared" si="92"/>
        <v>640.80644476065254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37.945339516465936</v>
      </c>
      <c r="BQ88" s="21">
        <f>EXP(-LN(2)/25)*BQ87+(1-EXP(-LN(2)/25))/(LN(2)/25)*Calculateur!BL88*Calculateur!BN88*VLOOKUP('Données projet'!$B$11,Paramètres!$A$1:$I$89,3,0)*0.475*44/12</f>
        <v>23.326011355153653</v>
      </c>
      <c r="BR88" s="21">
        <f>EXP(-LN(2)/2)*BR87+(1-EXP(-LN(2)/2))/(LN(2)/2)*BL88*BO88*VLOOKUP('Données projet'!$B$11,Paramètres!$A$1:$I$89,3,0)*0.475*44/12</f>
        <v>4.3484769572571857E-7</v>
      </c>
      <c r="BS88" s="22">
        <f t="shared" si="63"/>
        <v>61.271351306467288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3.8</v>
      </c>
      <c r="BY88" s="12">
        <f>IF('Données projet'!$A$114&gt;35,BY87+BX88-CG87,IF(A88&lt;'Données projet'!$A$114,$BV$205^A88,IF(A88='Données projet'!$A$114,'Données projet'!$B$114,BY87+BX88-CG87)))</f>
        <v>240.0000000000004</v>
      </c>
      <c r="BZ88" s="13">
        <f>BY88*VLOOKUP('Données projet'!$B$12,Paramètres!$A$1:$I$89,3,0)*VLOOKUP('Données projet'!$B$12,Paramètres!$A$1:$I$89,5,0)</f>
        <v>194.68800000000033</v>
      </c>
      <c r="CA88" s="13">
        <f t="shared" si="93"/>
        <v>48.57492822891507</v>
      </c>
      <c r="CB88" s="20">
        <f t="shared" si="64"/>
        <v>423.68293333202763</v>
      </c>
      <c r="CC88" s="59">
        <f t="shared" si="65"/>
        <v>717.01626666536094</v>
      </c>
      <c r="CD88" s="59">
        <f ca="1">AVERAGE(OFFSET($CC$3,0,0,'Données projet'!$E$12+1,1))-AVERAGE(OFFSET($H$3,0,0,'Données projet'!$E$12+1,1))</f>
        <v>192.4785660463869</v>
      </c>
      <c r="CE88" s="59">
        <f t="shared" si="94"/>
        <v>165.11095806515362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0.2724681021066892</v>
      </c>
      <c r="CL88" s="21">
        <f>EXP(-LN(2)/25)*CL87+(1-EXP(-LN(2)/25))/(LN(2)/25)*Calculateur!CG88*Calculateur!CI88*VLOOKUP('Données projet'!$B$12,Paramètres!$A$1:$I$89,3,0)*0.475*44/12</f>
        <v>1.0275089186661182</v>
      </c>
      <c r="CM88" s="21">
        <f>EXP(-LN(2)/2)*CM87+(1-EXP(-LN(2)/2))/(LN(2)/2)*CG88*CJ88*VLOOKUP('Données projet'!$B$12,Paramètres!$A$1:$I$89,3,0)*0.475*44/12</f>
        <v>3.8578171537006978E-8</v>
      </c>
      <c r="CN88" s="22">
        <f t="shared" si="66"/>
        <v>1.299977059350979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5.7</v>
      </c>
      <c r="CT88" s="12">
        <f>IF('Données projet'!$A$140&gt;35,CT87+CS88-DB87,IF(A88&lt;'Données projet'!$A$140,$CQ$205^A88,IF(A88='Données projet'!$A$140,'Données projet'!$B$140,CT87+CS88-DB87)))</f>
        <v>250.5</v>
      </c>
      <c r="CU88" s="17">
        <f>CT88*VLOOKUP('Données projet'!$B$13,Paramètres!$A$1:$I$89,3,0)*VLOOKUP('Données projet'!$B$13,Paramètres!$A$1:$I$89,5,0)</f>
        <v>211.02120000000002</v>
      </c>
      <c r="CV88" s="13">
        <f t="shared" si="95"/>
        <v>52.158680547553367</v>
      </c>
      <c r="CW88" s="20">
        <f t="shared" si="67"/>
        <v>458.37162528698883</v>
      </c>
      <c r="CX88" s="59">
        <f t="shared" si="68"/>
        <v>751.70495862032215</v>
      </c>
      <c r="CY88" s="59">
        <f ca="1">AVERAGE(OFFSET($CX$3,0,0,'Données projet'!$E$13+1,1))-AVERAGE(OFFSET($H$3,0,0,'Données projet'!$E$13+1,1))</f>
        <v>247.67539667223065</v>
      </c>
      <c r="CZ88" s="59">
        <f t="shared" si="96"/>
        <v>174.54442616983778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0.43115831542157418</v>
      </c>
      <c r="DG88" s="21">
        <f>EXP(-LN(2)/25)*DG87+(1-EXP(-LN(2)/25))/(LN(2)/25)*Calculateur!DB88*Calculateur!DD88*VLOOKUP('Données projet'!$B$13,Paramètres!$A$1:$I$89,3,0)*0.475*44/12</f>
        <v>1.4309355943676632</v>
      </c>
      <c r="DH88" s="21">
        <f>EXP(-LN(2)/2)*DH87+(1-EXP(-LN(2)/2))/(LN(2)/2)*DB88*DE88*VLOOKUP('Données projet'!$B$13,Paramètres!$A$1:$I$89,3,0)*0.475*44/12</f>
        <v>6.0658878658205317E-8</v>
      </c>
      <c r="DI88" s="22">
        <f t="shared" si="69"/>
        <v>1.8620939704481159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5.2606837606837598</v>
      </c>
      <c r="DO88" s="12">
        <f>IF('Données projet'!$A$166&gt;35,DO87+DN88-DW87,IF(A88&lt;'Données projet'!$A$166,$DL$205^A88,IF(A88='Données projet'!$A$166,'Données projet'!$B$166,DO87+DN88-DW87)))</f>
        <v>170.18376068376057</v>
      </c>
      <c r="DP88" s="17">
        <f>DO88*VLOOKUP('Données projet'!$B$14,Paramètres!$A$1:$I$89,3,0)*VLOOKUP('Données projet'!$B$14,Paramètres!$A$1:$I$89,5,0)</f>
        <v>169.91146666666657</v>
      </c>
      <c r="DQ88" s="13">
        <f t="shared" si="97"/>
        <v>43.070194462652083</v>
      </c>
      <c r="DR88" s="20">
        <f t="shared" si="70"/>
        <v>370.94305980022995</v>
      </c>
      <c r="DS88" s="59">
        <f t="shared" si="71"/>
        <v>664.27639313356326</v>
      </c>
      <c r="DT88" s="59">
        <f ca="1">AVERAGE(OFFSET($DS$3,0,0,'Données projet'!$E$14+1,1))-AVERAGE(OFFSET($H$3,0,0,'Données projet'!$E$14+1,1))</f>
        <v>245.06609107649069</v>
      </c>
      <c r="DU88" s="59">
        <f t="shared" si="98"/>
        <v>156.24531945456499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3.4011202926386175</v>
      </c>
      <c r="EJ88" s="12">
        <f>IF('Données projet'!$A$192&gt;35,EJ87+EI88-ER87,IF(A88&lt;'Données projet'!$A$192,$EG$205^A88,IF(A88='Données projet'!$A$192,'Données projet'!$B$192,EJ87+EI88-ER87)))</f>
        <v>196.37752472221666</v>
      </c>
      <c r="EK88" s="17">
        <f>EJ88*VLOOKUP('Données projet'!$B$15,Paramètres!$A$1:$I$89,3,0)*VLOOKUP('Données projet'!$B$15,Paramètres!$A$1:$I$89,5,0)</f>
        <v>214.44425699666058</v>
      </c>
      <c r="EL88" s="13">
        <f t="shared" si="99"/>
        <v>52.905580785420632</v>
      </c>
      <c r="EM88" s="20">
        <f t="shared" si="73"/>
        <v>465.6343008037914</v>
      </c>
      <c r="EN88" s="59">
        <f t="shared" si="74"/>
        <v>758.96763413712472</v>
      </c>
      <c r="EO88" s="59">
        <f ca="1">AVERAGE(OFFSET($EN$3,0,0,'Données projet'!$E$15+1,1))-AVERAGE(OFFSET($H$3,0,0,'Données projet'!$E$15+1,1))</f>
        <v>173.63857221119594</v>
      </c>
      <c r="EP88" s="59">
        <f t="shared" si="100"/>
        <v>52.373745617370105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199.58634493109349</v>
      </c>
      <c r="T89" s="59">
        <f t="shared" si="88"/>
        <v>288.66487031729008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1.6484494706927295</v>
      </c>
      <c r="AA89" s="21">
        <f>EXP(-LN(2)/25)*AA88+(1-EXP(-LN(2)/25))/(LN(2)/25)*Calculateur!V89*Calculateur!X89*VLOOKUP('Données projet'!$B$9,Paramètres!$A$1:$I$89,3,0)*0.475*44/12</f>
        <v>3.6261493443647002</v>
      </c>
      <c r="AB89" s="21">
        <f>EXP(-LN(2)/2)*AB88+(1-EXP(-LN(2)/2))/(LN(2)/2)*V89*Y89*VLOOKUP('Données projet'!$B$9,Paramètres!$A$1:$I$89,3,0)*0.475*44/12</f>
        <v>1.0989240755916068E-8</v>
      </c>
      <c r="AC89" s="22">
        <f t="shared" si="57"/>
        <v>5.2745988260466703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14.2</v>
      </c>
      <c r="AI89" s="13">
        <f>IF('Données projet'!$A$62&gt;35,AI88+AH89-AQ88,IF(A89&lt;'Données projet'!$A$62,$AF$205^A89,IF(A89='Données projet'!$A$62,'Données projet'!$B$62,AI88+AH89-AQ88)))</f>
        <v>647.1999999999997</v>
      </c>
      <c r="AJ89" s="13">
        <f>AI89*VLOOKUP('Données projet'!$B$10,Paramètres!$A$1:$I$89,3,0)*VLOOKUP('Données projet'!$B$10,Paramètres!$A$1:$I$89,5,0)</f>
        <v>387.02559999999983</v>
      </c>
      <c r="AK89" s="13">
        <f t="shared" si="89"/>
        <v>89.141278217521844</v>
      </c>
      <c r="AL89" s="20">
        <f t="shared" si="58"/>
        <v>829.32397956218358</v>
      </c>
      <c r="AM89" s="59">
        <f t="shared" si="59"/>
        <v>1122.657312895517</v>
      </c>
      <c r="AN89" s="59">
        <f ca="1">AVERAGE(OFFSET($AM$3,0,0,'Données projet'!$E$10+1,1))-AVERAGE(OFFSET($H$3,0,0,'Données projet'!$E$10+1,1))</f>
        <v>395.40396173178527</v>
      </c>
      <c r="AO89" s="59">
        <f t="shared" si="90"/>
        <v>304.68075128568756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0.98917549095521462</v>
      </c>
      <c r="AV89" s="21">
        <f>EXP(-LN(2)/25)*AV88+(1-EXP(-LN(2)/25))/(LN(2)/25)*Calculateur!AQ89*Calculateur!AS89*VLOOKUP('Données projet'!$B$10,Paramètres!$A$1:$I$89,3,0)*0.475*44/12</f>
        <v>3.9575601245397398</v>
      </c>
      <c r="AW89" s="21">
        <f>EXP(-LN(2)/2)*AW88+(1-EXP(-LN(2)/2))/(LN(2)/2)*AQ89*AT89*VLOOKUP('Données projet'!$B$10,Paramètres!$A$1:$I$89,3,0)*0.475*44/12</f>
        <v>9.6879989921591253E-8</v>
      </c>
      <c r="AX89" s="21">
        <f t="shared" si="60"/>
        <v>4.9467357123749451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36.10000000000008</v>
      </c>
      <c r="BE89" s="13">
        <f>BD89*VLOOKUP('Données projet'!$B$11,Paramètres!$A$1:$I$89,3,0)*VLOOKUP('Données projet'!$B$11,Paramètres!$A$1:$I$89,5,0)</f>
        <v>31.536960000000075</v>
      </c>
      <c r="BF89" s="13">
        <f t="shared" si="91"/>
        <v>9.725440120377133</v>
      </c>
      <c r="BG89" s="20">
        <f t="shared" si="61"/>
        <v>71.865346876323642</v>
      </c>
      <c r="BH89" s="59">
        <f t="shared" si="62"/>
        <v>365.19868020965697</v>
      </c>
      <c r="BI89" s="59">
        <f ca="1">AVERAGE(OFFSET($BH$3,0,0,'Données projet'!$E$11+1,1))-AVERAGE(OFFSET($H$3,0,0,'Données projet'!$E$11+1,1))</f>
        <v>249.21292089724221</v>
      </c>
      <c r="BJ89" s="59">
        <f t="shared" si="92"/>
        <v>640.80644476065254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37.201254552919828</v>
      </c>
      <c r="BQ89" s="21">
        <f>EXP(-LN(2)/25)*BQ88+(1-EXP(-LN(2)/25))/(LN(2)/25)*Calculateur!BL89*Calculateur!BN89*VLOOKUP('Données projet'!$B$11,Paramètres!$A$1:$I$89,3,0)*0.475*44/12</f>
        <v>22.688160347985352</v>
      </c>
      <c r="BR89" s="21">
        <f>EXP(-LN(2)/2)*BR88+(1-EXP(-LN(2)/2))/(LN(2)/2)*BL89*BO89*VLOOKUP('Données projet'!$B$11,Paramètres!$A$1:$I$89,3,0)*0.475*44/12</f>
        <v>3.0748375443100007E-7</v>
      </c>
      <c r="BS89" s="22">
        <f t="shared" si="63"/>
        <v>59.889415208388932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3.8</v>
      </c>
      <c r="BY89" s="12">
        <f>IF('Données projet'!$A$114&gt;35,BY88+BX89-CG88,IF(A89&lt;'Données projet'!$A$114,$BV$205^A89,IF(A89='Données projet'!$A$114,'Données projet'!$B$114,BY88+BX89-CG88)))</f>
        <v>243.80000000000041</v>
      </c>
      <c r="BZ89" s="13">
        <f>BY89*VLOOKUP('Données projet'!$B$12,Paramètres!$A$1:$I$89,3,0)*VLOOKUP('Données projet'!$B$12,Paramètres!$A$1:$I$89,5,0)</f>
        <v>197.77056000000036</v>
      </c>
      <c r="CA89" s="13">
        <f t="shared" si="93"/>
        <v>49.253885093250339</v>
      </c>
      <c r="CB89" s="20">
        <f t="shared" si="64"/>
        <v>430.23424187074494</v>
      </c>
      <c r="CC89" s="59">
        <f t="shared" si="65"/>
        <v>723.56757520407825</v>
      </c>
      <c r="CD89" s="59">
        <f ca="1">AVERAGE(OFFSET($CC$3,0,0,'Données projet'!$E$12+1,1))-AVERAGE(OFFSET($H$3,0,0,'Données projet'!$E$12+1,1))</f>
        <v>192.4785660463869</v>
      </c>
      <c r="CE89" s="59">
        <f t="shared" si="94"/>
        <v>165.11095806515362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0.26712516881350951</v>
      </c>
      <c r="CL89" s="21">
        <f>EXP(-LN(2)/25)*CL88+(1-EXP(-LN(2)/25))/(LN(2)/25)*Calculateur!CG89*Calculateur!CI89*VLOOKUP('Données projet'!$B$12,Paramètres!$A$1:$I$89,3,0)*0.475*44/12</f>
        <v>0.99941163325084748</v>
      </c>
      <c r="CM89" s="21">
        <f>EXP(-LN(2)/2)*CM88+(1-EXP(-LN(2)/2))/(LN(2)/2)*CG89*CJ89*VLOOKUP('Données projet'!$B$12,Paramètres!$A$1:$I$89,3,0)*0.475*44/12</f>
        <v>2.727888669959549E-8</v>
      </c>
      <c r="CN89" s="22">
        <f t="shared" si="66"/>
        <v>1.2665368293432437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5.7</v>
      </c>
      <c r="CT89" s="12">
        <f>IF('Données projet'!$A$140&gt;35,CT88+CS89-DB88,IF(A89&lt;'Données projet'!$A$140,$CQ$205^A89,IF(A89='Données projet'!$A$140,'Données projet'!$B$140,CT88+CS89-DB88)))</f>
        <v>256.2</v>
      </c>
      <c r="CU89" s="17">
        <f>CT89*VLOOKUP('Données projet'!$B$13,Paramètres!$A$1:$I$89,3,0)*VLOOKUP('Données projet'!$B$13,Paramètres!$A$1:$I$89,5,0)</f>
        <v>215.82288000000003</v>
      </c>
      <c r="CV89" s="13">
        <f t="shared" si="95"/>
        <v>53.205998928315829</v>
      </c>
      <c r="CW89" s="20">
        <f t="shared" si="67"/>
        <v>468.55863080015007</v>
      </c>
      <c r="CX89" s="59">
        <f t="shared" si="68"/>
        <v>761.89196413348338</v>
      </c>
      <c r="CY89" s="59">
        <f ca="1">AVERAGE(OFFSET($CX$3,0,0,'Données projet'!$E$13+1,1))-AVERAGE(OFFSET($H$3,0,0,'Données projet'!$E$13+1,1))</f>
        <v>247.67539667223065</v>
      </c>
      <c r="CZ89" s="59">
        <f t="shared" si="96"/>
        <v>174.54442616983778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0.42270356383676233</v>
      </c>
      <c r="DG89" s="21">
        <f>EXP(-LN(2)/25)*DG88+(1-EXP(-LN(2)/25))/(LN(2)/25)*Calculateur!DB89*Calculateur!DD89*VLOOKUP('Données projet'!$B$13,Paramètres!$A$1:$I$89,3,0)*0.475*44/12</f>
        <v>1.391806585290047</v>
      </c>
      <c r="DH89" s="21">
        <f>EXP(-LN(2)/2)*DH88+(1-EXP(-LN(2)/2))/(LN(2)/2)*DB89*DE89*VLOOKUP('Données projet'!$B$13,Paramètres!$A$1:$I$89,3,0)*0.475*44/12</f>
        <v>4.2892304438388925E-8</v>
      </c>
      <c r="DI89" s="22">
        <f t="shared" si="69"/>
        <v>1.8145101920191138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5.2606837606837598</v>
      </c>
      <c r="DO89" s="12">
        <f>IF('Données projet'!$A$166&gt;35,DO88+DN89-DW88,IF(A89&lt;'Données projet'!$A$166,$DL$205^A89,IF(A89='Données projet'!$A$166,'Données projet'!$B$166,DO88+DN89-DW88)))</f>
        <v>175.44444444444431</v>
      </c>
      <c r="DP89" s="17">
        <f>DO89*VLOOKUP('Données projet'!$B$14,Paramètres!$A$1:$I$89,3,0)*VLOOKUP('Données projet'!$B$14,Paramètres!$A$1:$I$89,5,0)</f>
        <v>175.1637333333332</v>
      </c>
      <c r="DQ89" s="13">
        <f t="shared" si="97"/>
        <v>44.244506331504681</v>
      </c>
      <c r="DR89" s="20">
        <f t="shared" si="70"/>
        <v>382.13601741625922</v>
      </c>
      <c r="DS89" s="59">
        <f t="shared" si="71"/>
        <v>675.46935074959254</v>
      </c>
      <c r="DT89" s="59">
        <f ca="1">AVERAGE(OFFSET($DS$3,0,0,'Données projet'!$E$14+1,1))-AVERAGE(OFFSET($H$3,0,0,'Données projet'!$E$14+1,1))</f>
        <v>245.06609107649069</v>
      </c>
      <c r="DU89" s="59">
        <f t="shared" si="98"/>
        <v>156.24531945456499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3.4011202926386175</v>
      </c>
      <c r="EJ89" s="12">
        <f>IF('Données projet'!$A$192&gt;35,EJ88+EI89-ER88,IF(A89&lt;'Données projet'!$A$192,$EG$205^A89,IF(A89='Données projet'!$A$192,'Données projet'!$B$192,EJ88+EI89-ER88)))</f>
        <v>199.77864501485527</v>
      </c>
      <c r="EK89" s="17">
        <f>EJ89*VLOOKUP('Données projet'!$B$15,Paramètres!$A$1:$I$89,3,0)*VLOOKUP('Données projet'!$B$15,Paramètres!$A$1:$I$89,5,0)</f>
        <v>218.15828035622195</v>
      </c>
      <c r="EL89" s="13">
        <f t="shared" si="99"/>
        <v>53.714401417257356</v>
      </c>
      <c r="EM89" s="20">
        <f t="shared" si="73"/>
        <v>473.51158742214312</v>
      </c>
      <c r="EN89" s="59">
        <f t="shared" si="74"/>
        <v>766.84492075547644</v>
      </c>
      <c r="EO89" s="59">
        <f ca="1">AVERAGE(OFFSET($EN$3,0,0,'Données projet'!$E$15+1,1))-AVERAGE(OFFSET($H$3,0,0,'Données projet'!$E$15+1,1))</f>
        <v>173.63857221119594</v>
      </c>
      <c r="EP89" s="59">
        <f t="shared" si="100"/>
        <v>52.373745617370105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199.58634493109349</v>
      </c>
      <c r="T90" s="59">
        <f t="shared" si="88"/>
        <v>288.66487031729008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1.6161243820273419</v>
      </c>
      <c r="AA90" s="21">
        <f>EXP(-LN(2)/25)*AA89+(1-EXP(-LN(2)/25))/(LN(2)/25)*Calculateur!V90*Calculateur!X90*VLOOKUP('Données projet'!$B$9,Paramètres!$A$1:$I$89,3,0)*0.475*44/12</f>
        <v>3.5269920998521411</v>
      </c>
      <c r="AB90" s="21">
        <f>EXP(-LN(2)/2)*AB89+(1-EXP(-LN(2)/2))/(LN(2)/2)*V90*Y90*VLOOKUP('Données projet'!$B$9,Paramètres!$A$1:$I$89,3,0)*0.475*44/12</f>
        <v>7.7705666585998334E-9</v>
      </c>
      <c r="AC90" s="22">
        <f t="shared" si="57"/>
        <v>5.1431164896500494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14.2</v>
      </c>
      <c r="AI90" s="13">
        <f>IF('Données projet'!$A$62&gt;35,AI89+AH90-AQ89,IF(A90&lt;'Données projet'!$A$62,$AF$205^A90,IF(A90='Données projet'!$A$62,'Données projet'!$B$62,AI89+AH90-AQ89)))</f>
        <v>661.39999999999975</v>
      </c>
      <c r="AJ90" s="13">
        <f>AI90*VLOOKUP('Données projet'!$B$10,Paramètres!$A$1:$I$89,3,0)*VLOOKUP('Données projet'!$B$10,Paramètres!$A$1:$I$89,5,0)</f>
        <v>395.51719999999989</v>
      </c>
      <c r="AK90" s="13">
        <f t="shared" si="89"/>
        <v>90.867251054957578</v>
      </c>
      <c r="AL90" s="20">
        <f t="shared" si="58"/>
        <v>847.11958558738434</v>
      </c>
      <c r="AM90" s="59">
        <f t="shared" si="59"/>
        <v>1140.4529189207176</v>
      </c>
      <c r="AN90" s="59">
        <f ca="1">AVERAGE(OFFSET($AM$3,0,0,'Données projet'!$E$10+1,1))-AVERAGE(OFFSET($H$3,0,0,'Données projet'!$E$10+1,1))</f>
        <v>395.40396173178527</v>
      </c>
      <c r="AO90" s="59">
        <f t="shared" si="90"/>
        <v>304.68075128568756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0.9697783629150577</v>
      </c>
      <c r="AV90" s="21">
        <f>EXP(-LN(2)/25)*AV89+(1-EXP(-LN(2)/25))/(LN(2)/25)*Calculateur!AQ90*Calculateur!AS90*VLOOKUP('Données projet'!$B$10,Paramètres!$A$1:$I$89,3,0)*0.475*44/12</f>
        <v>3.8493404348151588</v>
      </c>
      <c r="AW90" s="21">
        <f>EXP(-LN(2)/2)*AW89+(1-EXP(-LN(2)/2))/(LN(2)/2)*AQ90*AT90*VLOOKUP('Données projet'!$B$10,Paramètres!$A$1:$I$89,3,0)*0.475*44/12</f>
        <v>6.8504497834841555E-8</v>
      </c>
      <c r="AX90" s="21">
        <f t="shared" si="60"/>
        <v>4.8191188662347146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36.10000000000008</v>
      </c>
      <c r="BE90" s="13">
        <f>BD90*VLOOKUP('Données projet'!$B$11,Paramètres!$A$1:$I$89,3,0)*VLOOKUP('Données projet'!$B$11,Paramètres!$A$1:$I$89,5,0)</f>
        <v>31.536960000000075</v>
      </c>
      <c r="BF90" s="13">
        <f t="shared" si="91"/>
        <v>9.725440120377133</v>
      </c>
      <c r="BG90" s="20">
        <f t="shared" si="61"/>
        <v>71.865346876323642</v>
      </c>
      <c r="BH90" s="59">
        <f t="shared" si="62"/>
        <v>365.19868020965697</v>
      </c>
      <c r="BI90" s="59">
        <f ca="1">AVERAGE(OFFSET($BH$3,0,0,'Données projet'!$E$11+1,1))-AVERAGE(OFFSET($H$3,0,0,'Données projet'!$E$11+1,1))</f>
        <v>249.21292089724221</v>
      </c>
      <c r="BJ90" s="59">
        <f t="shared" si="92"/>
        <v>640.80644476065254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36.471760641661845</v>
      </c>
      <c r="BQ90" s="21">
        <f>EXP(-LN(2)/25)*BQ89+(1-EXP(-LN(2)/25))/(LN(2)/25)*Calculateur!BL90*Calculateur!BN90*VLOOKUP('Données projet'!$B$11,Paramètres!$A$1:$I$89,3,0)*0.475*44/12</f>
        <v>22.067751410151196</v>
      </c>
      <c r="BR90" s="21">
        <f>EXP(-LN(2)/2)*BR89+(1-EXP(-LN(2)/2))/(LN(2)/2)*BL90*BO90*VLOOKUP('Données projet'!$B$11,Paramètres!$A$1:$I$89,3,0)*0.475*44/12</f>
        <v>2.1742384786285928E-7</v>
      </c>
      <c r="BS90" s="22">
        <f t="shared" si="63"/>
        <v>58.539512269236887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3.8</v>
      </c>
      <c r="BY90" s="12">
        <f>IF('Données projet'!$A$114&gt;35,BY89+BX90-CG89,IF(A90&lt;'Données projet'!$A$114,$BV$205^A90,IF(A90='Données projet'!$A$114,'Données projet'!$B$114,BY89+BX90-CG89)))</f>
        <v>247.60000000000042</v>
      </c>
      <c r="BZ90" s="13">
        <f>BY90*VLOOKUP('Données projet'!$B$12,Paramètres!$A$1:$I$89,3,0)*VLOOKUP('Données projet'!$B$12,Paramètres!$A$1:$I$89,5,0)</f>
        <v>200.85312000000039</v>
      </c>
      <c r="CA90" s="13">
        <f t="shared" si="93"/>
        <v>49.931611207862531</v>
      </c>
      <c r="CB90" s="20">
        <f t="shared" si="64"/>
        <v>436.78340685369454</v>
      </c>
      <c r="CC90" s="59">
        <f t="shared" si="65"/>
        <v>730.11674018702786</v>
      </c>
      <c r="CD90" s="59">
        <f ca="1">AVERAGE(OFFSET($CC$3,0,0,'Données projet'!$E$12+1,1))-AVERAGE(OFFSET($H$3,0,0,'Données projet'!$E$12+1,1))</f>
        <v>192.4785660463869</v>
      </c>
      <c r="CE90" s="59">
        <f t="shared" si="94"/>
        <v>165.11095806515362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0.26188700718334151</v>
      </c>
      <c r="CL90" s="21">
        <f>EXP(-LN(2)/25)*CL89+(1-EXP(-LN(2)/25))/(LN(2)/25)*Calculateur!CG90*Calculateur!CI90*VLOOKUP('Données projet'!$B$12,Paramètres!$A$1:$I$89,3,0)*0.475*44/12</f>
        <v>0.97208266958282941</v>
      </c>
      <c r="CM90" s="21">
        <f>EXP(-LN(2)/2)*CM89+(1-EXP(-LN(2)/2))/(LN(2)/2)*CG90*CJ90*VLOOKUP('Données projet'!$B$12,Paramètres!$A$1:$I$89,3,0)*0.475*44/12</f>
        <v>1.9289085768503489E-8</v>
      </c>
      <c r="CN90" s="22">
        <f t="shared" si="66"/>
        <v>1.2339696960552566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5.7</v>
      </c>
      <c r="CT90" s="12">
        <f>IF('Données projet'!$A$140&gt;35,CT89+CS90-DB89,IF(A90&lt;'Données projet'!$A$140,$CQ$205^A90,IF(A90='Données projet'!$A$140,'Données projet'!$B$140,CT89+CS90-DB89)))</f>
        <v>261.89999999999998</v>
      </c>
      <c r="CU90" s="17">
        <f>CT90*VLOOKUP('Données projet'!$B$13,Paramètres!$A$1:$I$89,3,0)*VLOOKUP('Données projet'!$B$13,Paramètres!$A$1:$I$89,5,0)</f>
        <v>220.62456</v>
      </c>
      <c r="CV90" s="13">
        <f t="shared" si="95"/>
        <v>54.250608346019369</v>
      </c>
      <c r="CW90" s="20">
        <f t="shared" si="67"/>
        <v>478.74091820265045</v>
      </c>
      <c r="CX90" s="59">
        <f t="shared" si="68"/>
        <v>772.07425153598376</v>
      </c>
      <c r="CY90" s="59">
        <f ca="1">AVERAGE(OFFSET($CX$3,0,0,'Données projet'!$E$13+1,1))-AVERAGE(OFFSET($H$3,0,0,'Données projet'!$E$13+1,1))</f>
        <v>247.67539667223065</v>
      </c>
      <c r="CZ90" s="59">
        <f t="shared" si="96"/>
        <v>174.54442616983778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0.41441460477363939</v>
      </c>
      <c r="DG90" s="21">
        <f>EXP(-LN(2)/25)*DG89+(1-EXP(-LN(2)/25))/(LN(2)/25)*Calculateur!DB90*Calculateur!DD90*VLOOKUP('Données projet'!$B$13,Paramètres!$A$1:$I$89,3,0)*0.475*44/12</f>
        <v>1.3537475610233634</v>
      </c>
      <c r="DH90" s="21">
        <f>EXP(-LN(2)/2)*DH89+(1-EXP(-LN(2)/2))/(LN(2)/2)*DB90*DE90*VLOOKUP('Données projet'!$B$13,Paramètres!$A$1:$I$89,3,0)*0.475*44/12</f>
        <v>3.0329439329102658E-8</v>
      </c>
      <c r="DI90" s="22">
        <f t="shared" si="69"/>
        <v>1.7681621961264422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5.2606837606837598</v>
      </c>
      <c r="DO90" s="12">
        <f>IF('Données projet'!$A$166&gt;35,DO89+DN90-DW89,IF(A90&lt;'Données projet'!$A$166,$DL$205^A90,IF(A90='Données projet'!$A$166,'Données projet'!$B$166,DO89+DN90-DW89)))</f>
        <v>180.70512820512806</v>
      </c>
      <c r="DP90" s="17">
        <f>DO90*VLOOKUP('Données projet'!$B$14,Paramètres!$A$1:$I$89,3,0)*VLOOKUP('Données projet'!$B$14,Paramètres!$A$1:$I$89,5,0)</f>
        <v>180.41599999999988</v>
      </c>
      <c r="DQ90" s="13">
        <f t="shared" si="97"/>
        <v>45.414726064006082</v>
      </c>
      <c r="DR90" s="20">
        <f t="shared" si="70"/>
        <v>393.32184789481039</v>
      </c>
      <c r="DS90" s="59">
        <f t="shared" si="71"/>
        <v>686.65518122814365</v>
      </c>
      <c r="DT90" s="59">
        <f ca="1">AVERAGE(OFFSET($DS$3,0,0,'Données projet'!$E$14+1,1))-AVERAGE(OFFSET($H$3,0,0,'Données projet'!$E$14+1,1))</f>
        <v>245.06609107649069</v>
      </c>
      <c r="DU90" s="59">
        <f t="shared" si="98"/>
        <v>156.24531945456499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3.4011202926386175</v>
      </c>
      <c r="EJ90" s="12">
        <f>IF('Données projet'!$A$192&gt;35,EJ89+EI90-ER89,IF(A90&lt;'Données projet'!$A$192,$EG$205^A90,IF(A90='Données projet'!$A$192,'Données projet'!$B$192,EJ89+EI90-ER89)))</f>
        <v>203.17976530749388</v>
      </c>
      <c r="EK90" s="17">
        <f>EJ90*VLOOKUP('Données projet'!$B$15,Paramètres!$A$1:$I$89,3,0)*VLOOKUP('Données projet'!$B$15,Paramètres!$A$1:$I$89,5,0)</f>
        <v>221.87230371578329</v>
      </c>
      <c r="EL90" s="13">
        <f t="shared" si="99"/>
        <v>54.521620758794874</v>
      </c>
      <c r="EM90" s="20">
        <f t="shared" si="73"/>
        <v>481.38608512655702</v>
      </c>
      <c r="EN90" s="59">
        <f t="shared" si="74"/>
        <v>774.71941845989033</v>
      </c>
      <c r="EO90" s="59">
        <f ca="1">AVERAGE(OFFSET($EN$3,0,0,'Données projet'!$E$15+1,1))-AVERAGE(OFFSET($H$3,0,0,'Données projet'!$E$15+1,1))</f>
        <v>173.63857221119594</v>
      </c>
      <c r="EP90" s="59">
        <f t="shared" si="100"/>
        <v>52.373745617370105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199.58634493109349</v>
      </c>
      <c r="T91" s="59">
        <f t="shared" si="88"/>
        <v>288.66487031729008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1.5844331686343252</v>
      </c>
      <c r="AA91" s="21">
        <f>EXP(-LN(2)/25)*AA90+(1-EXP(-LN(2)/25))/(LN(2)/25)*Calculateur!V91*Calculateur!X91*VLOOKUP('Données projet'!$B$9,Paramètres!$A$1:$I$89,3,0)*0.475*44/12</f>
        <v>3.4305463154052309</v>
      </c>
      <c r="AB91" s="21">
        <f>EXP(-LN(2)/2)*AB90+(1-EXP(-LN(2)/2))/(LN(2)/2)*V91*Y91*VLOOKUP('Données projet'!$B$9,Paramètres!$A$1:$I$89,3,0)*0.475*44/12</f>
        <v>5.4946203779580342E-9</v>
      </c>
      <c r="AC91" s="22">
        <f t="shared" si="57"/>
        <v>5.014979489534177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14.2</v>
      </c>
      <c r="AI91" s="13">
        <f>IF('Données projet'!$A$62&gt;35,AI90+AH91-AQ90,IF(A91&lt;'Données projet'!$A$62,$AF$205^A91,IF(A91='Données projet'!$A$62,'Données projet'!$B$62,AI90+AH91-AQ90)))</f>
        <v>675.5999999999998</v>
      </c>
      <c r="AJ91" s="13">
        <f>AI91*VLOOKUP('Données projet'!$B$10,Paramètres!$A$1:$I$89,3,0)*VLOOKUP('Données projet'!$B$10,Paramètres!$A$1:$I$89,5,0)</f>
        <v>404.00879999999989</v>
      </c>
      <c r="AK91" s="13">
        <f t="shared" si="89"/>
        <v>92.588915613526382</v>
      </c>
      <c r="AL91" s="20">
        <f t="shared" si="58"/>
        <v>864.90768802689161</v>
      </c>
      <c r="AM91" s="59">
        <f t="shared" si="59"/>
        <v>1158.241021360225</v>
      </c>
      <c r="AN91" s="59">
        <f ca="1">AVERAGE(OFFSET($AM$3,0,0,'Données projet'!$E$10+1,1))-AVERAGE(OFFSET($H$3,0,0,'Données projet'!$E$10+1,1))</f>
        <v>395.40396173178527</v>
      </c>
      <c r="AO91" s="59">
        <f t="shared" si="90"/>
        <v>304.68075128568756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0.9507616007246884</v>
      </c>
      <c r="AV91" s="21">
        <f>EXP(-LN(2)/25)*AV90+(1-EXP(-LN(2)/25))/(LN(2)/25)*Calculateur!AQ91*Calculateur!AS91*VLOOKUP('Données projet'!$B$10,Paramètres!$A$1:$I$89,3,0)*0.475*44/12</f>
        <v>3.7440800181971228</v>
      </c>
      <c r="AW91" s="21">
        <f>EXP(-LN(2)/2)*AW90+(1-EXP(-LN(2)/2))/(LN(2)/2)*AQ91*AT91*VLOOKUP('Données projet'!$B$10,Paramètres!$A$1:$I$89,3,0)*0.475*44/12</f>
        <v>4.8439994960795627E-8</v>
      </c>
      <c r="AX91" s="21">
        <f t="shared" si="60"/>
        <v>4.6948416673618061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36.10000000000008</v>
      </c>
      <c r="BE91" s="13">
        <f>BD91*VLOOKUP('Données projet'!$B$11,Paramètres!$A$1:$I$89,3,0)*VLOOKUP('Données projet'!$B$11,Paramètres!$A$1:$I$89,5,0)</f>
        <v>31.536960000000075</v>
      </c>
      <c r="BF91" s="13">
        <f t="shared" si="91"/>
        <v>9.725440120377133</v>
      </c>
      <c r="BG91" s="20">
        <f t="shared" si="61"/>
        <v>71.865346876323642</v>
      </c>
      <c r="BH91" s="59">
        <f t="shared" si="62"/>
        <v>365.19868020965697</v>
      </c>
      <c r="BI91" s="59">
        <f ca="1">AVERAGE(OFFSET($BH$3,0,0,'Données projet'!$E$11+1,1))-AVERAGE(OFFSET($H$3,0,0,'Données projet'!$E$11+1,1))</f>
        <v>249.21292089724221</v>
      </c>
      <c r="BJ91" s="59">
        <f t="shared" si="92"/>
        <v>640.80644476065254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35.756571661056277</v>
      </c>
      <c r="BQ91" s="21">
        <f>EXP(-LN(2)/25)*BQ90+(1-EXP(-LN(2)/25))/(LN(2)/25)*Calculateur!BL91*Calculateur!BN91*VLOOKUP('Données projet'!$B$11,Paramètres!$A$1:$I$89,3,0)*0.475*44/12</f>
        <v>21.464307587348003</v>
      </c>
      <c r="BR91" s="21">
        <f>EXP(-LN(2)/2)*BR90+(1-EXP(-LN(2)/2))/(LN(2)/2)*BL91*BO91*VLOOKUP('Données projet'!$B$11,Paramètres!$A$1:$I$89,3,0)*0.475*44/12</f>
        <v>1.5374187721550004E-7</v>
      </c>
      <c r="BS91" s="22">
        <f t="shared" si="63"/>
        <v>57.22087940214616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3.8</v>
      </c>
      <c r="BY91" s="12">
        <f>IF('Données projet'!$A$114&gt;35,BY90+BX91-CG90,IF(A91&lt;'Données projet'!$A$114,$BV$205^A91,IF(A91='Données projet'!$A$114,'Données projet'!$B$114,BY90+BX91-CG90)))</f>
        <v>251.40000000000043</v>
      </c>
      <c r="BZ91" s="13">
        <f>BY91*VLOOKUP('Données projet'!$B$12,Paramètres!$A$1:$I$89,3,0)*VLOOKUP('Données projet'!$B$12,Paramètres!$A$1:$I$89,5,0)</f>
        <v>203.93568000000039</v>
      </c>
      <c r="CA91" s="13">
        <f t="shared" si="93"/>
        <v>50.608127642968562</v>
      </c>
      <c r="CB91" s="20">
        <f t="shared" si="64"/>
        <v>443.33046497817094</v>
      </c>
      <c r="CC91" s="59">
        <f t="shared" si="65"/>
        <v>736.66379831150425</v>
      </c>
      <c r="CD91" s="59">
        <f ca="1">AVERAGE(OFFSET($CC$3,0,0,'Données projet'!$E$12+1,1))-AVERAGE(OFFSET($H$3,0,0,'Données projet'!$E$12+1,1))</f>
        <v>192.4785660463869</v>
      </c>
      <c r="CE91" s="59">
        <f t="shared" si="94"/>
        <v>165.11095806515362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0.25675156270777799</v>
      </c>
      <c r="CL91" s="21">
        <f>EXP(-LN(2)/25)*CL90+(1-EXP(-LN(2)/25))/(LN(2)/25)*Calculateur!CG91*Calculateur!CI91*VLOOKUP('Données projet'!$B$12,Paramètres!$A$1:$I$89,3,0)*0.475*44/12</f>
        <v>0.94550101786348106</v>
      </c>
      <c r="CM91" s="21">
        <f>EXP(-LN(2)/2)*CM90+(1-EXP(-LN(2)/2))/(LN(2)/2)*CG91*CJ91*VLOOKUP('Données projet'!$B$12,Paramètres!$A$1:$I$89,3,0)*0.475*44/12</f>
        <v>1.3639443349797745E-8</v>
      </c>
      <c r="CN91" s="22">
        <f t="shared" si="66"/>
        <v>1.2022525942107025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5.7</v>
      </c>
      <c r="CT91" s="12">
        <f>IF('Données projet'!$A$140&gt;35,CT90+CS91-DB90,IF(A91&lt;'Données projet'!$A$140,$CQ$205^A91,IF(A91='Données projet'!$A$140,'Données projet'!$B$140,CT90+CS91-DB90)))</f>
        <v>267.59999999999997</v>
      </c>
      <c r="CU91" s="17">
        <f>CT91*VLOOKUP('Données projet'!$B$13,Paramètres!$A$1:$I$89,3,0)*VLOOKUP('Données projet'!$B$13,Paramètres!$A$1:$I$89,5,0)</f>
        <v>225.42624000000001</v>
      </c>
      <c r="CV91" s="13">
        <f t="shared" si="95"/>
        <v>55.292574548511105</v>
      </c>
      <c r="CW91" s="20">
        <f t="shared" si="67"/>
        <v>488.91860200532346</v>
      </c>
      <c r="CX91" s="59">
        <f t="shared" si="68"/>
        <v>782.25193533865672</v>
      </c>
      <c r="CY91" s="59">
        <f ca="1">AVERAGE(OFFSET($CX$3,0,0,'Données projet'!$E$13+1,1))-AVERAGE(OFFSET($H$3,0,0,'Données projet'!$E$13+1,1))</f>
        <v>247.67539667223065</v>
      </c>
      <c r="CZ91" s="59">
        <f t="shared" si="96"/>
        <v>174.54442616983778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0.40628818714197845</v>
      </c>
      <c r="DG91" s="21">
        <f>EXP(-LN(2)/25)*DG90+(1-EXP(-LN(2)/25))/(LN(2)/25)*Calculateur!DB91*Calculateur!DD91*VLOOKUP('Données projet'!$B$13,Paramètres!$A$1:$I$89,3,0)*0.475*44/12</f>
        <v>1.3167292627766893</v>
      </c>
      <c r="DH91" s="21">
        <f>EXP(-LN(2)/2)*DH90+(1-EXP(-LN(2)/2))/(LN(2)/2)*DB91*DE91*VLOOKUP('Données projet'!$B$13,Paramètres!$A$1:$I$89,3,0)*0.475*44/12</f>
        <v>2.1446152219194463E-8</v>
      </c>
      <c r="DI91" s="22">
        <f t="shared" si="69"/>
        <v>1.7230174713648199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5.2606837606837598</v>
      </c>
      <c r="DO91" s="12">
        <f>IF('Données projet'!$A$166&gt;35,DO90+DN91-DW90,IF(A91&lt;'Données projet'!$A$166,$DL$205^A91,IF(A91='Données projet'!$A$166,'Données projet'!$B$166,DO90+DN91-DW90)))</f>
        <v>185.96581196581181</v>
      </c>
      <c r="DP91" s="17">
        <f>DO91*VLOOKUP('Données projet'!$B$14,Paramètres!$A$1:$I$89,3,0)*VLOOKUP('Données projet'!$B$14,Paramètres!$A$1:$I$89,5,0)</f>
        <v>185.66826666666651</v>
      </c>
      <c r="DQ91" s="13">
        <f t="shared" si="97"/>
        <v>46.580986470035221</v>
      </c>
      <c r="DR91" s="20">
        <f t="shared" si="70"/>
        <v>404.50078254642216</v>
      </c>
      <c r="DS91" s="59">
        <f t="shared" si="71"/>
        <v>697.83411587975547</v>
      </c>
      <c r="DT91" s="59">
        <f ca="1">AVERAGE(OFFSET($DS$3,0,0,'Données projet'!$E$14+1,1))-AVERAGE(OFFSET($H$3,0,0,'Données projet'!$E$14+1,1))</f>
        <v>245.06609107649069</v>
      </c>
      <c r="DU91" s="59">
        <f t="shared" si="98"/>
        <v>156.24531945456499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3.4011202926386175</v>
      </c>
      <c r="EJ91" s="12">
        <f>IF('Données projet'!$A$192&gt;35,EJ90+EI91-ER90,IF(A91&lt;'Données projet'!$A$192,$EG$205^A91,IF(A91='Données projet'!$A$192,'Données projet'!$B$192,EJ90+EI91-ER90)))</f>
        <v>206.58088560013249</v>
      </c>
      <c r="EK91" s="17">
        <f>EJ91*VLOOKUP('Données projet'!$B$15,Paramètres!$A$1:$I$89,3,0)*VLOOKUP('Données projet'!$B$15,Paramètres!$A$1:$I$89,5,0)</f>
        <v>225.58632707534466</v>
      </c>
      <c r="EL91" s="13">
        <f t="shared" si="99"/>
        <v>55.327268708524549</v>
      </c>
      <c r="EM91" s="20">
        <f t="shared" si="73"/>
        <v>489.25784599023882</v>
      </c>
      <c r="EN91" s="59">
        <f t="shared" si="74"/>
        <v>782.59117932357208</v>
      </c>
      <c r="EO91" s="59">
        <f ca="1">AVERAGE(OFFSET($EN$3,0,0,'Données projet'!$E$15+1,1))-AVERAGE(OFFSET($H$3,0,0,'Données projet'!$E$15+1,1))</f>
        <v>173.63857221119594</v>
      </c>
      <c r="EP91" s="59">
        <f t="shared" si="100"/>
        <v>52.373745617370105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199.58634493109349</v>
      </c>
      <c r="T92" s="59">
        <f t="shared" si="88"/>
        <v>288.66487031729008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1.553363400606214</v>
      </c>
      <c r="AA92" s="21">
        <f>EXP(-LN(2)/25)*AA91+(1-EXP(-LN(2)/25))/(LN(2)/25)*Calculateur!V92*Calculateur!X92*VLOOKUP('Données projet'!$B$9,Paramètres!$A$1:$I$89,3,0)*0.475*44/12</f>
        <v>3.3367378460058847</v>
      </c>
      <c r="AB92" s="21">
        <f>EXP(-LN(2)/2)*AB91+(1-EXP(-LN(2)/2))/(LN(2)/2)*V92*Y92*VLOOKUP('Données projet'!$B$9,Paramètres!$A$1:$I$89,3,0)*0.475*44/12</f>
        <v>3.8852833292999167E-9</v>
      </c>
      <c r="AC92" s="22">
        <f t="shared" si="57"/>
        <v>4.8901012504973824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14.2</v>
      </c>
      <c r="AI92" s="13">
        <f>IF('Données projet'!$A$62&gt;35,AI91+AH92-AQ91,IF(A92&lt;'Données projet'!$A$62,$AF$205^A92,IF(A92='Données projet'!$A$62,'Données projet'!$B$62,AI91+AH92-AQ91)))</f>
        <v>689.79999999999984</v>
      </c>
      <c r="AJ92" s="13">
        <f>AI92*VLOOKUP('Données projet'!$B$10,Paramètres!$A$1:$I$89,3,0)*VLOOKUP('Données projet'!$B$10,Paramètres!$A$1:$I$89,5,0)</f>
        <v>412.50039999999996</v>
      </c>
      <c r="AK92" s="13">
        <f t="shared" si="89"/>
        <v>94.306372877970105</v>
      </c>
      <c r="AL92" s="20">
        <f t="shared" si="58"/>
        <v>882.6884627624645</v>
      </c>
      <c r="AM92" s="59">
        <f t="shared" si="59"/>
        <v>1176.0217960957978</v>
      </c>
      <c r="AN92" s="59">
        <f ca="1">AVERAGE(OFFSET($AM$3,0,0,'Données projet'!$E$10+1,1))-AVERAGE(OFFSET($H$3,0,0,'Données projet'!$E$10+1,1))</f>
        <v>395.40396173178527</v>
      </c>
      <c r="AO92" s="59">
        <f t="shared" si="90"/>
        <v>304.68075128568756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0.93211774564179262</v>
      </c>
      <c r="AV92" s="21">
        <f>EXP(-LN(2)/25)*AV91+(1-EXP(-LN(2)/25))/(LN(2)/25)*Calculateur!AQ92*Calculateur!AS92*VLOOKUP('Données projet'!$B$10,Paramètres!$A$1:$I$89,3,0)*0.475*44/12</f>
        <v>3.6416979532069114</v>
      </c>
      <c r="AW92" s="21">
        <f>EXP(-LN(2)/2)*AW91+(1-EXP(-LN(2)/2))/(LN(2)/2)*AQ92*AT92*VLOOKUP('Données projet'!$B$10,Paramètres!$A$1:$I$89,3,0)*0.475*44/12</f>
        <v>3.4252248917420777E-8</v>
      </c>
      <c r="AX92" s="21">
        <f t="shared" si="60"/>
        <v>4.573815733100953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36.10000000000008</v>
      </c>
      <c r="BE92" s="13">
        <f>BD92*VLOOKUP('Données projet'!$B$11,Paramètres!$A$1:$I$89,3,0)*VLOOKUP('Données projet'!$B$11,Paramètres!$A$1:$I$89,5,0)</f>
        <v>31.536960000000075</v>
      </c>
      <c r="BF92" s="13">
        <f t="shared" si="91"/>
        <v>9.725440120377133</v>
      </c>
      <c r="BG92" s="20">
        <f t="shared" si="61"/>
        <v>71.865346876323642</v>
      </c>
      <c r="BH92" s="59">
        <f t="shared" si="62"/>
        <v>365.19868020965697</v>
      </c>
      <c r="BI92" s="59">
        <f ca="1">AVERAGE(OFFSET($BH$3,0,0,'Données projet'!$E$11+1,1))-AVERAGE(OFFSET($H$3,0,0,'Données projet'!$E$11+1,1))</f>
        <v>249.21292089724221</v>
      </c>
      <c r="BJ92" s="59">
        <f t="shared" si="92"/>
        <v>640.80644476065254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35.055407100138183</v>
      </c>
      <c r="BQ92" s="21">
        <f>EXP(-LN(2)/25)*BQ91+(1-EXP(-LN(2)/25))/(LN(2)/25)*Calculateur!BL92*Calculateur!BN92*VLOOKUP('Données projet'!$B$11,Paramètres!$A$1:$I$89,3,0)*0.475*44/12</f>
        <v>20.877364967613094</v>
      </c>
      <c r="BR92" s="21">
        <f>EXP(-LN(2)/2)*BR91+(1-EXP(-LN(2)/2))/(LN(2)/2)*BL92*BO92*VLOOKUP('Données projet'!$B$11,Paramètres!$A$1:$I$89,3,0)*0.475*44/12</f>
        <v>1.0871192393142964E-7</v>
      </c>
      <c r="BS92" s="22">
        <f t="shared" si="63"/>
        <v>55.932772176463196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3.8</v>
      </c>
      <c r="BY92" s="12">
        <f>IF('Données projet'!$A$114&gt;35,BY91+BX92-CG91,IF(A92&lt;'Données projet'!$A$114,$BV$205^A92,IF(A92='Données projet'!$A$114,'Données projet'!$B$114,BY91+BX92-CG91)))</f>
        <v>255.20000000000044</v>
      </c>
      <c r="BZ92" s="13">
        <f>BY92*VLOOKUP('Données projet'!$B$12,Paramètres!$A$1:$I$89,3,0)*VLOOKUP('Données projet'!$B$12,Paramètres!$A$1:$I$89,5,0)</f>
        <v>207.01824000000036</v>
      </c>
      <c r="CA92" s="13">
        <f t="shared" si="93"/>
        <v>51.283454795262287</v>
      </c>
      <c r="CB92" s="20">
        <f t="shared" si="64"/>
        <v>449.87545176841576</v>
      </c>
      <c r="CC92" s="59">
        <f t="shared" si="65"/>
        <v>743.20878510174907</v>
      </c>
      <c r="CD92" s="59">
        <f ca="1">AVERAGE(OFFSET($CC$3,0,0,'Données projet'!$E$12+1,1))-AVERAGE(OFFSET($H$3,0,0,'Données projet'!$E$12+1,1))</f>
        <v>192.4785660463869</v>
      </c>
      <c r="CE92" s="59">
        <f t="shared" si="94"/>
        <v>165.11095806515362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0.25171682116606847</v>
      </c>
      <c r="CL92" s="21">
        <f>EXP(-LN(2)/25)*CL91+(1-EXP(-LN(2)/25))/(LN(2)/25)*Calculateur!CG92*Calculateur!CI92*VLOOKUP('Données projet'!$B$12,Paramètres!$A$1:$I$89,3,0)*0.475*44/12</f>
        <v>0.91964624280826657</v>
      </c>
      <c r="CM92" s="21">
        <f>EXP(-LN(2)/2)*CM91+(1-EXP(-LN(2)/2))/(LN(2)/2)*CG92*CJ92*VLOOKUP('Données projet'!$B$12,Paramètres!$A$1:$I$89,3,0)*0.475*44/12</f>
        <v>9.6445428842517446E-9</v>
      </c>
      <c r="CN92" s="22">
        <f t="shared" si="66"/>
        <v>1.171363073618878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5.7</v>
      </c>
      <c r="CT92" s="12">
        <f>IF('Données projet'!$A$140&gt;35,CT91+CS92-DB91,IF(A92&lt;'Données projet'!$A$140,$CQ$205^A92,IF(A92='Données projet'!$A$140,'Données projet'!$B$140,CT91+CS92-DB91)))</f>
        <v>273.29999999999995</v>
      </c>
      <c r="CU92" s="17">
        <f>CT92*VLOOKUP('Données projet'!$B$13,Paramètres!$A$1:$I$89,3,0)*VLOOKUP('Données projet'!$B$13,Paramètres!$A$1:$I$89,5,0)</f>
        <v>230.22792000000001</v>
      </c>
      <c r="CV92" s="13">
        <f t="shared" si="95"/>
        <v>56.331960322706529</v>
      </c>
      <c r="CW92" s="20">
        <f t="shared" si="67"/>
        <v>499.09179156204715</v>
      </c>
      <c r="CX92" s="59">
        <f t="shared" si="68"/>
        <v>792.42512489538046</v>
      </c>
      <c r="CY92" s="59">
        <f ca="1">AVERAGE(OFFSET($CX$3,0,0,'Données projet'!$E$13+1,1))-AVERAGE(OFFSET($H$3,0,0,'Données projet'!$E$13+1,1))</f>
        <v>247.67539667223065</v>
      </c>
      <c r="CZ92" s="59">
        <f t="shared" si="96"/>
        <v>174.54442616983778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0.39832112360344907</v>
      </c>
      <c r="DG92" s="21">
        <f>EXP(-LN(2)/25)*DG91+(1-EXP(-LN(2)/25))/(LN(2)/25)*Calculateur!DB92*Calculateur!DD92*VLOOKUP('Données projet'!$B$13,Paramètres!$A$1:$I$89,3,0)*0.475*44/12</f>
        <v>1.2807232318422783</v>
      </c>
      <c r="DH92" s="21">
        <f>EXP(-LN(2)/2)*DH91+(1-EXP(-LN(2)/2))/(LN(2)/2)*DB92*DE92*VLOOKUP('Données projet'!$B$13,Paramètres!$A$1:$I$89,3,0)*0.475*44/12</f>
        <v>1.5164719664551329E-8</v>
      </c>
      <c r="DI92" s="22">
        <f t="shared" si="69"/>
        <v>1.679044370610447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5.2606837606837598</v>
      </c>
      <c r="DO92" s="12">
        <f>IF('Données projet'!$A$166&gt;35,DO91+DN92-DW91,IF(A92&lt;'Données projet'!$A$166,$DL$205^A92,IF(A92='Données projet'!$A$166,'Données projet'!$B$166,DO91+DN92-DW91)))</f>
        <v>191.22649572649556</v>
      </c>
      <c r="DP92" s="17">
        <f>DO92*VLOOKUP('Données projet'!$B$14,Paramètres!$A$1:$I$89,3,0)*VLOOKUP('Données projet'!$B$14,Paramètres!$A$1:$I$89,5,0)</f>
        <v>190.9205333333332</v>
      </c>
      <c r="DQ92" s="13">
        <f t="shared" si="97"/>
        <v>47.743412418060544</v>
      </c>
      <c r="DR92" s="20">
        <f t="shared" si="70"/>
        <v>415.67303885034403</v>
      </c>
      <c r="DS92" s="59">
        <f t="shared" si="71"/>
        <v>709.00637218367729</v>
      </c>
      <c r="DT92" s="59">
        <f ca="1">AVERAGE(OFFSET($DS$3,0,0,'Données projet'!$E$14+1,1))-AVERAGE(OFFSET($H$3,0,0,'Données projet'!$E$14+1,1))</f>
        <v>245.06609107649069</v>
      </c>
      <c r="DU92" s="59">
        <f t="shared" si="98"/>
        <v>156.24531945456499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3.4011202926386175</v>
      </c>
      <c r="EJ92" s="12">
        <f>IF('Données projet'!$A$192&gt;35,EJ91+EI92-ER91,IF(A92&lt;'Données projet'!$A$192,$EG$205^A92,IF(A92='Données projet'!$A$192,'Données projet'!$B$192,EJ91+EI92-ER91)))</f>
        <v>209.9820058927711</v>
      </c>
      <c r="EK92" s="17">
        <f>EJ92*VLOOKUP('Données projet'!$B$15,Paramètres!$A$1:$I$89,3,0)*VLOOKUP('Données projet'!$B$15,Paramètres!$A$1:$I$89,5,0)</f>
        <v>229.30035043490602</v>
      </c>
      <c r="EL92" s="13">
        <f t="shared" si="99"/>
        <v>56.131374124007998</v>
      </c>
      <c r="EM92" s="20">
        <f t="shared" si="73"/>
        <v>497.12692027344195</v>
      </c>
      <c r="EN92" s="59">
        <f t="shared" si="74"/>
        <v>790.46025360677527</v>
      </c>
      <c r="EO92" s="59">
        <f ca="1">AVERAGE(OFFSET($EN$3,0,0,'Données projet'!$E$15+1,1))-AVERAGE(OFFSET($H$3,0,0,'Données projet'!$E$15+1,1))</f>
        <v>173.63857221119594</v>
      </c>
      <c r="EP92" s="59">
        <f t="shared" si="100"/>
        <v>52.373745617370105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199.58634493109349</v>
      </c>
      <c r="T93" s="59">
        <f t="shared" si="88"/>
        <v>288.66487031729008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1.5229028917784468</v>
      </c>
      <c r="AA93" s="21">
        <f>EXP(-LN(2)/25)*AA92+(1-EXP(-LN(2)/25))/(LN(2)/25)*Calculateur!V93*Calculateur!X93*VLOOKUP('Données projet'!$B$9,Paramètres!$A$1:$I$89,3,0)*0.475*44/12</f>
        <v>3.2454945741354368</v>
      </c>
      <c r="AB93" s="21">
        <f>EXP(-LN(2)/2)*AB92+(1-EXP(-LN(2)/2))/(LN(2)/2)*V93*Y93*VLOOKUP('Données projet'!$B$9,Paramètres!$A$1:$I$89,3,0)*0.475*44/12</f>
        <v>2.7473101889790171E-9</v>
      </c>
      <c r="AC93" s="22">
        <f t="shared" si="57"/>
        <v>4.7683974686611936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704</v>
      </c>
      <c r="AG93" s="12">
        <f>VLOOKUP(A93,'Données projet'!$A$61:$I$81,9,0)</f>
        <v>14.2</v>
      </c>
      <c r="AH93" s="12">
        <f t="array" ref="AH93">INDEX(AG:AG,MIN(IF(ISNUMBER(AG93:AG289),ROW(AG93:AG289),"")))</f>
        <v>14.2</v>
      </c>
      <c r="AI93" s="13">
        <f>IF('Données projet'!$A$62&gt;35,AI92+AH93-AQ92,IF(A93&lt;'Données projet'!$A$62,$AF$205^A93,IF(A93='Données projet'!$A$62,'Données projet'!$B$62,AI92+AH93-AQ92)))</f>
        <v>703.99999999999989</v>
      </c>
      <c r="AJ93" s="13">
        <f>AI93*VLOOKUP('Données projet'!$B$10,Paramètres!$A$1:$I$89,3,0)*VLOOKUP('Données projet'!$B$10,Paramètres!$A$1:$I$89,5,0)</f>
        <v>420.99199999999996</v>
      </c>
      <c r="AK93" s="13">
        <f t="shared" si="89"/>
        <v>96.019719437710435</v>
      </c>
      <c r="AL93" s="20">
        <f t="shared" si="58"/>
        <v>900.46207802067886</v>
      </c>
      <c r="AM93" s="59">
        <f t="shared" si="59"/>
        <v>1193.7954113540122</v>
      </c>
      <c r="AN93" s="59">
        <f ca="1">AVERAGE(OFFSET($AM$3,0,0,'Données projet'!$E$10+1,1))-AVERAGE(OFFSET($H$3,0,0,'Données projet'!$E$10+1,1))</f>
        <v>395.40396173178527</v>
      </c>
      <c r="AO93" s="59">
        <f t="shared" si="90"/>
        <v>304.68075128568756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97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0.91383948518544367</v>
      </c>
      <c r="AV93" s="21">
        <f>EXP(-LN(2)/25)*AV92+(1-EXP(-LN(2)/25))/(LN(2)/25)*Calculateur!AQ93*Calculateur!AS93*VLOOKUP('Données projet'!$B$10,Paramètres!$A$1:$I$89,3,0)*0.475*44/12</f>
        <v>3.5421155311678962</v>
      </c>
      <c r="AW93" s="21">
        <f>EXP(-LN(2)/2)*AW92+(1-EXP(-LN(2)/2))/(LN(2)/2)*AQ93*AT93*VLOOKUP('Données projet'!$B$10,Paramètres!$A$1:$I$89,3,0)*0.475*44/12</f>
        <v>2.4219997480397813E-8</v>
      </c>
      <c r="AX93" s="21">
        <f t="shared" si="60"/>
        <v>4.455955040573337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36.10000000000008</v>
      </c>
      <c r="BE93" s="13">
        <f>BD93*VLOOKUP('Données projet'!$B$11,Paramètres!$A$1:$I$89,3,0)*VLOOKUP('Données projet'!$B$11,Paramètres!$A$1:$I$89,5,0)</f>
        <v>31.536960000000075</v>
      </c>
      <c r="BF93" s="13">
        <f t="shared" si="91"/>
        <v>9.725440120377133</v>
      </c>
      <c r="BG93" s="20">
        <f t="shared" si="61"/>
        <v>71.865346876323642</v>
      </c>
      <c r="BH93" s="59">
        <f t="shared" si="62"/>
        <v>365.19868020965697</v>
      </c>
      <c r="BI93" s="59">
        <f ca="1">AVERAGE(OFFSET($BH$3,0,0,'Données projet'!$E$11+1,1))-AVERAGE(OFFSET($H$3,0,0,'Données projet'!$E$11+1,1))</f>
        <v>249.21292089724221</v>
      </c>
      <c r="BJ93" s="59">
        <f t="shared" si="92"/>
        <v>640.80644476065254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34.367991948591538</v>
      </c>
      <c r="BQ93" s="21">
        <f>EXP(-LN(2)/25)*BQ92+(1-EXP(-LN(2)/25))/(LN(2)/25)*Calculateur!BL93*Calculateur!BN93*VLOOKUP('Données projet'!$B$11,Paramètres!$A$1:$I$89,3,0)*0.475*44/12</f>
        <v>20.306472324680804</v>
      </c>
      <c r="BR93" s="21">
        <f>EXP(-LN(2)/2)*BR92+(1-EXP(-LN(2)/2))/(LN(2)/2)*BL93*BO93*VLOOKUP('Données projet'!$B$11,Paramètres!$A$1:$I$89,3,0)*0.475*44/12</f>
        <v>7.6870938607750018E-8</v>
      </c>
      <c r="BS93" s="22">
        <f t="shared" si="63"/>
        <v>54.674464350143282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259</v>
      </c>
      <c r="BW93" s="12">
        <f>VLOOKUP(A93,'Données projet'!$A$113:$I$133,9,0)</f>
        <v>3.8</v>
      </c>
      <c r="BX93" s="12">
        <f t="array" ref="BX93">INDEX(BW:BW,MIN(IF(ISNUMBER(BW93:BW289),ROW(BW93:BW289),"")))</f>
        <v>3.8</v>
      </c>
      <c r="BY93" s="12">
        <f>IF('Données projet'!$A$114&gt;35,BY92+BX93-CG92,IF(A93&lt;'Données projet'!$A$114,$BV$205^A93,IF(A93='Données projet'!$A$114,'Données projet'!$B$114,BY92+BX93-CG92)))</f>
        <v>259.00000000000045</v>
      </c>
      <c r="BZ93" s="13">
        <f>BY93*VLOOKUP('Données projet'!$B$12,Paramètres!$A$1:$I$89,3,0)*VLOOKUP('Données projet'!$B$12,Paramètres!$A$1:$I$89,5,0)</f>
        <v>210.10080000000036</v>
      </c>
      <c r="CA93" s="13">
        <f t="shared" si="93"/>
        <v>51.957612419146322</v>
      </c>
      <c r="CB93" s="20">
        <f t="shared" si="64"/>
        <v>456.41840163001376</v>
      </c>
      <c r="CC93" s="59">
        <f t="shared" si="65"/>
        <v>749.75173496334708</v>
      </c>
      <c r="CD93" s="59">
        <f ca="1">AVERAGE(OFFSET($CC$3,0,0,'Données projet'!$E$12+1,1))-AVERAGE(OFFSET($H$3,0,0,'Données projet'!$E$12+1,1))</f>
        <v>192.4785660463869</v>
      </c>
      <c r="CE93" s="59">
        <f t="shared" si="94"/>
        <v>165.11095806515362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25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0.24678080783510276</v>
      </c>
      <c r="CL93" s="21">
        <f>EXP(-LN(2)/25)*CL92+(1-EXP(-LN(2)/25))/(LN(2)/25)*Calculateur!CG93*Calculateur!CI93*VLOOKUP('Données projet'!$B$12,Paramètres!$A$1:$I$89,3,0)*0.475*44/12</f>
        <v>0.8944984679365805</v>
      </c>
      <c r="CM93" s="21">
        <f>EXP(-LN(2)/2)*CM92+(1-EXP(-LN(2)/2))/(LN(2)/2)*CG93*CJ93*VLOOKUP('Données projet'!$B$12,Paramètres!$A$1:$I$89,3,0)*0.475*44/12</f>
        <v>6.8197216748988724E-9</v>
      </c>
      <c r="CN93" s="22">
        <f t="shared" si="66"/>
        <v>1.1412792825914049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279</v>
      </c>
      <c r="CR93" s="12">
        <f>VLOOKUP(A93,'Données projet'!$A$139:$I$159,9,0)</f>
        <v>5.7</v>
      </c>
      <c r="CS93" s="12">
        <f t="array" ref="CS93">INDEX(CR:CR,MIN(IF(ISNUMBER(CR93:CR289),ROW(CR93:CR289),"")))</f>
        <v>5.7</v>
      </c>
      <c r="CT93" s="12">
        <f>IF('Données projet'!$A$140&gt;35,CT92+CS93-DB92,IF(A93&lt;'Données projet'!$A$140,$CQ$205^A93,IF(A93='Données projet'!$A$140,'Données projet'!$B$140,CT92+CS93-DB92)))</f>
        <v>278.99999999999994</v>
      </c>
      <c r="CU93" s="17">
        <f>CT93*VLOOKUP('Données projet'!$B$13,Paramètres!$A$1:$I$89,3,0)*VLOOKUP('Données projet'!$B$13,Paramètres!$A$1:$I$89,5,0)</f>
        <v>235.02959999999996</v>
      </c>
      <c r="CV93" s="13">
        <f t="shared" si="95"/>
        <v>57.368825686861157</v>
      </c>
      <c r="CW93" s="20">
        <f t="shared" si="67"/>
        <v>509.26059140461638</v>
      </c>
      <c r="CX93" s="59">
        <f t="shared" si="68"/>
        <v>802.59392473794969</v>
      </c>
      <c r="CY93" s="59">
        <f ca="1">AVERAGE(OFFSET($CX$3,0,0,'Données projet'!$E$13+1,1))-AVERAGE(OFFSET($H$3,0,0,'Données projet'!$E$13+1,1))</f>
        <v>247.67539667223065</v>
      </c>
      <c r="CZ93" s="59">
        <f t="shared" si="96"/>
        <v>174.54442616983778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40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0.3905102893214813</v>
      </c>
      <c r="DG93" s="21">
        <f>EXP(-LN(2)/25)*DG92+(1-EXP(-LN(2)/25))/(LN(2)/25)*Calculateur!DB93*Calculateur!DD93*VLOOKUP('Données projet'!$B$13,Paramètres!$A$1:$I$89,3,0)*0.475*44/12</f>
        <v>1.2457017877172436</v>
      </c>
      <c r="DH93" s="21">
        <f>EXP(-LN(2)/2)*DH92+(1-EXP(-LN(2)/2))/(LN(2)/2)*DB93*DE93*VLOOKUP('Données projet'!$B$13,Paramètres!$A$1:$I$89,3,0)*0.475*44/12</f>
        <v>1.0723076109597231E-8</v>
      </c>
      <c r="DI93" s="22">
        <f t="shared" si="69"/>
        <v>1.6362120877618012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5.2606837606837598</v>
      </c>
      <c r="DO93" s="12">
        <f>IF('Données projet'!$A$166&gt;35,DO92+DN93-DW92,IF(A93&lt;'Données projet'!$A$166,$DL$205^A93,IF(A93='Données projet'!$A$166,'Données projet'!$B$166,DO92+DN93-DW92)))</f>
        <v>196.4871794871793</v>
      </c>
      <c r="DP93" s="17">
        <f>DO93*VLOOKUP('Données projet'!$B$14,Paramètres!$A$1:$I$89,3,0)*VLOOKUP('Données projet'!$B$14,Paramètres!$A$1:$I$89,5,0)</f>
        <v>196.17279999999982</v>
      </c>
      <c r="DQ93" s="13">
        <f t="shared" si="97"/>
        <v>48.902121515238363</v>
      </c>
      <c r="DR93" s="20">
        <f t="shared" si="70"/>
        <v>426.83882163903991</v>
      </c>
      <c r="DS93" s="59">
        <f t="shared" si="71"/>
        <v>720.17215497237316</v>
      </c>
      <c r="DT93" s="59">
        <f ca="1">AVERAGE(OFFSET($DS$3,0,0,'Données projet'!$E$14+1,1))-AVERAGE(OFFSET($H$3,0,0,'Données projet'!$E$14+1,1))</f>
        <v>245.06609107649069</v>
      </c>
      <c r="DU93" s="59">
        <f t="shared" si="98"/>
        <v>156.24531945456499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213.38312618540991</v>
      </c>
      <c r="EH93" s="12">
        <f>VLOOKUP(A93,'Données projet'!$A$191:$I$211,9,0)</f>
        <v>3.4011202926386175</v>
      </c>
      <c r="EI93" s="12">
        <f t="array" ref="EI93">INDEX(EH:EH,MIN(IF(ISNUMBER(EH93:EH289),ROW(EH93:EH289),"")))</f>
        <v>3.4011202926386175</v>
      </c>
      <c r="EJ93" s="12">
        <f>IF('Données projet'!$A$192&gt;35,EJ92+EI93-ER92,IF(A93&lt;'Données projet'!$A$192,$EG$205^A93,IF(A93='Données projet'!$A$192,'Données projet'!$B$192,EJ92+EI93-ER92)))</f>
        <v>213.38312618540971</v>
      </c>
      <c r="EK93" s="17">
        <f>EJ93*VLOOKUP('Données projet'!$B$15,Paramètres!$A$1:$I$89,3,0)*VLOOKUP('Données projet'!$B$15,Paramètres!$A$1:$I$89,5,0)</f>
        <v>233.01437379446739</v>
      </c>
      <c r="EL93" s="13">
        <f t="shared" si="99"/>
        <v>56.933964874379591</v>
      </c>
      <c r="EM93" s="20">
        <f t="shared" si="73"/>
        <v>504.9933565149085</v>
      </c>
      <c r="EN93" s="59">
        <f t="shared" si="74"/>
        <v>798.32668984824181</v>
      </c>
      <c r="EO93" s="59">
        <f ca="1">AVERAGE(OFFSET($EN$3,0,0,'Données projet'!$E$15+1,1))-AVERAGE(OFFSET($H$3,0,0,'Données projet'!$E$15+1,1))</f>
        <v>173.63857221119594</v>
      </c>
      <c r="EP93" s="59">
        <f t="shared" si="100"/>
        <v>52.373745617370105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199.58634493109349</v>
      </c>
      <c r="T94" s="59">
        <f t="shared" si="88"/>
        <v>288.66487031729008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1.4930396949497162</v>
      </c>
      <c r="AA94" s="21">
        <f>EXP(-LN(2)/25)*AA93+(1-EXP(-LN(2)/25))/(LN(2)/25)*Calculateur!V94*Calculateur!X94*VLOOKUP('Données projet'!$B$9,Paramètres!$A$1:$I$89,3,0)*0.475*44/12</f>
        <v>3.1567463543325616</v>
      </c>
      <c r="AB94" s="21">
        <f>EXP(-LN(2)/2)*AB93+(1-EXP(-LN(2)/2))/(LN(2)/2)*V94*Y94*VLOOKUP('Données projet'!$B$9,Paramètres!$A$1:$I$89,3,0)*0.475*44/12</f>
        <v>1.9426416646499584E-9</v>
      </c>
      <c r="AC94" s="22">
        <f t="shared" si="57"/>
        <v>4.6497860512249192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606.99999999999989</v>
      </c>
      <c r="AJ94" s="13">
        <f>AI94*VLOOKUP('Données projet'!$B$10,Paramètres!$A$1:$I$89,3,0)*VLOOKUP('Données projet'!$B$10,Paramètres!$A$1:$I$89,5,0)</f>
        <v>362.98599999999999</v>
      </c>
      <c r="AK94" s="13">
        <f t="shared" si="89"/>
        <v>84.230767602863935</v>
      </c>
      <c r="AL94" s="20">
        <f t="shared" si="58"/>
        <v>778.90253690832139</v>
      </c>
      <c r="AM94" s="59">
        <f t="shared" si="59"/>
        <v>1072.2358702416548</v>
      </c>
      <c r="AN94" s="59">
        <f ca="1">AVERAGE(OFFSET($AM$3,0,0,'Données projet'!$E$10+1,1))-AVERAGE(OFFSET($H$3,0,0,'Données projet'!$E$10+1,1))</f>
        <v>395.40396173178527</v>
      </c>
      <c r="AO94" s="59">
        <f t="shared" si="90"/>
        <v>304.68075128568756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0.89591965026800569</v>
      </c>
      <c r="AV94" s="21">
        <f>EXP(-LN(2)/25)*AV93+(1-EXP(-LN(2)/25))/(LN(2)/25)*Calculateur!AQ94*Calculateur!AS94*VLOOKUP('Données projet'!$B$10,Paramètres!$A$1:$I$89,3,0)*0.475*44/12</f>
        <v>3.4452561956963499</v>
      </c>
      <c r="AW94" s="21">
        <f>EXP(-LN(2)/2)*AW93+(1-EXP(-LN(2)/2))/(LN(2)/2)*AQ94*AT94*VLOOKUP('Données projet'!$B$10,Paramètres!$A$1:$I$89,3,0)*0.475*44/12</f>
        <v>1.7126124458710389E-8</v>
      </c>
      <c r="AX94" s="21">
        <f t="shared" si="60"/>
        <v>4.3411758630904798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36.10000000000008</v>
      </c>
      <c r="BE94" s="13">
        <f>BD94*VLOOKUP('Données projet'!$B$11,Paramètres!$A$1:$I$89,3,0)*VLOOKUP('Données projet'!$B$11,Paramètres!$A$1:$I$89,5,0)</f>
        <v>31.536960000000075</v>
      </c>
      <c r="BF94" s="13">
        <f t="shared" si="91"/>
        <v>9.725440120377133</v>
      </c>
      <c r="BG94" s="20">
        <f t="shared" si="61"/>
        <v>71.865346876323642</v>
      </c>
      <c r="BH94" s="59">
        <f t="shared" si="62"/>
        <v>365.19868020965697</v>
      </c>
      <c r="BI94" s="59">
        <f ca="1">AVERAGE(OFFSET($BH$3,0,0,'Données projet'!$E$11+1,1))-AVERAGE(OFFSET($H$3,0,0,'Données projet'!$E$11+1,1))</f>
        <v>249.21292089724221</v>
      </c>
      <c r="BJ94" s="59">
        <f t="shared" si="92"/>
        <v>640.80644476065254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33.694056588884884</v>
      </c>
      <c r="BQ94" s="21">
        <f>EXP(-LN(2)/25)*BQ93+(1-EXP(-LN(2)/25))/(LN(2)/25)*Calculateur!BL94*Calculateur!BN94*VLOOKUP('Données projet'!$B$11,Paramètres!$A$1:$I$89,3,0)*0.475*44/12</f>
        <v>19.751190771091441</v>
      </c>
      <c r="BR94" s="21">
        <f>EXP(-LN(2)/2)*BR93+(1-EXP(-LN(2)/2))/(LN(2)/2)*BL94*BO94*VLOOKUP('Données projet'!$B$11,Paramètres!$A$1:$I$89,3,0)*0.475*44/12</f>
        <v>5.4355961965714821E-8</v>
      </c>
      <c r="BS94" s="22">
        <f t="shared" si="63"/>
        <v>53.445247414332286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234.00000000000045</v>
      </c>
      <c r="BZ94" s="13">
        <f>BY94*VLOOKUP('Données projet'!$B$12,Paramètres!$A$1:$I$89,3,0)*VLOOKUP('Données projet'!$B$12,Paramètres!$A$1:$I$89,5,0)</f>
        <v>189.82080000000036</v>
      </c>
      <c r="CA94" s="13">
        <f t="shared" si="93"/>
        <v>47.500332100049881</v>
      </c>
      <c r="CB94" s="20">
        <f t="shared" si="64"/>
        <v>413.33430507425419</v>
      </c>
      <c r="CC94" s="59">
        <f t="shared" si="65"/>
        <v>706.66763840758745</v>
      </c>
      <c r="CD94" s="59">
        <f ca="1">AVERAGE(OFFSET($CC$3,0,0,'Données projet'!$E$12+1,1))-AVERAGE(OFFSET($H$3,0,0,'Données projet'!$E$12+1,1))</f>
        <v>192.4785660463869</v>
      </c>
      <c r="CE94" s="59">
        <f t="shared" si="94"/>
        <v>165.11095806515362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0.24194158671488641</v>
      </c>
      <c r="CL94" s="21">
        <f>EXP(-LN(2)/25)*CL93+(1-EXP(-LN(2)/25))/(LN(2)/25)*Calculateur!CG94*Calculateur!CI94*VLOOKUP('Données projet'!$B$12,Paramètres!$A$1:$I$89,3,0)*0.475*44/12</f>
        <v>0.87003836029122472</v>
      </c>
      <c r="CM94" s="21">
        <f>EXP(-LN(2)/2)*CM93+(1-EXP(-LN(2)/2))/(LN(2)/2)*CG94*CJ94*VLOOKUP('Données projet'!$B$12,Paramètres!$A$1:$I$89,3,0)*0.475*44/12</f>
        <v>4.8222714421258723E-9</v>
      </c>
      <c r="CN94" s="22">
        <f t="shared" si="66"/>
        <v>1.1119799518283826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5.0999999999999996</v>
      </c>
      <c r="CT94" s="12">
        <f>IF('Données projet'!$A$140&gt;35,CT93+CS94-DB93,IF(A94&lt;'Données projet'!$A$140,$CQ$205^A94,IF(A94='Données projet'!$A$140,'Données projet'!$B$140,CT93+CS94-DB93)))</f>
        <v>244.09999999999997</v>
      </c>
      <c r="CU94" s="17">
        <f>CT94*VLOOKUP('Données projet'!$B$13,Paramètres!$A$1:$I$89,3,0)*VLOOKUP('Données projet'!$B$13,Paramètres!$A$1:$I$89,5,0)</f>
        <v>205.62984</v>
      </c>
      <c r="CV94" s="13">
        <f t="shared" si="95"/>
        <v>50.979430085195993</v>
      </c>
      <c r="CW94" s="20">
        <f t="shared" si="67"/>
        <v>446.92781206504964</v>
      </c>
      <c r="CX94" s="59">
        <f t="shared" si="68"/>
        <v>740.26114539838295</v>
      </c>
      <c r="CY94" s="59">
        <f ca="1">AVERAGE(OFFSET($CX$3,0,0,'Données projet'!$E$13+1,1))-AVERAGE(OFFSET($H$3,0,0,'Données projet'!$E$13+1,1))</f>
        <v>247.67539667223065</v>
      </c>
      <c r="CZ94" s="59">
        <f t="shared" si="96"/>
        <v>174.54442616983778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0.38285262073564447</v>
      </c>
      <c r="DG94" s="21">
        <f>EXP(-LN(2)/25)*DG93+(1-EXP(-LN(2)/25))/(LN(2)/25)*Calculateur!DB94*Calculateur!DD94*VLOOKUP('Données projet'!$B$13,Paramètres!$A$1:$I$89,3,0)*0.475*44/12</f>
        <v>1.2116380068235058</v>
      </c>
      <c r="DH94" s="21">
        <f>EXP(-LN(2)/2)*DH93+(1-EXP(-LN(2)/2))/(LN(2)/2)*DB94*DE94*VLOOKUP('Données projet'!$B$13,Paramètres!$A$1:$I$89,3,0)*0.475*44/12</f>
        <v>7.5823598322756646E-9</v>
      </c>
      <c r="DI94" s="22">
        <f t="shared" si="69"/>
        <v>1.59449063514151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5.2606837606837598</v>
      </c>
      <c r="DO94" s="12">
        <f>IF('Données projet'!$A$166&gt;35,DO93+DN94-DW93,IF(A94&lt;'Données projet'!$A$166,$DL$205^A94,IF(A94='Données projet'!$A$166,'Données projet'!$B$166,DO93+DN94-DW93)))</f>
        <v>201.74786324786305</v>
      </c>
      <c r="DP94" s="17">
        <f>DO94*VLOOKUP('Données projet'!$B$14,Paramètres!$A$1:$I$89,3,0)*VLOOKUP('Données projet'!$B$14,Paramètres!$A$1:$I$89,5,0)</f>
        <v>201.42506666666648</v>
      </c>
      <c r="DQ94" s="13">
        <f t="shared" si="97"/>
        <v>50.057224712627729</v>
      </c>
      <c r="DR94" s="20">
        <f t="shared" si="70"/>
        <v>437.99832415227075</v>
      </c>
      <c r="DS94" s="59">
        <f t="shared" si="71"/>
        <v>731.33165748560407</v>
      </c>
      <c r="DT94" s="59">
        <f ca="1">AVERAGE(OFFSET($DS$3,0,0,'Données projet'!$E$14+1,1))-AVERAGE(OFFSET($H$3,0,0,'Données projet'!$E$14+1,1))</f>
        <v>245.06609107649069</v>
      </c>
      <c r="DU94" s="59">
        <f t="shared" si="98"/>
        <v>156.24531945456499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3.4528957063300028</v>
      </c>
      <c r="EJ94" s="12">
        <f>IF('Données projet'!$A$192&gt;35,EJ93+EI94-ER93,IF(A94&lt;'Données projet'!$A$192,$EG$205^A94,IF(A94='Données projet'!$A$192,'Données projet'!$B$192,EJ93+EI94-ER93)))</f>
        <v>216.8360218917397</v>
      </c>
      <c r="EK94" s="17">
        <f>EJ94*VLOOKUP('Données projet'!$B$15,Paramètres!$A$1:$I$89,3,0)*VLOOKUP('Données projet'!$B$15,Paramètres!$A$1:$I$89,5,0)</f>
        <v>236.78493590577975</v>
      </c>
      <c r="EL94" s="13">
        <f t="shared" si="99"/>
        <v>57.747251758107929</v>
      </c>
      <c r="EM94" s="20">
        <f t="shared" si="73"/>
        <v>512.97689351460428</v>
      </c>
      <c r="EN94" s="59">
        <f t="shared" si="74"/>
        <v>806.31022684793766</v>
      </c>
      <c r="EO94" s="59">
        <f ca="1">AVERAGE(OFFSET($EN$3,0,0,'Données projet'!$E$15+1,1))-AVERAGE(OFFSET($H$3,0,0,'Données projet'!$E$15+1,1))</f>
        <v>173.63857221119594</v>
      </c>
      <c r="EP94" s="59">
        <f t="shared" si="100"/>
        <v>52.373745617370105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199.58634493109349</v>
      </c>
      <c r="T95" s="59">
        <f t="shared" si="88"/>
        <v>288.66487031729008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1.4637620971960457</v>
      </c>
      <c r="AA95" s="21">
        <f>EXP(-LN(2)/25)*AA94+(1-EXP(-LN(2)/25))/(LN(2)/25)*Calculateur!V95*Calculateur!X95*VLOOKUP('Données projet'!$B$9,Paramètres!$A$1:$I$89,3,0)*0.475*44/12</f>
        <v>3.0704249592672617</v>
      </c>
      <c r="AB95" s="21">
        <f>EXP(-LN(2)/2)*AB94+(1-EXP(-LN(2)/2))/(LN(2)/2)*V95*Y95*VLOOKUP('Données projet'!$B$9,Paramètres!$A$1:$I$89,3,0)*0.475*44/12</f>
        <v>1.3736550944895085E-9</v>
      </c>
      <c r="AC95" s="22">
        <f t="shared" si="57"/>
        <v>4.5341870578369621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606.99999999999989</v>
      </c>
      <c r="AJ95" s="13">
        <f>AI95*VLOOKUP('Données projet'!$B$10,Paramètres!$A$1:$I$89,3,0)*VLOOKUP('Données projet'!$B$10,Paramètres!$A$1:$I$89,5,0)</f>
        <v>362.98599999999999</v>
      </c>
      <c r="AK95" s="13">
        <f t="shared" si="89"/>
        <v>84.230767602863935</v>
      </c>
      <c r="AL95" s="20">
        <f t="shared" si="58"/>
        <v>778.90253690832139</v>
      </c>
      <c r="AM95" s="59">
        <f t="shared" si="59"/>
        <v>1072.2358702416548</v>
      </c>
      <c r="AN95" s="59">
        <f ca="1">AVERAGE(OFFSET($AM$3,0,0,'Données projet'!$E$10+1,1))-AVERAGE(OFFSET($H$3,0,0,'Données projet'!$E$10+1,1))</f>
        <v>395.40396173178527</v>
      </c>
      <c r="AO95" s="59">
        <f t="shared" si="90"/>
        <v>304.68075128568756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0.87835121238327862</v>
      </c>
      <c r="AV95" s="21">
        <f>EXP(-LN(2)/25)*AV94+(1-EXP(-LN(2)/25))/(LN(2)/25)*Calculateur!AQ95*Calculateur!AS95*VLOOKUP('Données projet'!$B$10,Paramètres!$A$1:$I$89,3,0)*0.475*44/12</f>
        <v>3.3510454838468839</v>
      </c>
      <c r="AW95" s="21">
        <f>EXP(-LN(2)/2)*AW94+(1-EXP(-LN(2)/2))/(LN(2)/2)*AQ95*AT95*VLOOKUP('Données projet'!$B$10,Paramètres!$A$1:$I$89,3,0)*0.475*44/12</f>
        <v>1.2109998740198907E-8</v>
      </c>
      <c r="AX95" s="21">
        <f t="shared" si="60"/>
        <v>4.2293967083401611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36.10000000000008</v>
      </c>
      <c r="BE95" s="13">
        <f>BD95*VLOOKUP('Données projet'!$B$11,Paramètres!$A$1:$I$89,3,0)*VLOOKUP('Données projet'!$B$11,Paramètres!$A$1:$I$89,5,0)</f>
        <v>31.536960000000075</v>
      </c>
      <c r="BF95" s="13">
        <f t="shared" si="91"/>
        <v>9.725440120377133</v>
      </c>
      <c r="BG95" s="20">
        <f t="shared" si="61"/>
        <v>71.865346876323642</v>
      </c>
      <c r="BH95" s="59">
        <f t="shared" si="62"/>
        <v>365.19868020965697</v>
      </c>
      <c r="BI95" s="59">
        <f ca="1">AVERAGE(OFFSET($BH$3,0,0,'Données projet'!$E$11+1,1))-AVERAGE(OFFSET($H$3,0,0,'Données projet'!$E$11+1,1))</f>
        <v>249.21292089724221</v>
      </c>
      <c r="BJ95" s="59">
        <f t="shared" si="92"/>
        <v>640.80644476065254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33.033336690522091</v>
      </c>
      <c r="BQ95" s="21">
        <f>EXP(-LN(2)/25)*BQ94+(1-EXP(-LN(2)/25))/(LN(2)/25)*Calculateur!BL95*Calculateur!BN95*VLOOKUP('Données projet'!$B$11,Paramètres!$A$1:$I$89,3,0)*0.475*44/12</f>
        <v>19.211093420785964</v>
      </c>
      <c r="BR95" s="21">
        <f>EXP(-LN(2)/2)*BR94+(1-EXP(-LN(2)/2))/(LN(2)/2)*BL95*BO95*VLOOKUP('Données projet'!$B$11,Paramètres!$A$1:$I$89,3,0)*0.475*44/12</f>
        <v>3.8435469303875009E-8</v>
      </c>
      <c r="BS95" s="22">
        <f t="shared" si="63"/>
        <v>52.244430149743522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234.00000000000045</v>
      </c>
      <c r="BZ95" s="13">
        <f>BY95*VLOOKUP('Données projet'!$B$12,Paramètres!$A$1:$I$89,3,0)*VLOOKUP('Données projet'!$B$12,Paramètres!$A$1:$I$89,5,0)</f>
        <v>189.82080000000036</v>
      </c>
      <c r="CA95" s="13">
        <f t="shared" si="93"/>
        <v>47.500332100049881</v>
      </c>
      <c r="CB95" s="20">
        <f t="shared" si="64"/>
        <v>413.33430507425419</v>
      </c>
      <c r="CC95" s="59">
        <f t="shared" si="65"/>
        <v>706.66763840758745</v>
      </c>
      <c r="CD95" s="59">
        <f ca="1">AVERAGE(OFFSET($CC$3,0,0,'Données projet'!$E$12+1,1))-AVERAGE(OFFSET($H$3,0,0,'Données projet'!$E$12+1,1))</f>
        <v>192.4785660463869</v>
      </c>
      <c r="CE95" s="59">
        <f t="shared" si="94"/>
        <v>165.11095806515362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0.23719725976920408</v>
      </c>
      <c r="CL95" s="21">
        <f>EXP(-LN(2)/25)*CL94+(1-EXP(-LN(2)/25))/(LN(2)/25)*Calculateur!CG95*Calculateur!CI95*VLOOKUP('Données projet'!$B$12,Paramètres!$A$1:$I$89,3,0)*0.475*44/12</f>
        <v>0.84624711557573229</v>
      </c>
      <c r="CM95" s="21">
        <f>EXP(-LN(2)/2)*CM94+(1-EXP(-LN(2)/2))/(LN(2)/2)*CG95*CJ95*VLOOKUP('Données projet'!$B$12,Paramètres!$A$1:$I$89,3,0)*0.475*44/12</f>
        <v>3.4098608374494362E-9</v>
      </c>
      <c r="CN95" s="22">
        <f t="shared" si="66"/>
        <v>1.0834443787547972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5.0999999999999996</v>
      </c>
      <c r="CT95" s="12">
        <f>IF('Données projet'!$A$140&gt;35,CT94+CS95-DB94,IF(A95&lt;'Données projet'!$A$140,$CQ$205^A95,IF(A95='Données projet'!$A$140,'Données projet'!$B$140,CT94+CS95-DB94)))</f>
        <v>249.19999999999996</v>
      </c>
      <c r="CU95" s="17">
        <f>CT95*VLOOKUP('Données projet'!$B$13,Paramètres!$A$1:$I$89,3,0)*VLOOKUP('Données projet'!$B$13,Paramètres!$A$1:$I$89,5,0)</f>
        <v>209.92607999999998</v>
      </c>
      <c r="CV95" s="13">
        <f t="shared" si="95"/>
        <v>51.919431987532874</v>
      </c>
      <c r="CW95" s="20">
        <f t="shared" si="67"/>
        <v>456.04760004495301</v>
      </c>
      <c r="CX95" s="59">
        <f t="shared" si="68"/>
        <v>749.38093337828627</v>
      </c>
      <c r="CY95" s="59">
        <f ca="1">AVERAGE(OFFSET($CX$3,0,0,'Données projet'!$E$13+1,1))-AVERAGE(OFFSET($H$3,0,0,'Données projet'!$E$13+1,1))</f>
        <v>247.67539667223065</v>
      </c>
      <c r="CZ95" s="59">
        <f t="shared" si="96"/>
        <v>174.54442616983778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0.37534511436005924</v>
      </c>
      <c r="DG95" s="21">
        <f>EXP(-LN(2)/25)*DG94+(1-EXP(-LN(2)/25))/(LN(2)/25)*Calculateur!DB95*Calculateur!DD95*VLOOKUP('Données projet'!$B$13,Paramètres!$A$1:$I$89,3,0)*0.475*44/12</f>
        <v>1.1785057018096434</v>
      </c>
      <c r="DH95" s="21">
        <f>EXP(-LN(2)/2)*DH94+(1-EXP(-LN(2)/2))/(LN(2)/2)*DB95*DE95*VLOOKUP('Données projet'!$B$13,Paramètres!$A$1:$I$89,3,0)*0.475*44/12</f>
        <v>5.3615380547986156E-9</v>
      </c>
      <c r="DI95" s="22">
        <f t="shared" si="69"/>
        <v>1.5538508215312408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5.2606837606837598</v>
      </c>
      <c r="DO95" s="12">
        <f>IF('Données projet'!$A$166&gt;35,DO94+DN95-DW94,IF(A95&lt;'Données projet'!$A$166,$DL$205^A95,IF(A95='Données projet'!$A$166,'Données projet'!$B$166,DO94+DN95-DW94)))</f>
        <v>207.0085470085468</v>
      </c>
      <c r="DP95" s="17">
        <f>DO95*VLOOKUP('Données projet'!$B$14,Paramètres!$A$1:$I$89,3,0)*VLOOKUP('Données projet'!$B$14,Paramètres!$A$1:$I$89,5,0)</f>
        <v>206.67733333333314</v>
      </c>
      <c r="DQ95" s="13">
        <f t="shared" si="97"/>
        <v>51.208826845504362</v>
      </c>
      <c r="DR95" s="20">
        <f t="shared" si="70"/>
        <v>449.15172897814188</v>
      </c>
      <c r="DS95" s="59">
        <f t="shared" si="71"/>
        <v>742.48506231147519</v>
      </c>
      <c r="DT95" s="59">
        <f ca="1">AVERAGE(OFFSET($DS$3,0,0,'Données projet'!$E$14+1,1))-AVERAGE(OFFSET($H$3,0,0,'Données projet'!$E$14+1,1))</f>
        <v>245.06609107649069</v>
      </c>
      <c r="DU95" s="59">
        <f t="shared" si="98"/>
        <v>156.24531945456499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3.4528957063300028</v>
      </c>
      <c r="EJ95" s="12">
        <f>IF('Données projet'!$A$192&gt;35,EJ94+EI95-ER94,IF(A95&lt;'Données projet'!$A$192,$EG$205^A95,IF(A95='Données projet'!$A$192,'Données projet'!$B$192,EJ94+EI95-ER94)))</f>
        <v>220.2889175980697</v>
      </c>
      <c r="EK95" s="17">
        <f>EJ95*VLOOKUP('Données projet'!$B$15,Paramètres!$A$1:$I$89,3,0)*VLOOKUP('Données projet'!$B$15,Paramètres!$A$1:$I$89,5,0)</f>
        <v>240.55549801709211</v>
      </c>
      <c r="EL95" s="13">
        <f t="shared" si="99"/>
        <v>58.559032500414034</v>
      </c>
      <c r="EM95" s="20">
        <f t="shared" si="73"/>
        <v>520.95780731798982</v>
      </c>
      <c r="EN95" s="59">
        <f t="shared" si="74"/>
        <v>814.29114065132308</v>
      </c>
      <c r="EO95" s="59">
        <f ca="1">AVERAGE(OFFSET($EN$3,0,0,'Données projet'!$E$15+1,1))-AVERAGE(OFFSET($H$3,0,0,'Données projet'!$E$15+1,1))</f>
        <v>173.63857221119594</v>
      </c>
      <c r="EP95" s="59">
        <f t="shared" si="100"/>
        <v>52.373745617370105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199.58634493109349</v>
      </c>
      <c r="T96" s="59">
        <f t="shared" si="88"/>
        <v>288.66487031729008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1.435058615276753</v>
      </c>
      <c r="AA96" s="21">
        <f>EXP(-LN(2)/25)*AA95+(1-EXP(-LN(2)/25))/(LN(2)/25)*Calculateur!V96*Calculateur!X96*VLOOKUP('Données projet'!$B$9,Paramètres!$A$1:$I$89,3,0)*0.475*44/12</f>
        <v>2.9864640272894674</v>
      </c>
      <c r="AB96" s="21">
        <f>EXP(-LN(2)/2)*AB95+(1-EXP(-LN(2)/2))/(LN(2)/2)*V96*Y96*VLOOKUP('Données projet'!$B$9,Paramètres!$A$1:$I$89,3,0)*0.475*44/12</f>
        <v>9.7132083232497918E-10</v>
      </c>
      <c r="AC96" s="22">
        <f t="shared" si="57"/>
        <v>4.421522643537541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606.99999999999989</v>
      </c>
      <c r="AJ96" s="13">
        <f>AI96*VLOOKUP('Données projet'!$B$10,Paramètres!$A$1:$I$89,3,0)*VLOOKUP('Données projet'!$B$10,Paramètres!$A$1:$I$89,5,0)</f>
        <v>362.98599999999999</v>
      </c>
      <c r="AK96" s="13">
        <f t="shared" si="89"/>
        <v>84.230767602863935</v>
      </c>
      <c r="AL96" s="20">
        <f t="shared" si="58"/>
        <v>778.90253690832139</v>
      </c>
      <c r="AM96" s="59">
        <f t="shared" si="59"/>
        <v>1072.2358702416548</v>
      </c>
      <c r="AN96" s="59">
        <f ca="1">AVERAGE(OFFSET($AM$3,0,0,'Données projet'!$E$10+1,1))-AVERAGE(OFFSET($H$3,0,0,'Données projet'!$E$10+1,1))</f>
        <v>395.40396173178527</v>
      </c>
      <c r="AO96" s="59">
        <f t="shared" si="90"/>
        <v>304.68075128568756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0.86112728084978207</v>
      </c>
      <c r="AV96" s="21">
        <f>EXP(-LN(2)/25)*AV95+(1-EXP(-LN(2)/25))/(LN(2)/25)*Calculateur!AQ96*Calculateur!AS96*VLOOKUP('Données projet'!$B$10,Paramètres!$A$1:$I$89,3,0)*0.475*44/12</f>
        <v>3.2594109688672677</v>
      </c>
      <c r="AW96" s="21">
        <f>EXP(-LN(2)/2)*AW95+(1-EXP(-LN(2)/2))/(LN(2)/2)*AQ96*AT96*VLOOKUP('Données projet'!$B$10,Paramètres!$A$1:$I$89,3,0)*0.475*44/12</f>
        <v>8.5630622293551943E-9</v>
      </c>
      <c r="AX96" s="21">
        <f t="shared" si="60"/>
        <v>4.1205382582801118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36.10000000000008</v>
      </c>
      <c r="BE96" s="13">
        <f>BD96*VLOOKUP('Données projet'!$B$11,Paramètres!$A$1:$I$89,3,0)*VLOOKUP('Données projet'!$B$11,Paramètres!$A$1:$I$89,5,0)</f>
        <v>31.536960000000075</v>
      </c>
      <c r="BF96" s="13">
        <f t="shared" si="91"/>
        <v>9.725440120377133</v>
      </c>
      <c r="BG96" s="20">
        <f t="shared" si="61"/>
        <v>71.865346876323642</v>
      </c>
      <c r="BH96" s="59">
        <f t="shared" si="62"/>
        <v>365.19868020965697</v>
      </c>
      <c r="BI96" s="59">
        <f ca="1">AVERAGE(OFFSET($BH$3,0,0,'Données projet'!$E$11+1,1))-AVERAGE(OFFSET($H$3,0,0,'Données projet'!$E$11+1,1))</f>
        <v>249.21292089724221</v>
      </c>
      <c r="BJ96" s="59">
        <f t="shared" si="92"/>
        <v>640.80644476065254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32.385573106366849</v>
      </c>
      <c r="BQ96" s="21">
        <f>EXP(-LN(2)/25)*BQ95+(1-EXP(-LN(2)/25))/(LN(2)/25)*Calculateur!BL96*Calculateur!BN96*VLOOKUP('Données projet'!$B$11,Paramètres!$A$1:$I$89,3,0)*0.475*44/12</f>
        <v>18.685765060927075</v>
      </c>
      <c r="BR96" s="21">
        <f>EXP(-LN(2)/2)*BR95+(1-EXP(-LN(2)/2))/(LN(2)/2)*BL96*BO96*VLOOKUP('Données projet'!$B$11,Paramètres!$A$1:$I$89,3,0)*0.475*44/12</f>
        <v>2.7177980982857411E-8</v>
      </c>
      <c r="BS96" s="22">
        <f t="shared" si="63"/>
        <v>51.071338194471906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234.00000000000045</v>
      </c>
      <c r="BZ96" s="13">
        <f>BY96*VLOOKUP('Données projet'!$B$12,Paramètres!$A$1:$I$89,3,0)*VLOOKUP('Données projet'!$B$12,Paramètres!$A$1:$I$89,5,0)</f>
        <v>189.82080000000036</v>
      </c>
      <c r="CA96" s="13">
        <f t="shared" si="93"/>
        <v>47.500332100049881</v>
      </c>
      <c r="CB96" s="20">
        <f t="shared" si="64"/>
        <v>413.33430507425419</v>
      </c>
      <c r="CC96" s="59">
        <f t="shared" si="65"/>
        <v>706.66763840758745</v>
      </c>
      <c r="CD96" s="59">
        <f ca="1">AVERAGE(OFFSET($CC$3,0,0,'Données projet'!$E$12+1,1))-AVERAGE(OFFSET($H$3,0,0,'Données projet'!$E$12+1,1))</f>
        <v>192.4785660463869</v>
      </c>
      <c r="CE96" s="59">
        <f t="shared" si="94"/>
        <v>165.11095806515362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0.23254596618117288</v>
      </c>
      <c r="CL96" s="21">
        <f>EXP(-LN(2)/25)*CL95+(1-EXP(-LN(2)/25))/(LN(2)/25)*Calculateur!CG96*Calculateur!CI96*VLOOKUP('Données projet'!$B$12,Paramètres!$A$1:$I$89,3,0)*0.475*44/12</f>
        <v>0.82310644369811226</v>
      </c>
      <c r="CM96" s="21">
        <f>EXP(-LN(2)/2)*CM95+(1-EXP(-LN(2)/2))/(LN(2)/2)*CG96*CJ96*VLOOKUP('Données projet'!$B$12,Paramètres!$A$1:$I$89,3,0)*0.475*44/12</f>
        <v>2.4111357210629362E-9</v>
      </c>
      <c r="CN96" s="22">
        <f t="shared" si="66"/>
        <v>1.0556524122904209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5.0999999999999996</v>
      </c>
      <c r="CT96" s="12">
        <f>IF('Données projet'!$A$140&gt;35,CT95+CS96-DB95,IF(A96&lt;'Données projet'!$A$140,$CQ$205^A96,IF(A96='Données projet'!$A$140,'Données projet'!$B$140,CT95+CS96-DB95)))</f>
        <v>254.29999999999995</v>
      </c>
      <c r="CU96" s="17">
        <f>CT96*VLOOKUP('Données projet'!$B$13,Paramètres!$A$1:$I$89,3,0)*VLOOKUP('Données projet'!$B$13,Paramètres!$A$1:$I$89,5,0)</f>
        <v>214.22231999999997</v>
      </c>
      <c r="CV96" s="13">
        <f t="shared" si="95"/>
        <v>52.857197133327972</v>
      </c>
      <c r="CW96" s="20">
        <f t="shared" si="67"/>
        <v>465.16349234054616</v>
      </c>
      <c r="CX96" s="59">
        <f t="shared" si="68"/>
        <v>758.49682567387947</v>
      </c>
      <c r="CY96" s="59">
        <f ca="1">AVERAGE(OFFSET($CX$3,0,0,'Données projet'!$E$13+1,1))-AVERAGE(OFFSET($H$3,0,0,'Données projet'!$E$13+1,1))</f>
        <v>247.67539667223065</v>
      </c>
      <c r="CZ96" s="59">
        <f t="shared" si="96"/>
        <v>174.54442616983778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0.36798482560537249</v>
      </c>
      <c r="DG96" s="21">
        <f>EXP(-LN(2)/25)*DG95+(1-EXP(-LN(2)/25))/(LN(2)/25)*Calculateur!DB96*Calculateur!DD96*VLOOKUP('Données projet'!$B$13,Paramètres!$A$1:$I$89,3,0)*0.475*44/12</f>
        <v>1.1462794014187374</v>
      </c>
      <c r="DH96" s="21">
        <f>EXP(-LN(2)/2)*DH95+(1-EXP(-LN(2)/2))/(LN(2)/2)*DB96*DE96*VLOOKUP('Données projet'!$B$13,Paramètres!$A$1:$I$89,3,0)*0.475*44/12</f>
        <v>3.7911799161378323E-9</v>
      </c>
      <c r="DI96" s="22">
        <f t="shared" si="69"/>
        <v>1.5142642308152898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212.26923076923075</v>
      </c>
      <c r="DM96" s="12">
        <f>VLOOKUP(A96,'Données projet'!$A$165:$I$185,9,0)</f>
        <v>5.2606837606837598</v>
      </c>
      <c r="DN96" s="12">
        <f t="array" ref="DN96">INDEX(DM:DM,MIN(IF(ISNUMBER(DM96:DM292),ROW(DM96:DM292),"")))</f>
        <v>5.2606837606837598</v>
      </c>
      <c r="DO96" s="12">
        <f>IF('Données projet'!$A$166&gt;35,DO95+DN96-DW95,IF(A96&lt;'Données projet'!$A$166,$DL$205^A96,IF(A96='Données projet'!$A$166,'Données projet'!$B$166,DO95+DN96-DW95)))</f>
        <v>212.26923076923055</v>
      </c>
      <c r="DP96" s="17">
        <f>DO96*VLOOKUP('Données projet'!$B$14,Paramètres!$A$1:$I$89,3,0)*VLOOKUP('Données projet'!$B$14,Paramètres!$A$1:$I$89,5,0)</f>
        <v>211.92959999999979</v>
      </c>
      <c r="DQ96" s="13">
        <f t="shared" si="97"/>
        <v>52.357027117204822</v>
      </c>
      <c r="DR96" s="20">
        <f t="shared" si="70"/>
        <v>460.29920889579802</v>
      </c>
      <c r="DS96" s="59">
        <f t="shared" si="71"/>
        <v>753.63254222913133</v>
      </c>
      <c r="DT96" s="59">
        <f ca="1">AVERAGE(OFFSET($DS$3,0,0,'Données projet'!$E$14+1,1))-AVERAGE(OFFSET($H$3,0,0,'Données projet'!$E$14+1,1))</f>
        <v>245.06609107649069</v>
      </c>
      <c r="DU96" s="59">
        <f t="shared" si="98"/>
        <v>156.24531945456499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30.083333333333332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3.4528957063300028</v>
      </c>
      <c r="EJ96" s="12">
        <f>IF('Données projet'!$A$192&gt;35,EJ95+EI96-ER95,IF(A96&lt;'Données projet'!$A$192,$EG$205^A96,IF(A96='Données projet'!$A$192,'Données projet'!$B$192,EJ95+EI96-ER95)))</f>
        <v>223.7418133043997</v>
      </c>
      <c r="EK96" s="17">
        <f>EJ96*VLOOKUP('Données projet'!$B$15,Paramètres!$A$1:$I$89,3,0)*VLOOKUP('Données projet'!$B$15,Paramètres!$A$1:$I$89,5,0)</f>
        <v>244.32606012840444</v>
      </c>
      <c r="EL96" s="13">
        <f t="shared" si="99"/>
        <v>59.369333435252955</v>
      </c>
      <c r="EM96" s="20">
        <f t="shared" si="73"/>
        <v>528.93614379003657</v>
      </c>
      <c r="EN96" s="59">
        <f t="shared" si="74"/>
        <v>822.26947712336982</v>
      </c>
      <c r="EO96" s="59">
        <f ca="1">AVERAGE(OFFSET($EN$3,0,0,'Données projet'!$E$15+1,1))-AVERAGE(OFFSET($H$3,0,0,'Données projet'!$E$15+1,1))</f>
        <v>173.63857221119594</v>
      </c>
      <c r="EP96" s="59">
        <f t="shared" si="100"/>
        <v>52.373745617370105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199.58634493109349</v>
      </c>
      <c r="T97" s="59">
        <f t="shared" si="88"/>
        <v>288.66487031729008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1.4069179911305025</v>
      </c>
      <c r="AA97" s="21">
        <f>EXP(-LN(2)/25)*AA96+(1-EXP(-LN(2)/25))/(LN(2)/25)*Calculateur!V97*Calculateur!X97*VLOOKUP('Données projet'!$B$9,Paramètres!$A$1:$I$89,3,0)*0.475*44/12</f>
        <v>2.9047990114119195</v>
      </c>
      <c r="AB97" s="21">
        <f>EXP(-LN(2)/2)*AB96+(1-EXP(-LN(2)/2))/(LN(2)/2)*V97*Y97*VLOOKUP('Données projet'!$B$9,Paramètres!$A$1:$I$89,3,0)*0.475*44/12</f>
        <v>6.8682754724475427E-10</v>
      </c>
      <c r="AC97" s="22">
        <f t="shared" si="57"/>
        <v>4.3117170032292496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606.99999999999989</v>
      </c>
      <c r="AJ97" s="13">
        <f>AI97*VLOOKUP('Données projet'!$B$10,Paramètres!$A$1:$I$89,3,0)*VLOOKUP('Données projet'!$B$10,Paramètres!$A$1:$I$89,5,0)</f>
        <v>362.98599999999999</v>
      </c>
      <c r="AK97" s="13">
        <f t="shared" si="89"/>
        <v>84.230767602863935</v>
      </c>
      <c r="AL97" s="20">
        <f t="shared" si="58"/>
        <v>778.90253690832139</v>
      </c>
      <c r="AM97" s="59">
        <f t="shared" si="59"/>
        <v>1072.2358702416548</v>
      </c>
      <c r="AN97" s="59">
        <f ca="1">AVERAGE(OFFSET($AM$3,0,0,'Données projet'!$E$10+1,1))-AVERAGE(OFFSET($H$3,0,0,'Données projet'!$E$10+1,1))</f>
        <v>395.40396173178527</v>
      </c>
      <c r="AO97" s="59">
        <f t="shared" si="90"/>
        <v>304.68075128568756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0.84424110010809639</v>
      </c>
      <c r="AV97" s="21">
        <f>EXP(-LN(2)/25)*AV96+(1-EXP(-LN(2)/25))/(LN(2)/25)*Calculateur!AQ97*Calculateur!AS97*VLOOKUP('Données projet'!$B$10,Paramètres!$A$1:$I$89,3,0)*0.475*44/12</f>
        <v>3.1702822045186188</v>
      </c>
      <c r="AW97" s="21">
        <f>EXP(-LN(2)/2)*AW96+(1-EXP(-LN(2)/2))/(LN(2)/2)*AQ97*AT97*VLOOKUP('Données projet'!$B$10,Paramètres!$A$1:$I$89,3,0)*0.475*44/12</f>
        <v>6.0549993700994533E-9</v>
      </c>
      <c r="AX97" s="21">
        <f t="shared" si="60"/>
        <v>4.0145233106817146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36.10000000000008</v>
      </c>
      <c r="BE97" s="13">
        <f>BD97*VLOOKUP('Données projet'!$B$11,Paramètres!$A$1:$I$89,3,0)*VLOOKUP('Données projet'!$B$11,Paramètres!$A$1:$I$89,5,0)</f>
        <v>31.536960000000075</v>
      </c>
      <c r="BF97" s="13">
        <f t="shared" si="91"/>
        <v>9.725440120377133</v>
      </c>
      <c r="BG97" s="20">
        <f t="shared" si="61"/>
        <v>71.865346876323642</v>
      </c>
      <c r="BH97" s="59">
        <f t="shared" si="62"/>
        <v>365.19868020965697</v>
      </c>
      <c r="BI97" s="59">
        <f ca="1">AVERAGE(OFFSET($BH$3,0,0,'Données projet'!$E$11+1,1))-AVERAGE(OFFSET($H$3,0,0,'Données projet'!$E$11+1,1))</f>
        <v>249.21292089724221</v>
      </c>
      <c r="BJ97" s="59">
        <f t="shared" si="92"/>
        <v>640.80644476065254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31.750511771000117</v>
      </c>
      <c r="BQ97" s="21">
        <f>EXP(-LN(2)/25)*BQ96+(1-EXP(-LN(2)/25))/(LN(2)/25)*Calculateur!BL97*Calculateur!BN97*VLOOKUP('Données projet'!$B$11,Paramètres!$A$1:$I$89,3,0)*0.475*44/12</f>
        <v>18.174801832694346</v>
      </c>
      <c r="BR97" s="21">
        <f>EXP(-LN(2)/2)*BR96+(1-EXP(-LN(2)/2))/(LN(2)/2)*BL97*BO97*VLOOKUP('Données projet'!$B$11,Paramètres!$A$1:$I$89,3,0)*0.475*44/12</f>
        <v>1.9217734651937505E-8</v>
      </c>
      <c r="BS97" s="22">
        <f t="shared" si="63"/>
        <v>49.925313622912199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234.00000000000045</v>
      </c>
      <c r="BZ97" s="13">
        <f>BY97*VLOOKUP('Données projet'!$B$12,Paramètres!$A$1:$I$89,3,0)*VLOOKUP('Données projet'!$B$12,Paramètres!$A$1:$I$89,5,0)</f>
        <v>189.82080000000036</v>
      </c>
      <c r="CA97" s="13">
        <f t="shared" si="93"/>
        <v>47.500332100049881</v>
      </c>
      <c r="CB97" s="20">
        <f t="shared" si="64"/>
        <v>413.33430507425419</v>
      </c>
      <c r="CC97" s="59">
        <f t="shared" si="65"/>
        <v>706.66763840758745</v>
      </c>
      <c r="CD97" s="59">
        <f ca="1">AVERAGE(OFFSET($CC$3,0,0,'Données projet'!$E$12+1,1))-AVERAGE(OFFSET($H$3,0,0,'Données projet'!$E$12+1,1))</f>
        <v>192.4785660463869</v>
      </c>
      <c r="CE97" s="59">
        <f t="shared" si="94"/>
        <v>165.11095806515362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0.227985881623394</v>
      </c>
      <c r="CL97" s="21">
        <f>EXP(-LN(2)/25)*CL96+(1-EXP(-LN(2)/25))/(LN(2)/25)*Calculateur!CG97*Calculateur!CI97*VLOOKUP('Données projet'!$B$12,Paramètres!$A$1:$I$89,3,0)*0.475*44/12</f>
        <v>0.80059855470990071</v>
      </c>
      <c r="CM97" s="21">
        <f>EXP(-LN(2)/2)*CM96+(1-EXP(-LN(2)/2))/(LN(2)/2)*CG97*CJ97*VLOOKUP('Données projet'!$B$12,Paramètres!$A$1:$I$89,3,0)*0.475*44/12</f>
        <v>1.7049304187247181E-9</v>
      </c>
      <c r="CN97" s="22">
        <f t="shared" si="66"/>
        <v>1.0285844380382252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5.0999999999999996</v>
      </c>
      <c r="CT97" s="12">
        <f>IF('Données projet'!$A$140&gt;35,CT96+CS97-DB96,IF(A97&lt;'Données projet'!$A$140,$CQ$205^A97,IF(A97='Données projet'!$A$140,'Données projet'!$B$140,CT96+CS97-DB96)))</f>
        <v>259.39999999999998</v>
      </c>
      <c r="CU97" s="17">
        <f>CT97*VLOOKUP('Données projet'!$B$13,Paramètres!$A$1:$I$89,3,0)*VLOOKUP('Données projet'!$B$13,Paramètres!$A$1:$I$89,5,0)</f>
        <v>218.51856000000001</v>
      </c>
      <c r="CV97" s="13">
        <f t="shared" si="95"/>
        <v>53.792775550715895</v>
      </c>
      <c r="CW97" s="20">
        <f t="shared" si="67"/>
        <v>474.2755760841635</v>
      </c>
      <c r="CX97" s="59">
        <f t="shared" si="68"/>
        <v>767.60890941749676</v>
      </c>
      <c r="CY97" s="59">
        <f ca="1">AVERAGE(OFFSET($CX$3,0,0,'Données projet'!$E$13+1,1))-AVERAGE(OFFSET($H$3,0,0,'Données projet'!$E$13+1,1))</f>
        <v>247.67539667223065</v>
      </c>
      <c r="CZ97" s="59">
        <f t="shared" si="96"/>
        <v>174.54442616983778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0.36076886762383231</v>
      </c>
      <c r="DG97" s="21">
        <f>EXP(-LN(2)/25)*DG96+(1-EXP(-LN(2)/25))/(LN(2)/25)*Calculateur!DB97*Calculateur!DD97*VLOOKUP('Données projet'!$B$13,Paramètres!$A$1:$I$89,3,0)*0.475*44/12</f>
        <v>1.1149343309067281</v>
      </c>
      <c r="DH97" s="21">
        <f>EXP(-LN(2)/2)*DH96+(1-EXP(-LN(2)/2))/(LN(2)/2)*DB97*DE97*VLOOKUP('Données projet'!$B$13,Paramètres!$A$1:$I$89,3,0)*0.475*44/12</f>
        <v>2.6807690273993078E-9</v>
      </c>
      <c r="DI97" s="22">
        <f t="shared" si="69"/>
        <v>1.4757032012113294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5.2583333333333373</v>
      </c>
      <c r="DO97" s="12">
        <f>IF('Données projet'!$A$166&gt;35,DO96+DN97-DW96,IF(A97&lt;'Données projet'!$A$166,$DL$205^A97,IF(A97='Données projet'!$A$166,'Données projet'!$B$166,DO96+DN97-DW96)))</f>
        <v>187.44423076923053</v>
      </c>
      <c r="DP97" s="17">
        <f>DO97*VLOOKUP('Données projet'!$B$14,Paramètres!$A$1:$I$89,3,0)*VLOOKUP('Données projet'!$B$14,Paramètres!$A$1:$I$89,5,0)</f>
        <v>187.14431999999977</v>
      </c>
      <c r="DQ97" s="13">
        <f t="shared" si="97"/>
        <v>46.908047167803581</v>
      </c>
      <c r="DR97" s="20">
        <f t="shared" si="70"/>
        <v>407.64120615059079</v>
      </c>
      <c r="DS97" s="59">
        <f t="shared" si="71"/>
        <v>700.9745394839241</v>
      </c>
      <c r="DT97" s="59">
        <f ca="1">AVERAGE(OFFSET($DS$3,0,0,'Données projet'!$E$14+1,1))-AVERAGE(OFFSET($H$3,0,0,'Données projet'!$E$14+1,1))</f>
        <v>245.06609107649069</v>
      </c>
      <c r="DU97" s="59">
        <f t="shared" si="98"/>
        <v>156.24531945456499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3.4528957063300028</v>
      </c>
      <c r="EJ97" s="12">
        <f>IF('Données projet'!$A$192&gt;35,EJ96+EI97-ER96,IF(A97&lt;'Données projet'!$A$192,$EG$205^A97,IF(A97='Données projet'!$A$192,'Données projet'!$B$192,EJ96+EI97-ER96)))</f>
        <v>227.1947090107297</v>
      </c>
      <c r="EK97" s="17">
        <f>EJ97*VLOOKUP('Données projet'!$B$15,Paramètres!$A$1:$I$89,3,0)*VLOOKUP('Données projet'!$B$15,Paramètres!$A$1:$I$89,5,0)</f>
        <v>248.09662223971682</v>
      </c>
      <c r="EL97" s="13">
        <f t="shared" si="99"/>
        <v>60.17818003714742</v>
      </c>
      <c r="EM97" s="20">
        <f t="shared" si="73"/>
        <v>536.91194729887184</v>
      </c>
      <c r="EN97" s="59">
        <f t="shared" si="74"/>
        <v>830.24528063220509</v>
      </c>
      <c r="EO97" s="59">
        <f ca="1">AVERAGE(OFFSET($EN$3,0,0,'Données projet'!$E$15+1,1))-AVERAGE(OFFSET($H$3,0,0,'Données projet'!$E$15+1,1))</f>
        <v>173.63857221119594</v>
      </c>
      <c r="EP97" s="59">
        <f t="shared" si="100"/>
        <v>52.373745617370105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199.58634493109349</v>
      </c>
      <c r="T98" s="59">
        <f t="shared" si="88"/>
        <v>288.66487031729008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1.3793291874596743</v>
      </c>
      <c r="AA98" s="21">
        <f>EXP(-LN(2)/25)*AA97+(1-EXP(-LN(2)/25))/(LN(2)/25)*Calculateur!V98*Calculateur!X98*VLOOKUP('Données projet'!$B$9,Paramètres!$A$1:$I$89,3,0)*0.475*44/12</f>
        <v>2.8253671296881198</v>
      </c>
      <c r="AB98" s="21">
        <f>EXP(-LN(2)/2)*AB97+(1-EXP(-LN(2)/2))/(LN(2)/2)*V98*Y98*VLOOKUP('Données projet'!$B$9,Paramètres!$A$1:$I$89,3,0)*0.475*44/12</f>
        <v>4.8566041616248959E-10</v>
      </c>
      <c r="AC98" s="22">
        <f t="shared" si="57"/>
        <v>4.2046963176334549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606.99999999999989</v>
      </c>
      <c r="AJ98" s="13">
        <f>AI98*VLOOKUP('Données projet'!$B$10,Paramètres!$A$1:$I$89,3,0)*VLOOKUP('Données projet'!$B$10,Paramètres!$A$1:$I$89,5,0)</f>
        <v>362.98599999999999</v>
      </c>
      <c r="AK98" s="13">
        <f t="shared" si="89"/>
        <v>84.230767602863935</v>
      </c>
      <c r="AL98" s="20">
        <f t="shared" si="58"/>
        <v>778.90253690832139</v>
      </c>
      <c r="AM98" s="59">
        <f t="shared" si="59"/>
        <v>1072.2358702416548</v>
      </c>
      <c r="AN98" s="59">
        <f ca="1">AVERAGE(OFFSET($AM$3,0,0,'Données projet'!$E$10+1,1))-AVERAGE(OFFSET($H$3,0,0,'Données projet'!$E$10+1,1))</f>
        <v>395.40396173178527</v>
      </c>
      <c r="AO98" s="59">
        <f t="shared" si="90"/>
        <v>304.68075128568756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0.82768604707120197</v>
      </c>
      <c r="AV98" s="21">
        <f>EXP(-LN(2)/25)*AV97+(1-EXP(-LN(2)/25))/(LN(2)/25)*Calculateur!AQ98*Calculateur!AS98*VLOOKUP('Données projet'!$B$10,Paramètres!$A$1:$I$89,3,0)*0.475*44/12</f>
        <v>3.083590670918162</v>
      </c>
      <c r="AW98" s="21">
        <f>EXP(-LN(2)/2)*AW97+(1-EXP(-LN(2)/2))/(LN(2)/2)*AQ98*AT98*VLOOKUP('Données projet'!$B$10,Paramètres!$A$1:$I$89,3,0)*0.475*44/12</f>
        <v>4.2815311146775972E-9</v>
      </c>
      <c r="AX98" s="21">
        <f t="shared" si="60"/>
        <v>3.9112767222708951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36.10000000000008</v>
      </c>
      <c r="BE98" s="13">
        <f>BD98*VLOOKUP('Données projet'!$B$11,Paramètres!$A$1:$I$89,3,0)*VLOOKUP('Données projet'!$B$11,Paramètres!$A$1:$I$89,5,0)</f>
        <v>31.536960000000075</v>
      </c>
      <c r="BF98" s="13">
        <f t="shared" si="91"/>
        <v>9.725440120377133</v>
      </c>
      <c r="BG98" s="20">
        <f t="shared" si="61"/>
        <v>71.865346876323642</v>
      </c>
      <c r="BH98" s="59">
        <f t="shared" si="62"/>
        <v>365.19868020965697</v>
      </c>
      <c r="BI98" s="59">
        <f ca="1">AVERAGE(OFFSET($BH$3,0,0,'Données projet'!$E$11+1,1))-AVERAGE(OFFSET($H$3,0,0,'Données projet'!$E$11+1,1))</f>
        <v>249.21292089724221</v>
      </c>
      <c r="BJ98" s="59">
        <f t="shared" si="92"/>
        <v>640.80644476065254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31.127903601070759</v>
      </c>
      <c r="BQ98" s="21">
        <f>EXP(-LN(2)/25)*BQ97+(1-EXP(-LN(2)/25))/(LN(2)/25)*Calculateur!BL98*Calculateur!BN98*VLOOKUP('Données projet'!$B$11,Paramètres!$A$1:$I$89,3,0)*0.475*44/12</f>
        <v>17.677810920808028</v>
      </c>
      <c r="BR98" s="21">
        <f>EXP(-LN(2)/2)*BR97+(1-EXP(-LN(2)/2))/(LN(2)/2)*BL98*BO98*VLOOKUP('Données projet'!$B$11,Paramètres!$A$1:$I$89,3,0)*0.475*44/12</f>
        <v>1.3588990491428705E-8</v>
      </c>
      <c r="BS98" s="22">
        <f t="shared" si="63"/>
        <v>48.805714535467771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234.00000000000045</v>
      </c>
      <c r="BZ98" s="13">
        <f>BY98*VLOOKUP('Données projet'!$B$12,Paramètres!$A$1:$I$89,3,0)*VLOOKUP('Données projet'!$B$12,Paramètres!$A$1:$I$89,5,0)</f>
        <v>189.82080000000036</v>
      </c>
      <c r="CA98" s="13">
        <f t="shared" si="93"/>
        <v>47.500332100049881</v>
      </c>
      <c r="CB98" s="20">
        <f t="shared" si="64"/>
        <v>413.33430507425419</v>
      </c>
      <c r="CC98" s="59">
        <f t="shared" si="65"/>
        <v>706.66763840758745</v>
      </c>
      <c r="CD98" s="59">
        <f ca="1">AVERAGE(OFFSET($CC$3,0,0,'Données projet'!$E$12+1,1))-AVERAGE(OFFSET($H$3,0,0,'Données projet'!$E$12+1,1))</f>
        <v>192.4785660463869</v>
      </c>
      <c r="CE98" s="59">
        <f t="shared" si="94"/>
        <v>165.11095806515362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0.22351521754241624</v>
      </c>
      <c r="CL98" s="21">
        <f>EXP(-LN(2)/25)*CL97+(1-EXP(-LN(2)/25))/(LN(2)/25)*Calculateur!CG98*Calculateur!CI98*VLOOKUP('Données projet'!$B$12,Paramètres!$A$1:$I$89,3,0)*0.475*44/12</f>
        <v>0.77870614512971026</v>
      </c>
      <c r="CM98" s="21">
        <f>EXP(-LN(2)/2)*CM97+(1-EXP(-LN(2)/2))/(LN(2)/2)*CG98*CJ98*VLOOKUP('Données projet'!$B$12,Paramètres!$A$1:$I$89,3,0)*0.475*44/12</f>
        <v>1.2055678605314681E-9</v>
      </c>
      <c r="CN98" s="22">
        <f t="shared" si="66"/>
        <v>1.0022213638776944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5.0999999999999996</v>
      </c>
      <c r="CT98" s="12">
        <f>IF('Données projet'!$A$140&gt;35,CT97+CS98-DB97,IF(A98&lt;'Données projet'!$A$140,$CQ$205^A98,IF(A98='Données projet'!$A$140,'Données projet'!$B$140,CT97+CS98-DB97)))</f>
        <v>264.5</v>
      </c>
      <c r="CU98" s="17">
        <f>CT98*VLOOKUP('Données projet'!$B$13,Paramètres!$A$1:$I$89,3,0)*VLOOKUP('Données projet'!$B$13,Paramètres!$A$1:$I$89,5,0)</f>
        <v>222.81480000000002</v>
      </c>
      <c r="CV98" s="13">
        <f t="shared" si="95"/>
        <v>54.726215188137907</v>
      </c>
      <c r="CW98" s="20">
        <f t="shared" si="67"/>
        <v>483.38393478600682</v>
      </c>
      <c r="CX98" s="59">
        <f t="shared" si="68"/>
        <v>776.71726811934013</v>
      </c>
      <c r="CY98" s="59">
        <f ca="1">AVERAGE(OFFSET($CX$3,0,0,'Données projet'!$E$13+1,1))-AVERAGE(OFFSET($H$3,0,0,'Données projet'!$E$13+1,1))</f>
        <v>247.67539667223065</v>
      </c>
      <c r="CZ98" s="59">
        <f t="shared" si="96"/>
        <v>174.54442616983778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0.35369441017701037</v>
      </c>
      <c r="DG98" s="21">
        <f>EXP(-LN(2)/25)*DG97+(1-EXP(-LN(2)/25))/(LN(2)/25)*Calculateur!DB98*Calculateur!DD98*VLOOKUP('Données projet'!$B$13,Paramètres!$A$1:$I$89,3,0)*0.475*44/12</f>
        <v>1.0844463929962354</v>
      </c>
      <c r="DH98" s="21">
        <f>EXP(-LN(2)/2)*DH97+(1-EXP(-LN(2)/2))/(LN(2)/2)*DB98*DE98*VLOOKUP('Données projet'!$B$13,Paramètres!$A$1:$I$89,3,0)*0.475*44/12</f>
        <v>1.8955899580689161E-9</v>
      </c>
      <c r="DI98" s="22">
        <f t="shared" si="69"/>
        <v>1.4381408050688356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5.2583333333333373</v>
      </c>
      <c r="DO98" s="12">
        <f>IF('Données projet'!$A$166&gt;35,DO97+DN98-DW97,IF(A98&lt;'Données projet'!$A$166,$DL$205^A98,IF(A98='Données projet'!$A$166,'Données projet'!$B$166,DO97+DN98-DW97)))</f>
        <v>192.70256410256385</v>
      </c>
      <c r="DP98" s="17">
        <f>DO98*VLOOKUP('Données projet'!$B$14,Paramètres!$A$1:$I$89,3,0)*VLOOKUP('Données projet'!$B$14,Paramètres!$A$1:$I$89,5,0)</f>
        <v>192.39423999999977</v>
      </c>
      <c r="DQ98" s="13">
        <f t="shared" si="97"/>
        <v>48.068898920699795</v>
      </c>
      <c r="DR98" s="20">
        <f t="shared" si="70"/>
        <v>418.80663362021841</v>
      </c>
      <c r="DS98" s="59">
        <f t="shared" si="71"/>
        <v>712.13996695355172</v>
      </c>
      <c r="DT98" s="59">
        <f ca="1">AVERAGE(OFFSET($DS$3,0,0,'Données projet'!$E$14+1,1))-AVERAGE(OFFSET($H$3,0,0,'Données projet'!$E$14+1,1))</f>
        <v>245.06609107649069</v>
      </c>
      <c r="DU98" s="59">
        <f t="shared" si="98"/>
        <v>156.24531945456499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3.4528957063300028</v>
      </c>
      <c r="EJ98" s="12">
        <f>IF('Données projet'!$A$192&gt;35,EJ97+EI98-ER97,IF(A98&lt;'Données projet'!$A$192,$EG$205^A98,IF(A98='Données projet'!$A$192,'Données projet'!$B$192,EJ97+EI98-ER97)))</f>
        <v>230.64760471705969</v>
      </c>
      <c r="EK98" s="17">
        <f>EJ98*VLOOKUP('Données projet'!$B$15,Paramètres!$A$1:$I$89,3,0)*VLOOKUP('Données projet'!$B$15,Paramètres!$A$1:$I$89,5,0)</f>
        <v>251.86718435102915</v>
      </c>
      <c r="EL98" s="13">
        <f t="shared" si="99"/>
        <v>60.985596961863408</v>
      </c>
      <c r="EM98" s="20">
        <f t="shared" si="73"/>
        <v>544.88526078662119</v>
      </c>
      <c r="EN98" s="59">
        <f t="shared" si="74"/>
        <v>838.21859411995456</v>
      </c>
      <c r="EO98" s="59">
        <f ca="1">AVERAGE(OFFSET($EN$3,0,0,'Données projet'!$E$15+1,1))-AVERAGE(OFFSET($H$3,0,0,'Données projet'!$E$15+1,1))</f>
        <v>173.63857221119594</v>
      </c>
      <c r="EP98" s="59">
        <f t="shared" si="100"/>
        <v>52.373745617370105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199.58634493109349</v>
      </c>
      <c r="T99" s="59">
        <f t="shared" si="88"/>
        <v>288.66487031729008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1.3522813834013221</v>
      </c>
      <c r="AA99" s="21">
        <f>EXP(-LN(2)/25)*AA98+(1-EXP(-LN(2)/25))/(LN(2)/25)*Calculateur!V99*Calculateur!X99*VLOOKUP('Données projet'!$B$9,Paramètres!$A$1:$I$89,3,0)*0.475*44/12</f>
        <v>2.7481073169471983</v>
      </c>
      <c r="AB99" s="21">
        <f>EXP(-LN(2)/2)*AB98+(1-EXP(-LN(2)/2))/(LN(2)/2)*V99*Y99*VLOOKUP('Données projet'!$B$9,Paramètres!$A$1:$I$89,3,0)*0.475*44/12</f>
        <v>3.4341377362237714E-10</v>
      </c>
      <c r="AC99" s="22">
        <f t="shared" si="57"/>
        <v>4.1003887006919344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606.99999999999989</v>
      </c>
      <c r="AJ99" s="13">
        <f>AI99*VLOOKUP('Données projet'!$B$10,Paramètres!$A$1:$I$89,3,0)*VLOOKUP('Données projet'!$B$10,Paramètres!$A$1:$I$89,5,0)</f>
        <v>362.98599999999999</v>
      </c>
      <c r="AK99" s="13">
        <f t="shared" si="89"/>
        <v>84.230767602863935</v>
      </c>
      <c r="AL99" s="20">
        <f t="shared" si="58"/>
        <v>778.90253690832139</v>
      </c>
      <c r="AM99" s="59">
        <f t="shared" si="59"/>
        <v>1072.2358702416548</v>
      </c>
      <c r="AN99" s="59">
        <f ca="1">AVERAGE(OFFSET($AM$3,0,0,'Données projet'!$E$10+1,1))-AVERAGE(OFFSET($H$3,0,0,'Données projet'!$E$10+1,1))</f>
        <v>395.40396173178527</v>
      </c>
      <c r="AO99" s="59">
        <f t="shared" si="90"/>
        <v>304.68075128568756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0.81145562852677577</v>
      </c>
      <c r="AV99" s="21">
        <f>EXP(-LN(2)/25)*AV98+(1-EXP(-LN(2)/25))/(LN(2)/25)*Calculateur!AQ99*Calculateur!AS99*VLOOKUP('Données projet'!$B$10,Paramètres!$A$1:$I$89,3,0)*0.475*44/12</f>
        <v>2.9992697218629192</v>
      </c>
      <c r="AW99" s="21">
        <f>EXP(-LN(2)/2)*AW98+(1-EXP(-LN(2)/2))/(LN(2)/2)*AQ99*AT99*VLOOKUP('Données projet'!$B$10,Paramètres!$A$1:$I$89,3,0)*0.475*44/12</f>
        <v>3.0274996850497267E-9</v>
      </c>
      <c r="AX99" s="21">
        <f t="shared" si="60"/>
        <v>3.8107253534171943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36.10000000000008</v>
      </c>
      <c r="BE99" s="13">
        <f>BD99*VLOOKUP('Données projet'!$B$11,Paramètres!$A$1:$I$89,3,0)*VLOOKUP('Données projet'!$B$11,Paramètres!$A$1:$I$89,5,0)</f>
        <v>31.536960000000075</v>
      </c>
      <c r="BF99" s="13">
        <f t="shared" si="91"/>
        <v>9.725440120377133</v>
      </c>
      <c r="BG99" s="20">
        <f t="shared" si="61"/>
        <v>71.865346876323642</v>
      </c>
      <c r="BH99" s="59">
        <f t="shared" si="62"/>
        <v>365.19868020965697</v>
      </c>
      <c r="BI99" s="59">
        <f ca="1">AVERAGE(OFFSET($BH$3,0,0,'Données projet'!$E$11+1,1))-AVERAGE(OFFSET($H$3,0,0,'Données projet'!$E$11+1,1))</f>
        <v>249.21292089724221</v>
      </c>
      <c r="BJ99" s="59">
        <f t="shared" si="92"/>
        <v>640.80644476065254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30.517504397600231</v>
      </c>
      <c r="BQ99" s="21">
        <f>EXP(-LN(2)/25)*BQ98+(1-EXP(-LN(2)/25))/(LN(2)/25)*Calculateur!BL99*Calculateur!BN99*VLOOKUP('Données projet'!$B$11,Paramètres!$A$1:$I$89,3,0)*0.475*44/12</f>
        <v>17.194410251542859</v>
      </c>
      <c r="BR99" s="21">
        <f>EXP(-LN(2)/2)*BR98+(1-EXP(-LN(2)/2))/(LN(2)/2)*BL99*BO99*VLOOKUP('Données projet'!$B$11,Paramètres!$A$1:$I$89,3,0)*0.475*44/12</f>
        <v>9.6088673259687523E-9</v>
      </c>
      <c r="BS99" s="22">
        <f t="shared" si="63"/>
        <v>47.711914658751958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234.00000000000045</v>
      </c>
      <c r="BZ99" s="13">
        <f>BY99*VLOOKUP('Données projet'!$B$12,Paramètres!$A$1:$I$89,3,0)*VLOOKUP('Données projet'!$B$12,Paramètres!$A$1:$I$89,5,0)</f>
        <v>189.82080000000036</v>
      </c>
      <c r="CA99" s="13">
        <f t="shared" si="93"/>
        <v>47.500332100049881</v>
      </c>
      <c r="CB99" s="20">
        <f t="shared" si="64"/>
        <v>413.33430507425419</v>
      </c>
      <c r="CC99" s="59">
        <f t="shared" si="65"/>
        <v>706.66763840758745</v>
      </c>
      <c r="CD99" s="59">
        <f ca="1">AVERAGE(OFFSET($CC$3,0,0,'Données projet'!$E$12+1,1))-AVERAGE(OFFSET($H$3,0,0,'Données projet'!$E$12+1,1))</f>
        <v>192.4785660463869</v>
      </c>
      <c r="CE99" s="59">
        <f t="shared" si="94"/>
        <v>165.11095806515362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0.2191322204572306</v>
      </c>
      <c r="CL99" s="21">
        <f>EXP(-LN(2)/25)*CL98+(1-EXP(-LN(2)/25))/(LN(2)/25)*Calculateur!CG99*Calculateur!CI99*VLOOKUP('Données projet'!$B$12,Paramètres!$A$1:$I$89,3,0)*0.475*44/12</f>
        <v>0.75741238464076188</v>
      </c>
      <c r="CM99" s="21">
        <f>EXP(-LN(2)/2)*CM98+(1-EXP(-LN(2)/2))/(LN(2)/2)*CG99*CJ99*VLOOKUP('Données projet'!$B$12,Paramètres!$A$1:$I$89,3,0)*0.475*44/12</f>
        <v>8.5246520936235905E-10</v>
      </c>
      <c r="CN99" s="22">
        <f t="shared" si="66"/>
        <v>0.97654460595045767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5.0999999999999996</v>
      </c>
      <c r="CT99" s="12">
        <f>IF('Données projet'!$A$140&gt;35,CT98+CS99-DB98,IF(A99&lt;'Données projet'!$A$140,$CQ$205^A99,IF(A99='Données projet'!$A$140,'Données projet'!$B$140,CT98+CS99-DB98)))</f>
        <v>269.60000000000002</v>
      </c>
      <c r="CU99" s="17">
        <f>CT99*VLOOKUP('Données projet'!$B$13,Paramètres!$A$1:$I$89,3,0)*VLOOKUP('Données projet'!$B$13,Paramètres!$A$1:$I$89,5,0)</f>
        <v>227.11104000000006</v>
      </c>
      <c r="CV99" s="13">
        <f t="shared" si="95"/>
        <v>55.657562039200094</v>
      </c>
      <c r="CW99" s="20">
        <f t="shared" si="67"/>
        <v>492.48864855160696</v>
      </c>
      <c r="CX99" s="59">
        <f t="shared" si="68"/>
        <v>785.82198188494021</v>
      </c>
      <c r="CY99" s="59">
        <f ca="1">AVERAGE(OFFSET($CX$3,0,0,'Données projet'!$E$13+1,1))-AVERAGE(OFFSET($H$3,0,0,'Données projet'!$E$13+1,1))</f>
        <v>247.67539667223065</v>
      </c>
      <c r="CZ99" s="59">
        <f t="shared" si="96"/>
        <v>174.54442616983778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0.34675867852572761</v>
      </c>
      <c r="DG99" s="21">
        <f>EXP(-LN(2)/25)*DG98+(1-EXP(-LN(2)/25))/(LN(2)/25)*Calculateur!DB99*Calculateur!DD99*VLOOKUP('Données projet'!$B$13,Paramètres!$A$1:$I$89,3,0)*0.475*44/12</f>
        <v>1.054792149351196</v>
      </c>
      <c r="DH99" s="21">
        <f>EXP(-LN(2)/2)*DH98+(1-EXP(-LN(2)/2))/(LN(2)/2)*DB99*DE99*VLOOKUP('Données projet'!$B$13,Paramètres!$A$1:$I$89,3,0)*0.475*44/12</f>
        <v>1.3403845136996539E-9</v>
      </c>
      <c r="DI99" s="22">
        <f t="shared" si="69"/>
        <v>1.4015508292173082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5.2583333333333373</v>
      </c>
      <c r="DO99" s="12">
        <f>IF('Données projet'!$A$166&gt;35,DO98+DN99-DW98,IF(A99&lt;'Données projet'!$A$166,$DL$205^A99,IF(A99='Données projet'!$A$166,'Données projet'!$B$166,DO98+DN99-DW98)))</f>
        <v>197.96089743589718</v>
      </c>
      <c r="DP99" s="17">
        <f>DO99*VLOOKUP('Données projet'!$B$14,Paramètres!$A$1:$I$89,3,0)*VLOOKUP('Données projet'!$B$14,Paramètres!$A$1:$I$89,5,0)</f>
        <v>197.64415999999974</v>
      </c>
      <c r="DQ99" s="13">
        <f t="shared" si="97"/>
        <v>49.226068893989044</v>
      </c>
      <c r="DR99" s="20">
        <f t="shared" si="70"/>
        <v>429.96564865703044</v>
      </c>
      <c r="DS99" s="59">
        <f t="shared" si="71"/>
        <v>723.2989819903637</v>
      </c>
      <c r="DT99" s="59">
        <f ca="1">AVERAGE(OFFSET($DS$3,0,0,'Données projet'!$E$14+1,1))-AVERAGE(OFFSET($H$3,0,0,'Données projet'!$E$14+1,1))</f>
        <v>245.06609107649069</v>
      </c>
      <c r="DU99" s="59">
        <f t="shared" si="98"/>
        <v>156.24531945456499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3.4528957063300028</v>
      </c>
      <c r="EJ99" s="12">
        <f>IF('Données projet'!$A$192&gt;35,EJ98+EI99-ER98,IF(A99&lt;'Données projet'!$A$192,$EG$205^A99,IF(A99='Données projet'!$A$192,'Données projet'!$B$192,EJ98+EI99-ER98)))</f>
        <v>234.10050042338969</v>
      </c>
      <c r="EK99" s="17">
        <f>EJ99*VLOOKUP('Données projet'!$B$15,Paramètres!$A$1:$I$89,3,0)*VLOOKUP('Données projet'!$B$15,Paramètres!$A$1:$I$89,5,0)</f>
        <v>255.63774646234154</v>
      </c>
      <c r="EL99" s="13">
        <f t="shared" si="99"/>
        <v>61.791608084580879</v>
      </c>
      <c r="EM99" s="20">
        <f t="shared" si="73"/>
        <v>552.85612583588977</v>
      </c>
      <c r="EN99" s="59">
        <f t="shared" si="74"/>
        <v>846.18945916922303</v>
      </c>
      <c r="EO99" s="59">
        <f ca="1">AVERAGE(OFFSET($EN$3,0,0,'Données projet'!$E$15+1,1))-AVERAGE(OFFSET($H$3,0,0,'Données projet'!$E$15+1,1))</f>
        <v>173.63857221119594</v>
      </c>
      <c r="EP99" s="59">
        <f t="shared" si="100"/>
        <v>52.373745617370105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199.58634493109349</v>
      </c>
      <c r="T100" s="59">
        <f t="shared" si="88"/>
        <v>288.66487031729008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1.3257639702830228</v>
      </c>
      <c r="AA100" s="21">
        <f>EXP(-LN(2)/25)*AA99+(1-EXP(-LN(2)/25))/(LN(2)/25)*Calculateur!V100*Calculateur!X100*VLOOKUP('Données projet'!$B$9,Paramètres!$A$1:$I$89,3,0)*0.475*44/12</f>
        <v>2.6729601778485943</v>
      </c>
      <c r="AB100" s="21">
        <f>EXP(-LN(2)/2)*AB99+(1-EXP(-LN(2)/2))/(LN(2)/2)*V100*Y100*VLOOKUP('Données projet'!$B$9,Paramètres!$A$1:$I$89,3,0)*0.475*44/12</f>
        <v>2.4283020808124479E-10</v>
      </c>
      <c r="AC100" s="22">
        <f t="shared" si="57"/>
        <v>3.9987241483744476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606.99999999999989</v>
      </c>
      <c r="AJ100" s="13">
        <f>AI100*VLOOKUP('Données projet'!$B$10,Paramètres!$A$1:$I$89,3,0)*VLOOKUP('Données projet'!$B$10,Paramètres!$A$1:$I$89,5,0)</f>
        <v>362.98599999999999</v>
      </c>
      <c r="AK100" s="13">
        <f t="shared" si="89"/>
        <v>84.230767602863935</v>
      </c>
      <c r="AL100" s="20">
        <f t="shared" si="58"/>
        <v>778.90253690832139</v>
      </c>
      <c r="AM100" s="59">
        <f t="shared" si="59"/>
        <v>1072.2358702416548</v>
      </c>
      <c r="AN100" s="59">
        <f ca="1">AVERAGE(OFFSET($AM$3,0,0,'Données projet'!$E$10+1,1))-AVERAGE(OFFSET($H$3,0,0,'Données projet'!$E$10+1,1))</f>
        <v>395.40396173178527</v>
      </c>
      <c r="AO100" s="59">
        <f t="shared" si="90"/>
        <v>304.68075128568756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0.79554347859042795</v>
      </c>
      <c r="AV100" s="21">
        <f>EXP(-LN(2)/25)*AV99+(1-EXP(-LN(2)/25))/(LN(2)/25)*Calculateur!AQ100*Calculateur!AS100*VLOOKUP('Données projet'!$B$10,Paramètres!$A$1:$I$89,3,0)*0.475*44/12</f>
        <v>2.9172545335938378</v>
      </c>
      <c r="AW100" s="21">
        <f>EXP(-LN(2)/2)*AW99+(1-EXP(-LN(2)/2))/(LN(2)/2)*AQ100*AT100*VLOOKUP('Données projet'!$B$10,Paramètres!$A$1:$I$89,3,0)*0.475*44/12</f>
        <v>2.1407655573387986E-9</v>
      </c>
      <c r="AX100" s="21">
        <f t="shared" si="60"/>
        <v>3.7127980143250312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36.10000000000008</v>
      </c>
      <c r="BE100" s="13">
        <f>BD100*VLOOKUP('Données projet'!$B$11,Paramètres!$A$1:$I$89,3,0)*VLOOKUP('Données projet'!$B$11,Paramètres!$A$1:$I$89,5,0)</f>
        <v>31.536960000000075</v>
      </c>
      <c r="BF100" s="13">
        <f t="shared" si="91"/>
        <v>9.725440120377133</v>
      </c>
      <c r="BG100" s="20">
        <f t="shared" si="61"/>
        <v>71.865346876323642</v>
      </c>
      <c r="BH100" s="59">
        <f t="shared" si="62"/>
        <v>365.19868020965697</v>
      </c>
      <c r="BI100" s="59">
        <f ca="1">AVERAGE(OFFSET($BH$3,0,0,'Données projet'!$E$11+1,1))-AVERAGE(OFFSET($H$3,0,0,'Données projet'!$E$11+1,1))</f>
        <v>249.21292089724221</v>
      </c>
      <c r="BJ100" s="59">
        <f t="shared" si="92"/>
        <v>640.80644476065254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29.919074750203009</v>
      </c>
      <c r="BQ100" s="21">
        <f>EXP(-LN(2)/25)*BQ99+(1-EXP(-LN(2)/25))/(LN(2)/25)*Calculateur!BL100*Calculateur!BN100*VLOOKUP('Données projet'!$B$11,Paramètres!$A$1:$I$89,3,0)*0.475*44/12</f>
        <v>16.724228198999683</v>
      </c>
      <c r="BR100" s="21">
        <f>EXP(-LN(2)/2)*BR99+(1-EXP(-LN(2)/2))/(LN(2)/2)*BL100*BO100*VLOOKUP('Données projet'!$B$11,Paramètres!$A$1:$I$89,3,0)*0.475*44/12</f>
        <v>6.7944952457143526E-9</v>
      </c>
      <c r="BS100" s="22">
        <f t="shared" si="63"/>
        <v>46.643302955997186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234.00000000000045</v>
      </c>
      <c r="BZ100" s="13">
        <f>BY100*VLOOKUP('Données projet'!$B$12,Paramètres!$A$1:$I$89,3,0)*VLOOKUP('Données projet'!$B$12,Paramètres!$A$1:$I$89,5,0)</f>
        <v>189.82080000000036</v>
      </c>
      <c r="CA100" s="13">
        <f t="shared" si="93"/>
        <v>47.500332100049881</v>
      </c>
      <c r="CB100" s="20">
        <f t="shared" si="64"/>
        <v>413.33430507425419</v>
      </c>
      <c r="CC100" s="59">
        <f t="shared" si="65"/>
        <v>706.66763840758745</v>
      </c>
      <c r="CD100" s="59">
        <f ca="1">AVERAGE(OFFSET($CC$3,0,0,'Données projet'!$E$12+1,1))-AVERAGE(OFFSET($H$3,0,0,'Données projet'!$E$12+1,1))</f>
        <v>192.4785660463869</v>
      </c>
      <c r="CE100" s="59">
        <f t="shared" si="94"/>
        <v>165.11095806515362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0.21483517127152121</v>
      </c>
      <c r="CL100" s="21">
        <f>EXP(-LN(2)/25)*CL99+(1-EXP(-LN(2)/25))/(LN(2)/25)*Calculateur!CG100*Calculateur!CI100*VLOOKUP('Données projet'!$B$12,Paramètres!$A$1:$I$89,3,0)*0.475*44/12</f>
        <v>0.73670090315217407</v>
      </c>
      <c r="CM100" s="21">
        <f>EXP(-LN(2)/2)*CM99+(1-EXP(-LN(2)/2))/(LN(2)/2)*CG100*CJ100*VLOOKUP('Données projet'!$B$12,Paramètres!$A$1:$I$89,3,0)*0.475*44/12</f>
        <v>6.0278393026573404E-10</v>
      </c>
      <c r="CN100" s="22">
        <f t="shared" si="66"/>
        <v>0.95153607502647919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5.0999999999999996</v>
      </c>
      <c r="CT100" s="12">
        <f>IF('Données projet'!$A$140&gt;35,CT99+CS100-DB99,IF(A100&lt;'Données projet'!$A$140,$CQ$205^A100,IF(A100='Données projet'!$A$140,'Données projet'!$B$140,CT99+CS100-DB99)))</f>
        <v>274.70000000000005</v>
      </c>
      <c r="CU100" s="17">
        <f>CT100*VLOOKUP('Données projet'!$B$13,Paramètres!$A$1:$I$89,3,0)*VLOOKUP('Données projet'!$B$13,Paramètres!$A$1:$I$89,5,0)</f>
        <v>231.40728000000004</v>
      </c>
      <c r="CV100" s="13">
        <f t="shared" si="95"/>
        <v>56.586860257816653</v>
      </c>
      <c r="CW100" s="20">
        <f t="shared" si="67"/>
        <v>501.58979428236398</v>
      </c>
      <c r="CX100" s="59">
        <f t="shared" si="68"/>
        <v>794.92312761569724</v>
      </c>
      <c r="CY100" s="59">
        <f ca="1">AVERAGE(OFFSET($CX$3,0,0,'Données projet'!$E$13+1,1))-AVERAGE(OFFSET($H$3,0,0,'Données projet'!$E$13+1,1))</f>
        <v>247.67539667223065</v>
      </c>
      <c r="CZ100" s="59">
        <f t="shared" si="96"/>
        <v>174.54442616983778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0.33995895234174794</v>
      </c>
      <c r="DG100" s="21">
        <f>EXP(-LN(2)/25)*DG99+(1-EXP(-LN(2)/25))/(LN(2)/25)*Calculateur!DB100*Calculateur!DD100*VLOOKUP('Données projet'!$B$13,Paramètres!$A$1:$I$89,3,0)*0.475*44/12</f>
        <v>1.0259488025580792</v>
      </c>
      <c r="DH100" s="21">
        <f>EXP(-LN(2)/2)*DH99+(1-EXP(-LN(2)/2))/(LN(2)/2)*DB100*DE100*VLOOKUP('Données projet'!$B$13,Paramètres!$A$1:$I$89,3,0)*0.475*44/12</f>
        <v>9.4779497903445807E-10</v>
      </c>
      <c r="DI100" s="22">
        <f t="shared" si="69"/>
        <v>1.365907755847622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5.2583333333333373</v>
      </c>
      <c r="DO100" s="12">
        <f>IF('Données projet'!$A$166&gt;35,DO99+DN100-DW99,IF(A100&lt;'Données projet'!$A$166,$DL$205^A100,IF(A100='Données projet'!$A$166,'Données projet'!$B$166,DO99+DN100-DW99)))</f>
        <v>203.21923076923051</v>
      </c>
      <c r="DP100" s="17">
        <f>DO100*VLOOKUP('Données projet'!$B$14,Paramètres!$A$1:$I$89,3,0)*VLOOKUP('Données projet'!$B$14,Paramètres!$A$1:$I$89,5,0)</f>
        <v>202.89407999999975</v>
      </c>
      <c r="DQ100" s="13">
        <f t="shared" si="97"/>
        <v>50.37966612582823</v>
      </c>
      <c r="DR100" s="20">
        <f t="shared" si="70"/>
        <v>441.11844116915034</v>
      </c>
      <c r="DS100" s="59">
        <f t="shared" si="71"/>
        <v>734.45177450248366</v>
      </c>
      <c r="DT100" s="59">
        <f ca="1">AVERAGE(OFFSET($DS$3,0,0,'Données projet'!$E$14+1,1))-AVERAGE(OFFSET($H$3,0,0,'Données projet'!$E$14+1,1))</f>
        <v>245.06609107649069</v>
      </c>
      <c r="DU100" s="59">
        <f t="shared" si="98"/>
        <v>156.24531945456499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3.4528957063300028</v>
      </c>
      <c r="EJ100" s="12">
        <f>IF('Données projet'!$A$192&gt;35,EJ99+EI100-ER99,IF(A100&lt;'Données projet'!$A$192,$EG$205^A100,IF(A100='Données projet'!$A$192,'Données projet'!$B$192,EJ99+EI100-ER99)))</f>
        <v>237.55339612971969</v>
      </c>
      <c r="EK100" s="17">
        <f>EJ100*VLOOKUP('Données projet'!$B$15,Paramètres!$A$1:$I$89,3,0)*VLOOKUP('Données projet'!$B$15,Paramètres!$A$1:$I$89,5,0)</f>
        <v>259.40830857365387</v>
      </c>
      <c r="EL100" s="13">
        <f t="shared" si="99"/>
        <v>62.596236535748098</v>
      </c>
      <c r="EM100" s="20">
        <f t="shared" si="73"/>
        <v>560.82458273220846</v>
      </c>
      <c r="EN100" s="59">
        <f t="shared" si="74"/>
        <v>854.15791606554171</v>
      </c>
      <c r="EO100" s="59">
        <f ca="1">AVERAGE(OFFSET($EN$3,0,0,'Données projet'!$E$15+1,1))-AVERAGE(OFFSET($H$3,0,0,'Données projet'!$E$15+1,1))</f>
        <v>173.63857221119594</v>
      </c>
      <c r="EP100" s="59">
        <f t="shared" si="100"/>
        <v>52.373745617370105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199.58634493109349</v>
      </c>
      <c r="T101" s="59">
        <f t="shared" si="88"/>
        <v>288.66487031729008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1.2997665474619484</v>
      </c>
      <c r="AA101" s="21">
        <f>EXP(-LN(2)/25)*AA100+(1-EXP(-LN(2)/25))/(LN(2)/25)*Calculateur!V101*Calculateur!X101*VLOOKUP('Données projet'!$B$9,Paramètres!$A$1:$I$89,3,0)*0.475*44/12</f>
        <v>2.5998679412204577</v>
      </c>
      <c r="AB101" s="21">
        <f>EXP(-LN(2)/2)*AB100+(1-EXP(-LN(2)/2))/(LN(2)/2)*V101*Y101*VLOOKUP('Données projet'!$B$9,Paramètres!$A$1:$I$89,3,0)*0.475*44/12</f>
        <v>1.7170688681118857E-10</v>
      </c>
      <c r="AC101" s="22">
        <f t="shared" si="57"/>
        <v>3.8996344888541135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606.99999999999989</v>
      </c>
      <c r="AJ101" s="13">
        <f>AI101*VLOOKUP('Données projet'!$B$10,Paramètres!$A$1:$I$89,3,0)*VLOOKUP('Données projet'!$B$10,Paramètres!$A$1:$I$89,5,0)</f>
        <v>362.98599999999999</v>
      </c>
      <c r="AK101" s="13">
        <f t="shared" si="89"/>
        <v>84.230767602863935</v>
      </c>
      <c r="AL101" s="20">
        <f t="shared" si="58"/>
        <v>778.90253690832139</v>
      </c>
      <c r="AM101" s="59">
        <f t="shared" si="59"/>
        <v>1072.2358702416548</v>
      </c>
      <c r="AN101" s="59">
        <f ca="1">AVERAGE(OFFSET($AM$3,0,0,'Données projet'!$E$10+1,1))-AVERAGE(OFFSET($H$3,0,0,'Données projet'!$E$10+1,1))</f>
        <v>395.40396173178527</v>
      </c>
      <c r="AO101" s="59">
        <f t="shared" si="90"/>
        <v>304.68075128568756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0.77994335620887878</v>
      </c>
      <c r="AV101" s="21">
        <f>EXP(-LN(2)/25)*AV100+(1-EXP(-LN(2)/25))/(LN(2)/25)*Calculateur!AQ101*Calculateur!AS101*VLOOKUP('Données projet'!$B$10,Paramètres!$A$1:$I$89,3,0)*0.475*44/12</f>
        <v>2.8374820549609661</v>
      </c>
      <c r="AW101" s="21">
        <f>EXP(-LN(2)/2)*AW100+(1-EXP(-LN(2)/2))/(LN(2)/2)*AQ101*AT101*VLOOKUP('Données projet'!$B$10,Paramètres!$A$1:$I$89,3,0)*0.475*44/12</f>
        <v>1.5137498425248633E-9</v>
      </c>
      <c r="AX101" s="21">
        <f t="shared" si="60"/>
        <v>3.6174254126835947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36.10000000000008</v>
      </c>
      <c r="BE101" s="13">
        <f>BD101*VLOOKUP('Données projet'!$B$11,Paramètres!$A$1:$I$89,3,0)*VLOOKUP('Données projet'!$B$11,Paramètres!$A$1:$I$89,5,0)</f>
        <v>31.536960000000075</v>
      </c>
      <c r="BF101" s="13">
        <f t="shared" si="91"/>
        <v>9.725440120377133</v>
      </c>
      <c r="BG101" s="20">
        <f t="shared" si="61"/>
        <v>71.865346876323642</v>
      </c>
      <c r="BH101" s="59">
        <f t="shared" si="62"/>
        <v>365.19868020965697</v>
      </c>
      <c r="BI101" s="59">
        <f ca="1">AVERAGE(OFFSET($BH$3,0,0,'Données projet'!$E$11+1,1))-AVERAGE(OFFSET($H$3,0,0,'Données projet'!$E$11+1,1))</f>
        <v>249.21292089724221</v>
      </c>
      <c r="BJ101" s="59">
        <f t="shared" si="92"/>
        <v>640.80644476065254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29.332379943185202</v>
      </c>
      <c r="BQ101" s="21">
        <f>EXP(-LN(2)/25)*BQ100+(1-EXP(-LN(2)/25))/(LN(2)/25)*Calculateur!BL101*Calculateur!BN101*VLOOKUP('Données projet'!$B$11,Paramètres!$A$1:$I$89,3,0)*0.475*44/12</f>
        <v>16.266903299409098</v>
      </c>
      <c r="BR101" s="21">
        <f>EXP(-LN(2)/2)*BR100+(1-EXP(-LN(2)/2))/(LN(2)/2)*BL101*BO101*VLOOKUP('Données projet'!$B$11,Paramètres!$A$1:$I$89,3,0)*0.475*44/12</f>
        <v>4.8044336629843761E-9</v>
      </c>
      <c r="BS101" s="22">
        <f t="shared" si="63"/>
        <v>45.599283247398731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234.00000000000045</v>
      </c>
      <c r="BZ101" s="13">
        <f>BY101*VLOOKUP('Données projet'!$B$12,Paramètres!$A$1:$I$89,3,0)*VLOOKUP('Données projet'!$B$12,Paramètres!$A$1:$I$89,5,0)</f>
        <v>189.82080000000036</v>
      </c>
      <c r="CA101" s="13">
        <f t="shared" si="93"/>
        <v>47.500332100049881</v>
      </c>
      <c r="CB101" s="20">
        <f t="shared" si="64"/>
        <v>413.33430507425419</v>
      </c>
      <c r="CC101" s="59">
        <f t="shared" si="65"/>
        <v>706.66763840758745</v>
      </c>
      <c r="CD101" s="59">
        <f ca="1">AVERAGE(OFFSET($CC$3,0,0,'Données projet'!$E$12+1,1))-AVERAGE(OFFSET($H$3,0,0,'Données projet'!$E$12+1,1))</f>
        <v>192.4785660463869</v>
      </c>
      <c r="CE101" s="59">
        <f t="shared" si="94"/>
        <v>165.11095806515362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0.21062238459940238</v>
      </c>
      <c r="CL101" s="21">
        <f>EXP(-LN(2)/25)*CL100+(1-EXP(-LN(2)/25))/(LN(2)/25)*Calculateur!CG101*Calculateur!CI101*VLOOKUP('Données projet'!$B$12,Paramètres!$A$1:$I$89,3,0)*0.475*44/12</f>
        <v>0.71655577821406113</v>
      </c>
      <c r="CM101" s="21">
        <f>EXP(-LN(2)/2)*CM100+(1-EXP(-LN(2)/2))/(LN(2)/2)*CG101*CJ101*VLOOKUP('Données projet'!$B$12,Paramètres!$A$1:$I$89,3,0)*0.475*44/12</f>
        <v>4.2623260468117953E-10</v>
      </c>
      <c r="CN101" s="22">
        <f t="shared" si="66"/>
        <v>0.92717816323969615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5.0999999999999996</v>
      </c>
      <c r="CT101" s="12">
        <f>IF('Données projet'!$A$140&gt;35,CT100+CS101-DB100,IF(A101&lt;'Données projet'!$A$140,$CQ$205^A101,IF(A101='Données projet'!$A$140,'Données projet'!$B$140,CT100+CS101-DB100)))</f>
        <v>279.80000000000007</v>
      </c>
      <c r="CU101" s="17">
        <f>CT101*VLOOKUP('Données projet'!$B$13,Paramètres!$A$1:$I$89,3,0)*VLOOKUP('Données projet'!$B$13,Paramètres!$A$1:$I$89,5,0)</f>
        <v>235.70352000000008</v>
      </c>
      <c r="CV101" s="13">
        <f t="shared" si="95"/>
        <v>57.51415226456097</v>
      </c>
      <c r="CW101" s="20">
        <f t="shared" si="67"/>
        <v>510.68744586077713</v>
      </c>
      <c r="CX101" s="59">
        <f t="shared" si="68"/>
        <v>804.02077919411045</v>
      </c>
      <c r="CY101" s="59">
        <f ca="1">AVERAGE(OFFSET($CX$3,0,0,'Données projet'!$E$13+1,1))-AVERAGE(OFFSET($H$3,0,0,'Données projet'!$E$13+1,1))</f>
        <v>247.67539667223065</v>
      </c>
      <c r="CZ101" s="59">
        <f t="shared" si="96"/>
        <v>174.54442616983778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0.33329256464081264</v>
      </c>
      <c r="DG101" s="21">
        <f>EXP(-LN(2)/25)*DG100+(1-EXP(-LN(2)/25))/(LN(2)/25)*Calculateur!DB101*Calculateur!DD101*VLOOKUP('Données projet'!$B$13,Paramètres!$A$1:$I$89,3,0)*0.475*44/12</f>
        <v>0.99789417859982588</v>
      </c>
      <c r="DH101" s="21">
        <f>EXP(-LN(2)/2)*DH100+(1-EXP(-LN(2)/2))/(LN(2)/2)*DB101*DE101*VLOOKUP('Données projet'!$B$13,Paramètres!$A$1:$I$89,3,0)*0.475*44/12</f>
        <v>6.7019225684982695E-10</v>
      </c>
      <c r="DI101" s="22">
        <f t="shared" si="69"/>
        <v>1.3311867439108309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5.2583333333333373</v>
      </c>
      <c r="DO101" s="12">
        <f>IF('Données projet'!$A$166&gt;35,DO100+DN101-DW100,IF(A101&lt;'Données projet'!$A$166,$DL$205^A101,IF(A101='Données projet'!$A$166,'Données projet'!$B$166,DO100+DN101-DW100)))</f>
        <v>208.47756410256383</v>
      </c>
      <c r="DP101" s="17">
        <f>DO101*VLOOKUP('Données projet'!$B$14,Paramètres!$A$1:$I$89,3,0)*VLOOKUP('Données projet'!$B$14,Paramètres!$A$1:$I$89,5,0)</f>
        <v>208.14399999999975</v>
      </c>
      <c r="DQ101" s="13">
        <f t="shared" si="97"/>
        <v>51.529793690177527</v>
      </c>
      <c r="DR101" s="20">
        <f t="shared" si="70"/>
        <v>452.26519067705868</v>
      </c>
      <c r="DS101" s="59">
        <f t="shared" si="71"/>
        <v>745.598524010392</v>
      </c>
      <c r="DT101" s="59">
        <f ca="1">AVERAGE(OFFSET($DS$3,0,0,'Données projet'!$E$14+1,1))-AVERAGE(OFFSET($H$3,0,0,'Données projet'!$E$14+1,1))</f>
        <v>245.06609107649069</v>
      </c>
      <c r="DU101" s="59">
        <f t="shared" si="98"/>
        <v>156.24531945456499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3.4528957063300028</v>
      </c>
      <c r="EJ101" s="12">
        <f>IF('Données projet'!$A$192&gt;35,EJ100+EI101-ER100,IF(A101&lt;'Données projet'!$A$192,$EG$205^A101,IF(A101='Données projet'!$A$192,'Données projet'!$B$192,EJ100+EI101-ER100)))</f>
        <v>241.00629183604968</v>
      </c>
      <c r="EK101" s="17">
        <f>EJ101*VLOOKUP('Données projet'!$B$15,Paramètres!$A$1:$I$89,3,0)*VLOOKUP('Données projet'!$B$15,Paramètres!$A$1:$I$89,5,0)</f>
        <v>263.17887068496623</v>
      </c>
      <c r="EL101" s="13">
        <f t="shared" si="99"/>
        <v>63.399504734792558</v>
      </c>
      <c r="EM101" s="20">
        <f t="shared" si="73"/>
        <v>568.7906705227465</v>
      </c>
      <c r="EN101" s="59">
        <f t="shared" si="74"/>
        <v>862.12400385607975</v>
      </c>
      <c r="EO101" s="59">
        <f ca="1">AVERAGE(OFFSET($EN$3,0,0,'Données projet'!$E$15+1,1))-AVERAGE(OFFSET($H$3,0,0,'Données projet'!$E$15+1,1))</f>
        <v>173.63857221119594</v>
      </c>
      <c r="EP101" s="59">
        <f t="shared" si="100"/>
        <v>52.373745617370105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199.58634493109349</v>
      </c>
      <c r="T102" s="59">
        <f t="shared" si="88"/>
        <v>288.66487031729008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1.2742789182455332</v>
      </c>
      <c r="AA102" s="21">
        <f>EXP(-LN(2)/25)*AA101+(1-EXP(-LN(2)/25))/(LN(2)/25)*Calculateur!V102*Calculateur!X102*VLOOKUP('Données projet'!$B$9,Paramètres!$A$1:$I$89,3,0)*0.475*44/12</f>
        <v>2.5287744156466712</v>
      </c>
      <c r="AB102" s="21">
        <f>EXP(-LN(2)/2)*AB101+(1-EXP(-LN(2)/2))/(LN(2)/2)*V102*Y102*VLOOKUP('Données projet'!$B$9,Paramètres!$A$1:$I$89,3,0)*0.475*44/12</f>
        <v>1.214151040406224E-10</v>
      </c>
      <c r="AC102" s="22">
        <f t="shared" si="57"/>
        <v>3.8030533340136197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606.99999999999989</v>
      </c>
      <c r="AJ102" s="13">
        <f>AI102*VLOOKUP('Données projet'!$B$10,Paramètres!$A$1:$I$89,3,0)*VLOOKUP('Données projet'!$B$10,Paramètres!$A$1:$I$89,5,0)</f>
        <v>362.98599999999999</v>
      </c>
      <c r="AK102" s="13">
        <f t="shared" si="89"/>
        <v>84.230767602863935</v>
      </c>
      <c r="AL102" s="20">
        <f t="shared" si="58"/>
        <v>778.90253690832139</v>
      </c>
      <c r="AM102" s="59">
        <f t="shared" si="59"/>
        <v>1072.2358702416548</v>
      </c>
      <c r="AN102" s="59">
        <f ca="1">AVERAGE(OFFSET($AM$3,0,0,'Données projet'!$E$10+1,1))-AVERAGE(OFFSET($H$3,0,0,'Données projet'!$E$10+1,1))</f>
        <v>395.40396173178527</v>
      </c>
      <c r="AO102" s="59">
        <f t="shared" si="90"/>
        <v>304.68075128568756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0.76464914271209661</v>
      </c>
      <c r="AV102" s="21">
        <f>EXP(-LN(2)/25)*AV101+(1-EXP(-LN(2)/25))/(LN(2)/25)*Calculateur!AQ102*Calculateur!AS102*VLOOKUP('Données projet'!$B$10,Paramètres!$A$1:$I$89,3,0)*0.475*44/12</f>
        <v>2.7598909589513623</v>
      </c>
      <c r="AW102" s="21">
        <f>EXP(-LN(2)/2)*AW101+(1-EXP(-LN(2)/2))/(LN(2)/2)*AQ102*AT102*VLOOKUP('Données projet'!$B$10,Paramètres!$A$1:$I$89,3,0)*0.475*44/12</f>
        <v>1.0703827786693993E-9</v>
      </c>
      <c r="AX102" s="21">
        <f t="shared" si="60"/>
        <v>3.5245401027338419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36.10000000000008</v>
      </c>
      <c r="BE102" s="13">
        <f>BD102*VLOOKUP('Données projet'!$B$11,Paramètres!$A$1:$I$89,3,0)*VLOOKUP('Données projet'!$B$11,Paramètres!$A$1:$I$89,5,0)</f>
        <v>31.536960000000075</v>
      </c>
      <c r="BF102" s="13">
        <f t="shared" si="91"/>
        <v>9.725440120377133</v>
      </c>
      <c r="BG102" s="20">
        <f t="shared" si="61"/>
        <v>71.865346876323642</v>
      </c>
      <c r="BH102" s="59">
        <f t="shared" si="62"/>
        <v>365.19868020965697</v>
      </c>
      <c r="BI102" s="59">
        <f ca="1">AVERAGE(OFFSET($BH$3,0,0,'Données projet'!$E$11+1,1))-AVERAGE(OFFSET($H$3,0,0,'Données projet'!$E$11+1,1))</f>
        <v>249.21292089724221</v>
      </c>
      <c r="BJ102" s="59">
        <f t="shared" si="92"/>
        <v>640.80644476065254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28.757189863484516</v>
      </c>
      <c r="BQ102" s="21">
        <f>EXP(-LN(2)/25)*BQ101+(1-EXP(-LN(2)/25))/(LN(2)/25)*Calculateur!BL102*Calculateur!BN102*VLOOKUP('Données projet'!$B$11,Paramètres!$A$1:$I$89,3,0)*0.475*44/12</f>
        <v>15.822083973247491</v>
      </c>
      <c r="BR102" s="21">
        <f>EXP(-LN(2)/2)*BR101+(1-EXP(-LN(2)/2))/(LN(2)/2)*BL102*BO102*VLOOKUP('Données projet'!$B$11,Paramètres!$A$1:$I$89,3,0)*0.475*44/12</f>
        <v>3.3972476228571763E-9</v>
      </c>
      <c r="BS102" s="22">
        <f t="shared" si="63"/>
        <v>44.579273840129254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234.00000000000045</v>
      </c>
      <c r="BZ102" s="13">
        <f>BY102*VLOOKUP('Données projet'!$B$12,Paramètres!$A$1:$I$89,3,0)*VLOOKUP('Données projet'!$B$12,Paramètres!$A$1:$I$89,5,0)</f>
        <v>189.82080000000036</v>
      </c>
      <c r="CA102" s="13">
        <f t="shared" si="93"/>
        <v>47.500332100049881</v>
      </c>
      <c r="CB102" s="20">
        <f t="shared" si="64"/>
        <v>413.33430507425419</v>
      </c>
      <c r="CC102" s="59">
        <f t="shared" si="65"/>
        <v>706.66763840758745</v>
      </c>
      <c r="CD102" s="59">
        <f ca="1">AVERAGE(OFFSET($CC$3,0,0,'Données projet'!$E$12+1,1))-AVERAGE(OFFSET($H$3,0,0,'Données projet'!$E$12+1,1))</f>
        <v>192.4785660463869</v>
      </c>
      <c r="CE102" s="59">
        <f t="shared" si="94"/>
        <v>165.11095806515362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0.20649220810437766</v>
      </c>
      <c r="CL102" s="21">
        <f>EXP(-LN(2)/25)*CL101+(1-EXP(-LN(2)/25))/(LN(2)/25)*Calculateur!CG102*Calculateur!CI102*VLOOKUP('Données projet'!$B$12,Paramètres!$A$1:$I$89,3,0)*0.475*44/12</f>
        <v>0.69696152277676693</v>
      </c>
      <c r="CM102" s="21">
        <f>EXP(-LN(2)/2)*CM101+(1-EXP(-LN(2)/2))/(LN(2)/2)*CG102*CJ102*VLOOKUP('Données projet'!$B$12,Paramètres!$A$1:$I$89,3,0)*0.475*44/12</f>
        <v>3.0139196513286702E-10</v>
      </c>
      <c r="CN102" s="22">
        <f t="shared" si="66"/>
        <v>0.90345373118253647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5.0999999999999996</v>
      </c>
      <c r="CT102" s="12">
        <f>IF('Données projet'!$A$140&gt;35,CT101+CS102-DB101,IF(A102&lt;'Données projet'!$A$140,$CQ$205^A102,IF(A102='Données projet'!$A$140,'Données projet'!$B$140,CT101+CS102-DB101)))</f>
        <v>284.90000000000009</v>
      </c>
      <c r="CU102" s="17">
        <f>CT102*VLOOKUP('Données projet'!$B$13,Paramètres!$A$1:$I$89,3,0)*VLOOKUP('Données projet'!$B$13,Paramètres!$A$1:$I$89,5,0)</f>
        <v>239.99976000000009</v>
      </c>
      <c r="CV102" s="13">
        <f t="shared" si="95"/>
        <v>58.43947884504243</v>
      </c>
      <c r="CW102" s="20">
        <f t="shared" si="67"/>
        <v>519.78167432178236</v>
      </c>
      <c r="CX102" s="59">
        <f t="shared" si="68"/>
        <v>813.11500765511573</v>
      </c>
      <c r="CY102" s="59">
        <f ca="1">AVERAGE(OFFSET($CX$3,0,0,'Données projet'!$E$13+1,1))-AVERAGE(OFFSET($H$3,0,0,'Données projet'!$E$13+1,1))</f>
        <v>247.67539667223065</v>
      </c>
      <c r="CZ102" s="59">
        <f t="shared" si="96"/>
        <v>174.54442616983778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0.32675690073659769</v>
      </c>
      <c r="DG102" s="21">
        <f>EXP(-LN(2)/25)*DG101+(1-EXP(-LN(2)/25))/(LN(2)/25)*Calculateur!DB102*Calculateur!DD102*VLOOKUP('Données projet'!$B$13,Paramètres!$A$1:$I$89,3,0)*0.475*44/12</f>
        <v>0.97060670980903951</v>
      </c>
      <c r="DH102" s="21">
        <f>EXP(-LN(2)/2)*DH101+(1-EXP(-LN(2)/2))/(LN(2)/2)*DB102*DE102*VLOOKUP('Données projet'!$B$13,Paramètres!$A$1:$I$89,3,0)*0.475*44/12</f>
        <v>4.7389748951722904E-10</v>
      </c>
      <c r="DI102" s="22">
        <f t="shared" si="69"/>
        <v>1.2973636110195348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5.2583333333333373</v>
      </c>
      <c r="DO102" s="12">
        <f>IF('Données projet'!$A$166&gt;35,DO101+DN102-DW101,IF(A102&lt;'Données projet'!$A$166,$DL$205^A102,IF(A102='Données projet'!$A$166,'Données projet'!$B$166,DO101+DN102-DW101)))</f>
        <v>213.73589743589716</v>
      </c>
      <c r="DP102" s="17">
        <f>DO102*VLOOKUP('Données projet'!$B$14,Paramètres!$A$1:$I$89,3,0)*VLOOKUP('Données projet'!$B$14,Paramètres!$A$1:$I$89,5,0)</f>
        <v>213.39391999999972</v>
      </c>
      <c r="DQ102" s="13">
        <f t="shared" si="97"/>
        <v>52.676549165120122</v>
      </c>
      <c r="DR102" s="20">
        <f t="shared" si="70"/>
        <v>463.4060671292504</v>
      </c>
      <c r="DS102" s="59">
        <f t="shared" si="71"/>
        <v>756.73940046258372</v>
      </c>
      <c r="DT102" s="59">
        <f ca="1">AVERAGE(OFFSET($DS$3,0,0,'Données projet'!$E$14+1,1))-AVERAGE(OFFSET($H$3,0,0,'Données projet'!$E$14+1,1))</f>
        <v>245.06609107649069</v>
      </c>
      <c r="DU102" s="59">
        <f t="shared" si="98"/>
        <v>156.24531945456499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3.4528957063300028</v>
      </c>
      <c r="EJ102" s="12">
        <f>IF('Données projet'!$A$192&gt;35,EJ101+EI102-ER101,IF(A102&lt;'Données projet'!$A$192,$EG$205^A102,IF(A102='Données projet'!$A$192,'Données projet'!$B$192,EJ101+EI102-ER101)))</f>
        <v>244.45918754237968</v>
      </c>
      <c r="EK102" s="17">
        <f>EJ102*VLOOKUP('Données projet'!$B$15,Paramètres!$A$1:$I$89,3,0)*VLOOKUP('Données projet'!$B$15,Paramètres!$A$1:$I$89,5,0)</f>
        <v>266.94943279627859</v>
      </c>
      <c r="EL102" s="13">
        <f t="shared" si="99"/>
        <v>64.201434421845022</v>
      </c>
      <c r="EM102" s="20">
        <f t="shared" si="73"/>
        <v>576.75442707156526</v>
      </c>
      <c r="EN102" s="59">
        <f t="shared" si="74"/>
        <v>870.08776040489852</v>
      </c>
      <c r="EO102" s="59">
        <f ca="1">AVERAGE(OFFSET($EN$3,0,0,'Données projet'!$E$15+1,1))-AVERAGE(OFFSET($H$3,0,0,'Données projet'!$E$15+1,1))</f>
        <v>173.63857221119594</v>
      </c>
      <c r="EP102" s="59">
        <f t="shared" si="100"/>
        <v>52.373745617370105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199.58634493109349</v>
      </c>
      <c r="T103" s="59">
        <f t="shared" si="88"/>
        <v>288.66487031729008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1.2492910858921329</v>
      </c>
      <c r="AA103" s="21">
        <f>EXP(-LN(2)/25)*AA102+(1-EXP(-LN(2)/25))/(LN(2)/25)*Calculateur!V103*Calculateur!X103*VLOOKUP('Données projet'!$B$9,Paramètres!$A$1:$I$89,3,0)*0.475*44/12</f>
        <v>2.4596249462683462</v>
      </c>
      <c r="AB103" s="21">
        <f>EXP(-LN(2)/2)*AB102+(1-EXP(-LN(2)/2))/(LN(2)/2)*V103*Y103*VLOOKUP('Données projet'!$B$9,Paramètres!$A$1:$I$89,3,0)*0.475*44/12</f>
        <v>8.5853443405594284E-11</v>
      </c>
      <c r="AC103" s="22">
        <f t="shared" si="57"/>
        <v>3.7089160322463326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606.99999999999989</v>
      </c>
      <c r="AJ103" s="13">
        <f>AI103*VLOOKUP('Données projet'!$B$10,Paramètres!$A$1:$I$89,3,0)*VLOOKUP('Données projet'!$B$10,Paramètres!$A$1:$I$89,5,0)</f>
        <v>362.98599999999999</v>
      </c>
      <c r="AK103" s="13">
        <f t="shared" si="89"/>
        <v>84.230767602863935</v>
      </c>
      <c r="AL103" s="20">
        <f t="shared" si="58"/>
        <v>778.90253690832139</v>
      </c>
      <c r="AM103" s="59">
        <f t="shared" si="59"/>
        <v>1072.2358702416548</v>
      </c>
      <c r="AN103" s="59">
        <f ca="1">AVERAGE(OFFSET($AM$3,0,0,'Données projet'!$E$10+1,1))-AVERAGE(OFFSET($H$3,0,0,'Données projet'!$E$10+1,1))</f>
        <v>395.40396173178527</v>
      </c>
      <c r="AO103" s="59">
        <f t="shared" si="90"/>
        <v>304.68075128568756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0.74965483941343725</v>
      </c>
      <c r="AV103" s="21">
        <f>EXP(-LN(2)/25)*AV102+(1-EXP(-LN(2)/25))/(LN(2)/25)*Calculateur!AQ103*Calculateur!AS103*VLOOKUP('Données projet'!$B$10,Paramètres!$A$1:$I$89,3,0)*0.475*44/12</f>
        <v>2.6844215955424797</v>
      </c>
      <c r="AW103" s="21">
        <f>EXP(-LN(2)/2)*AW102+(1-EXP(-LN(2)/2))/(LN(2)/2)*AQ103*AT103*VLOOKUP('Données projet'!$B$10,Paramètres!$A$1:$I$89,3,0)*0.475*44/12</f>
        <v>7.5687492126243167E-10</v>
      </c>
      <c r="AX103" s="21">
        <f t="shared" si="60"/>
        <v>3.4340764357127918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36.10000000000008</v>
      </c>
      <c r="BE103" s="13">
        <f>BD103*VLOOKUP('Données projet'!$B$11,Paramètres!$A$1:$I$89,3,0)*VLOOKUP('Données projet'!$B$11,Paramètres!$A$1:$I$89,5,0)</f>
        <v>31.536960000000075</v>
      </c>
      <c r="BF103" s="13">
        <f t="shared" si="91"/>
        <v>9.725440120377133</v>
      </c>
      <c r="BG103" s="20">
        <f t="shared" si="61"/>
        <v>71.865346876323642</v>
      </c>
      <c r="BH103" s="59">
        <f t="shared" si="62"/>
        <v>365.19868020965697</v>
      </c>
      <c r="BI103" s="59">
        <f ca="1">AVERAGE(OFFSET($BH$3,0,0,'Données projet'!$E$11+1,1))-AVERAGE(OFFSET($H$3,0,0,'Données projet'!$E$11+1,1))</f>
        <v>249.21292089724221</v>
      </c>
      <c r="BJ103" s="59">
        <f t="shared" si="92"/>
        <v>640.80644476065254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28.193278910415454</v>
      </c>
      <c r="BQ103" s="21">
        <f>EXP(-LN(2)/25)*BQ102+(1-EXP(-LN(2)/25))/(LN(2)/25)*Calculateur!BL103*Calculateur!BN103*VLOOKUP('Données projet'!$B$11,Paramètres!$A$1:$I$89,3,0)*0.475*44/12</f>
        <v>15.389428254951804</v>
      </c>
      <c r="BR103" s="21">
        <f>EXP(-LN(2)/2)*BR102+(1-EXP(-LN(2)/2))/(LN(2)/2)*BL103*BO103*VLOOKUP('Données projet'!$B$11,Paramètres!$A$1:$I$89,3,0)*0.475*44/12</f>
        <v>2.4022168314921881E-9</v>
      </c>
      <c r="BS103" s="22">
        <f t="shared" si="63"/>
        <v>43.582707167769478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234.00000000000045</v>
      </c>
      <c r="BZ103" s="13">
        <f>BY103*VLOOKUP('Données projet'!$B$12,Paramètres!$A$1:$I$89,3,0)*VLOOKUP('Données projet'!$B$12,Paramètres!$A$1:$I$89,5,0)</f>
        <v>189.82080000000036</v>
      </c>
      <c r="CA103" s="13">
        <f t="shared" si="93"/>
        <v>47.500332100049881</v>
      </c>
      <c r="CB103" s="20">
        <f t="shared" si="64"/>
        <v>413.33430507425419</v>
      </c>
      <c r="CC103" s="59">
        <f t="shared" si="65"/>
        <v>706.66763840758745</v>
      </c>
      <c r="CD103" s="59">
        <f ca="1">AVERAGE(OFFSET($CC$3,0,0,'Données projet'!$E$12+1,1))-AVERAGE(OFFSET($H$3,0,0,'Données projet'!$E$12+1,1))</f>
        <v>192.4785660463869</v>
      </c>
      <c r="CE103" s="59">
        <f t="shared" si="94"/>
        <v>165.11095806515362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0.20244302185126145</v>
      </c>
      <c r="CL103" s="21">
        <f>EXP(-LN(2)/25)*CL102+(1-EXP(-LN(2)/25))/(LN(2)/25)*Calculateur!CG103*Calculateur!CI103*VLOOKUP('Données projet'!$B$12,Paramètres!$A$1:$I$89,3,0)*0.475*44/12</f>
        <v>0.67790307328482269</v>
      </c>
      <c r="CM103" s="21">
        <f>EXP(-LN(2)/2)*CM102+(1-EXP(-LN(2)/2))/(LN(2)/2)*CG103*CJ103*VLOOKUP('Données projet'!$B$12,Paramètres!$A$1:$I$89,3,0)*0.475*44/12</f>
        <v>2.1311630234058976E-10</v>
      </c>
      <c r="CN103" s="22">
        <f t="shared" si="66"/>
        <v>0.8803460953492005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290</v>
      </c>
      <c r="CR103" s="12">
        <f>VLOOKUP(A103,'Données projet'!$A$139:$I$159,9,0)</f>
        <v>5.0999999999999996</v>
      </c>
      <c r="CS103" s="12">
        <f t="array" ref="CS103">INDEX(CR:CR,MIN(IF(ISNUMBER(CR103:CR299),ROW(CR103:CR299),"")))</f>
        <v>5.0999999999999996</v>
      </c>
      <c r="CT103" s="12">
        <f>IF('Données projet'!$A$140&gt;35,CT102+CS103-DB102,IF(A103&lt;'Données projet'!$A$140,$CQ$205^A103,IF(A103='Données projet'!$A$140,'Données projet'!$B$140,CT102+CS103-DB102)))</f>
        <v>290.00000000000011</v>
      </c>
      <c r="CU103" s="17">
        <f>CT103*VLOOKUP('Données projet'!$B$13,Paramètres!$A$1:$I$89,3,0)*VLOOKUP('Données projet'!$B$13,Paramètres!$A$1:$I$89,5,0)</f>
        <v>244.29600000000013</v>
      </c>
      <c r="CV103" s="13">
        <f t="shared" si="95"/>
        <v>59.362879241040417</v>
      </c>
      <c r="CW103" s="20">
        <f t="shared" si="67"/>
        <v>528.8725480114789</v>
      </c>
      <c r="CX103" s="59">
        <f t="shared" si="68"/>
        <v>822.20588134481227</v>
      </c>
      <c r="CY103" s="59">
        <f ca="1">AVERAGE(OFFSET($CX$3,0,0,'Données projet'!$E$13+1,1))-AVERAGE(OFFSET($H$3,0,0,'Données projet'!$E$13+1,1))</f>
        <v>247.67539667223065</v>
      </c>
      <c r="CZ103" s="59">
        <f t="shared" si="96"/>
        <v>174.54442616983778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37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0.32034939721518302</v>
      </c>
      <c r="DG103" s="21">
        <f>EXP(-LN(2)/25)*DG102+(1-EXP(-LN(2)/25))/(LN(2)/25)*Calculateur!DB103*Calculateur!DD103*VLOOKUP('Données projet'!$B$13,Paramètres!$A$1:$I$89,3,0)*0.475*44/12</f>
        <v>0.94406541828732282</v>
      </c>
      <c r="DH103" s="21">
        <f>EXP(-LN(2)/2)*DH102+(1-EXP(-LN(2)/2))/(LN(2)/2)*DB103*DE103*VLOOKUP('Données projet'!$B$13,Paramètres!$A$1:$I$89,3,0)*0.475*44/12</f>
        <v>3.3509612842491348E-10</v>
      </c>
      <c r="DI103" s="22">
        <f t="shared" si="69"/>
        <v>1.2644148158376021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5.2583333333333373</v>
      </c>
      <c r="DO103" s="12">
        <f>IF('Données projet'!$A$166&gt;35,DO102+DN103-DW102,IF(A103&lt;'Données projet'!$A$166,$DL$205^A103,IF(A103='Données projet'!$A$166,'Données projet'!$B$166,DO102+DN103-DW102)))</f>
        <v>218.99423076923048</v>
      </c>
      <c r="DP103" s="17">
        <f>DO103*VLOOKUP('Données projet'!$B$14,Paramètres!$A$1:$I$89,3,0)*VLOOKUP('Données projet'!$B$14,Paramètres!$A$1:$I$89,5,0)</f>
        <v>218.64383999999973</v>
      </c>
      <c r="DQ103" s="13">
        <f t="shared" si="97"/>
        <v>53.820025053797636</v>
      </c>
      <c r="DR103" s="20">
        <f t="shared" si="70"/>
        <v>474.54123163536366</v>
      </c>
      <c r="DS103" s="59">
        <f t="shared" si="71"/>
        <v>767.87456496869697</v>
      </c>
      <c r="DT103" s="59">
        <f ca="1">AVERAGE(OFFSET($DS$3,0,0,'Données projet'!$E$14+1,1))-AVERAGE(OFFSET($H$3,0,0,'Données projet'!$E$14+1,1))</f>
        <v>245.06609107649069</v>
      </c>
      <c r="DU103" s="59">
        <f t="shared" si="98"/>
        <v>156.24531945456499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247.91208324870993</v>
      </c>
      <c r="EH103" s="12">
        <f>VLOOKUP(A103,'Données projet'!$A$191:$I$211,9,0)</f>
        <v>3.4528957063300028</v>
      </c>
      <c r="EI103" s="12">
        <f t="array" ref="EI103">INDEX(EH:EH,MIN(IF(ISNUMBER(EH103:EH299),ROW(EH103:EH299),"")))</f>
        <v>3.4528957063300028</v>
      </c>
      <c r="EJ103" s="12">
        <f>IF('Données projet'!$A$192&gt;35,EJ102+EI103-ER102,IF(A103&lt;'Données projet'!$A$192,$EG$205^A103,IF(A103='Données projet'!$A$192,'Données projet'!$B$192,EJ102+EI103-ER102)))</f>
        <v>247.91208324870968</v>
      </c>
      <c r="EK103" s="17">
        <f>EJ103*VLOOKUP('Données projet'!$B$15,Paramètres!$A$1:$I$89,3,0)*VLOOKUP('Données projet'!$B$15,Paramètres!$A$1:$I$89,5,0)</f>
        <v>270.71999490759094</v>
      </c>
      <c r="EL103" s="13">
        <f t="shared" si="99"/>
        <v>65.002046687619981</v>
      </c>
      <c r="EM103" s="20">
        <f t="shared" si="73"/>
        <v>584.71588911165907</v>
      </c>
      <c r="EN103" s="59">
        <f t="shared" si="74"/>
        <v>878.04922244499244</v>
      </c>
      <c r="EO103" s="59">
        <f ca="1">AVERAGE(OFFSET($EN$3,0,0,'Données projet'!$E$15+1,1))-AVERAGE(OFFSET($H$3,0,0,'Données projet'!$E$15+1,1))</f>
        <v>173.63857221119594</v>
      </c>
      <c r="EP103" s="59">
        <f t="shared" si="100"/>
        <v>52.373745617370105</v>
      </c>
      <c r="EQ103" s="15">
        <f>IF(ISNA(VLOOKUP(A103,'Données projet'!$A$191:$I$211,3,0)),0,VLOOKUP(A103,'Données projet'!$A$191:$I$211,3,0))</f>
        <v>1</v>
      </c>
      <c r="ER103" s="15">
        <f>IF(ISNA(VLOOKUP(A103,'Données projet'!$A$191:$I$211,4,0)),0,VLOOKUP(A103,'Données projet'!$A$191:$I$211,4,0))</f>
        <v>247.91208324870993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199.58634493109349</v>
      </c>
      <c r="T104" s="59">
        <f t="shared" si="88"/>
        <v>288.66487031729008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1.2247932496901102</v>
      </c>
      <c r="AA104" s="21">
        <f>EXP(-LN(2)/25)*AA103+(1-EXP(-LN(2)/25))/(LN(2)/25)*Calculateur!V104*Calculateur!X104*VLOOKUP('Données projet'!$B$9,Paramètres!$A$1:$I$89,3,0)*0.475*44/12</f>
        <v>2.3923663727665838</v>
      </c>
      <c r="AB104" s="21">
        <f>EXP(-LN(2)/2)*AB103+(1-EXP(-LN(2)/2))/(LN(2)/2)*V104*Y104*VLOOKUP('Données projet'!$B$9,Paramètres!$A$1:$I$89,3,0)*0.475*44/12</f>
        <v>6.0707552020311199E-11</v>
      </c>
      <c r="AC104" s="22">
        <f t="shared" si="57"/>
        <v>3.6171596225174016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606.99999999999989</v>
      </c>
      <c r="AJ104" s="13">
        <f>AI104*VLOOKUP('Données projet'!$B$10,Paramètres!$A$1:$I$89,3,0)*VLOOKUP('Données projet'!$B$10,Paramètres!$A$1:$I$89,5,0)</f>
        <v>362.98599999999999</v>
      </c>
      <c r="AK104" s="13">
        <f t="shared" si="89"/>
        <v>84.230767602863935</v>
      </c>
      <c r="AL104" s="20">
        <f t="shared" si="58"/>
        <v>778.90253690832139</v>
      </c>
      <c r="AM104" s="59">
        <f t="shared" si="59"/>
        <v>1072.2358702416548</v>
      </c>
      <c r="AN104" s="59">
        <f ca="1">AVERAGE(OFFSET($AM$3,0,0,'Données projet'!$E$10+1,1))-AVERAGE(OFFSET($H$3,0,0,'Données projet'!$E$10+1,1))</f>
        <v>395.40396173178527</v>
      </c>
      <c r="AO104" s="59">
        <f t="shared" si="90"/>
        <v>304.68075128568756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0.73495456525684266</v>
      </c>
      <c r="AV104" s="21">
        <f>EXP(-LN(2)/25)*AV103+(1-EXP(-LN(2)/25))/(LN(2)/25)*Calculateur!AQ104*Calculateur!AS104*VLOOKUP('Données projet'!$B$10,Paramètres!$A$1:$I$89,3,0)*0.475*44/12</f>
        <v>2.6110159458447741</v>
      </c>
      <c r="AW104" s="21">
        <f>EXP(-LN(2)/2)*AW103+(1-EXP(-LN(2)/2))/(LN(2)/2)*AQ104*AT104*VLOOKUP('Données projet'!$B$10,Paramètres!$A$1:$I$89,3,0)*0.475*44/12</f>
        <v>5.3519138933469964E-10</v>
      </c>
      <c r="AX104" s="21">
        <f t="shared" si="60"/>
        <v>3.3459705116368084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36.10000000000008</v>
      </c>
      <c r="BE104" s="13">
        <f>BD104*VLOOKUP('Données projet'!$B$11,Paramètres!$A$1:$I$89,3,0)*VLOOKUP('Données projet'!$B$11,Paramètres!$A$1:$I$89,5,0)</f>
        <v>31.536960000000075</v>
      </c>
      <c r="BF104" s="13">
        <f t="shared" si="91"/>
        <v>9.725440120377133</v>
      </c>
      <c r="BG104" s="20">
        <f t="shared" si="61"/>
        <v>71.865346876323642</v>
      </c>
      <c r="BH104" s="59">
        <f t="shared" si="62"/>
        <v>365.19868020965697</v>
      </c>
      <c r="BI104" s="59">
        <f ca="1">AVERAGE(OFFSET($BH$3,0,0,'Données projet'!$E$11+1,1))-AVERAGE(OFFSET($H$3,0,0,'Données projet'!$E$11+1,1))</f>
        <v>249.21292089724221</v>
      </c>
      <c r="BJ104" s="59">
        <f t="shared" si="92"/>
        <v>640.80644476065254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27.640425907184358</v>
      </c>
      <c r="BQ104" s="21">
        <f>EXP(-LN(2)/25)*BQ103+(1-EXP(-LN(2)/25))/(LN(2)/25)*Calculateur!BL104*Calculateur!BN104*VLOOKUP('Données projet'!$B$11,Paramètres!$A$1:$I$89,3,0)*0.475*44/12</f>
        <v>14.968603530025288</v>
      </c>
      <c r="BR104" s="21">
        <f>EXP(-LN(2)/2)*BR103+(1-EXP(-LN(2)/2))/(LN(2)/2)*BL104*BO104*VLOOKUP('Données projet'!$B$11,Paramètres!$A$1:$I$89,3,0)*0.475*44/12</f>
        <v>1.6986238114285882E-9</v>
      </c>
      <c r="BS104" s="22">
        <f t="shared" si="63"/>
        <v>42.609029438908266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234.00000000000045</v>
      </c>
      <c r="BZ104" s="13">
        <f>BY104*VLOOKUP('Données projet'!$B$12,Paramètres!$A$1:$I$89,3,0)*VLOOKUP('Données projet'!$B$12,Paramètres!$A$1:$I$89,5,0)</f>
        <v>189.82080000000036</v>
      </c>
      <c r="CA104" s="13">
        <f t="shared" si="93"/>
        <v>47.500332100049881</v>
      </c>
      <c r="CB104" s="20">
        <f t="shared" si="64"/>
        <v>413.33430507425419</v>
      </c>
      <c r="CC104" s="59">
        <f t="shared" si="65"/>
        <v>706.66763840758745</v>
      </c>
      <c r="CD104" s="59">
        <f ca="1">AVERAGE(OFFSET($CC$3,0,0,'Données projet'!$E$12+1,1))-AVERAGE(OFFSET($H$3,0,0,'Données projet'!$E$12+1,1))</f>
        <v>192.4785660463869</v>
      </c>
      <c r="CE104" s="59">
        <f t="shared" si="94"/>
        <v>165.11095806515362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0.1984732376708091</v>
      </c>
      <c r="CL104" s="21">
        <f>EXP(-LN(2)/25)*CL103+(1-EXP(-LN(2)/25))/(LN(2)/25)*Calculateur!CG104*Calculateur!CI104*VLOOKUP('Données projet'!$B$12,Paramètres!$A$1:$I$89,3,0)*0.475*44/12</f>
        <v>0.65936577809647601</v>
      </c>
      <c r="CM104" s="21">
        <f>EXP(-LN(2)/2)*CM103+(1-EXP(-LN(2)/2))/(LN(2)/2)*CG104*CJ104*VLOOKUP('Données projet'!$B$12,Paramètres!$A$1:$I$89,3,0)*0.475*44/12</f>
        <v>1.5069598256643351E-10</v>
      </c>
      <c r="CN104" s="22">
        <f t="shared" si="66"/>
        <v>0.85783901591798106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4.5999999999999996</v>
      </c>
      <c r="CT104" s="12">
        <f>IF('Données projet'!$A$140&gt;35,CT103+CS104-DB103,IF(A104&lt;'Données projet'!$A$140,$CQ$205^A104,IF(A104='Données projet'!$A$140,'Données projet'!$B$140,CT103+CS104-DB103)))</f>
        <v>257.60000000000014</v>
      </c>
      <c r="CU104" s="17">
        <f>CT104*VLOOKUP('Données projet'!$B$13,Paramètres!$A$1:$I$89,3,0)*VLOOKUP('Données projet'!$B$13,Paramètres!$A$1:$I$89,5,0)</f>
        <v>217.00224000000011</v>
      </c>
      <c r="CV104" s="13">
        <f t="shared" si="95"/>
        <v>53.462818050454821</v>
      </c>
      <c r="CW104" s="20">
        <f t="shared" si="67"/>
        <v>471.05997610454233</v>
      </c>
      <c r="CX104" s="59">
        <f t="shared" si="68"/>
        <v>764.39330943787559</v>
      </c>
      <c r="CY104" s="59">
        <f ca="1">AVERAGE(OFFSET($CX$3,0,0,'Données projet'!$E$13+1,1))-AVERAGE(OFFSET($H$3,0,0,'Données projet'!$E$13+1,1))</f>
        <v>247.67539667223065</v>
      </c>
      <c r="CZ104" s="59">
        <f t="shared" si="96"/>
        <v>174.54442616983778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0.31406754092963202</v>
      </c>
      <c r="DG104" s="21">
        <f>EXP(-LN(2)/25)*DG103+(1-EXP(-LN(2)/25))/(LN(2)/25)*Calculateur!DB104*Calculateur!DD104*VLOOKUP('Données projet'!$B$13,Paramètres!$A$1:$I$89,3,0)*0.475*44/12</f>
        <v>0.9182498997780133</v>
      </c>
      <c r="DH104" s="21">
        <f>EXP(-LN(2)/2)*DH103+(1-EXP(-LN(2)/2))/(LN(2)/2)*DB104*DE104*VLOOKUP('Données projet'!$B$13,Paramètres!$A$1:$I$89,3,0)*0.475*44/12</f>
        <v>2.3694874475861452E-10</v>
      </c>
      <c r="DI104" s="22">
        <f t="shared" si="69"/>
        <v>1.2323174409445941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5.2583333333333373</v>
      </c>
      <c r="DO104" s="12">
        <f>IF('Données projet'!$A$166&gt;35,DO103+DN104-DW103,IF(A104&lt;'Données projet'!$A$166,$DL$205^A104,IF(A104='Données projet'!$A$166,'Données projet'!$B$166,DO103+DN104-DW103)))</f>
        <v>224.25256410256381</v>
      </c>
      <c r="DP104" s="17">
        <f>DO104*VLOOKUP('Données projet'!$B$14,Paramètres!$A$1:$I$89,3,0)*VLOOKUP('Données projet'!$B$14,Paramètres!$A$1:$I$89,5,0)</f>
        <v>223.8937599999997</v>
      </c>
      <c r="DQ104" s="13">
        <f t="shared" si="97"/>
        <v>54.960309163778717</v>
      </c>
      <c r="DR104" s="20">
        <f t="shared" si="70"/>
        <v>485.67083712691414</v>
      </c>
      <c r="DS104" s="59">
        <f t="shared" si="71"/>
        <v>779.00417046024745</v>
      </c>
      <c r="DT104" s="59">
        <f ca="1">AVERAGE(OFFSET($DS$3,0,0,'Données projet'!$E$14+1,1))-AVERAGE(OFFSET($H$3,0,0,'Données projet'!$E$14+1,1))</f>
        <v>245.06609107649069</v>
      </c>
      <c r="DU104" s="59">
        <f t="shared" si="98"/>
        <v>156.24531945456499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-2.5579538487363607E-13</v>
      </c>
      <c r="EK104" s="17">
        <f>EJ104*VLOOKUP('Données projet'!$B$15,Paramètres!$A$1:$I$89,3,0)*VLOOKUP('Données projet'!$B$15,Paramètres!$A$1:$I$89,5,0)</f>
        <v>-2.7932856028201057E-13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173.63857221119594</v>
      </c>
      <c r="EP104" s="59">
        <f t="shared" si="100"/>
        <v>52.373745617370105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199.58634493109349</v>
      </c>
      <c r="T105" s="59">
        <f t="shared" si="88"/>
        <v>288.66487031729008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1.2007758011138043</v>
      </c>
      <c r="AA105" s="21">
        <f>EXP(-LN(2)/25)*AA104+(1-EXP(-LN(2)/25))/(LN(2)/25)*Calculateur!V105*Calculateur!X105*VLOOKUP('Données projet'!$B$9,Paramètres!$A$1:$I$89,3,0)*0.475*44/12</f>
        <v>2.326946988494202</v>
      </c>
      <c r="AB105" s="21">
        <f>EXP(-LN(2)/2)*AB104+(1-EXP(-LN(2)/2))/(LN(2)/2)*V105*Y105*VLOOKUP('Données projet'!$B$9,Paramètres!$A$1:$I$89,3,0)*0.475*44/12</f>
        <v>4.2926721702797142E-11</v>
      </c>
      <c r="AC105" s="22">
        <f t="shared" si="57"/>
        <v>3.5277227896509329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606.99999999999989</v>
      </c>
      <c r="AJ105" s="13">
        <f>AI105*VLOOKUP('Données projet'!$B$10,Paramètres!$A$1:$I$89,3,0)*VLOOKUP('Données projet'!$B$10,Paramètres!$A$1:$I$89,5,0)</f>
        <v>362.98599999999999</v>
      </c>
      <c r="AK105" s="13">
        <f t="shared" si="89"/>
        <v>84.230767602863935</v>
      </c>
      <c r="AL105" s="20">
        <f t="shared" si="58"/>
        <v>778.90253690832139</v>
      </c>
      <c r="AM105" s="59">
        <f t="shared" si="59"/>
        <v>1072.2358702416548</v>
      </c>
      <c r="AN105" s="59">
        <f ca="1">AVERAGE(OFFSET($AM$3,0,0,'Données projet'!$E$10+1,1))-AVERAGE(OFFSET($H$3,0,0,'Données projet'!$E$10+1,1))</f>
        <v>395.40396173178527</v>
      </c>
      <c r="AO105" s="59">
        <f t="shared" si="90"/>
        <v>304.68075128568756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0.72054255451017701</v>
      </c>
      <c r="AV105" s="21">
        <f>EXP(-LN(2)/25)*AV104+(1-EXP(-LN(2)/25))/(LN(2)/25)*Calculateur!AQ105*Calculateur!AS105*VLOOKUP('Données projet'!$B$10,Paramètres!$A$1:$I$89,3,0)*0.475*44/12</f>
        <v>2.5396175774982876</v>
      </c>
      <c r="AW105" s="21">
        <f>EXP(-LN(2)/2)*AW104+(1-EXP(-LN(2)/2))/(LN(2)/2)*AQ105*AT105*VLOOKUP('Données projet'!$B$10,Paramètres!$A$1:$I$89,3,0)*0.475*44/12</f>
        <v>3.7843746063121583E-10</v>
      </c>
      <c r="AX105" s="21">
        <f t="shared" si="60"/>
        <v>3.2601601323869018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36.10000000000008</v>
      </c>
      <c r="BE105" s="13">
        <f>BD105*VLOOKUP('Données projet'!$B$11,Paramètres!$A$1:$I$89,3,0)*VLOOKUP('Données projet'!$B$11,Paramètres!$A$1:$I$89,5,0)</f>
        <v>31.536960000000075</v>
      </c>
      <c r="BF105" s="13">
        <f t="shared" si="91"/>
        <v>9.725440120377133</v>
      </c>
      <c r="BG105" s="20">
        <f t="shared" si="61"/>
        <v>71.865346876323642</v>
      </c>
      <c r="BH105" s="59">
        <f t="shared" si="62"/>
        <v>365.19868020965697</v>
      </c>
      <c r="BI105" s="59">
        <f ca="1">AVERAGE(OFFSET($BH$3,0,0,'Données projet'!$E$11+1,1))-AVERAGE(OFFSET($H$3,0,0,'Données projet'!$E$11+1,1))</f>
        <v>249.21292089724221</v>
      </c>
      <c r="BJ105" s="59">
        <f t="shared" si="92"/>
        <v>640.80644476065254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27.098414014139589</v>
      </c>
      <c r="BQ105" s="21">
        <f>EXP(-LN(2)/25)*BQ104+(1-EXP(-LN(2)/25))/(LN(2)/25)*Calculateur!BL105*Calculateur!BN105*VLOOKUP('Données projet'!$B$11,Paramètres!$A$1:$I$89,3,0)*0.475*44/12</f>
        <v>14.559286279332097</v>
      </c>
      <c r="BR105" s="21">
        <f>EXP(-LN(2)/2)*BR104+(1-EXP(-LN(2)/2))/(LN(2)/2)*BL105*BO105*VLOOKUP('Données projet'!$B$11,Paramètres!$A$1:$I$89,3,0)*0.475*44/12</f>
        <v>1.201108415746094E-9</v>
      </c>
      <c r="BS105" s="22">
        <f t="shared" si="63"/>
        <v>41.657700294672793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234.00000000000045</v>
      </c>
      <c r="BZ105" s="13">
        <f>BY105*VLOOKUP('Données projet'!$B$12,Paramètres!$A$1:$I$89,3,0)*VLOOKUP('Données projet'!$B$12,Paramètres!$A$1:$I$89,5,0)</f>
        <v>189.82080000000036</v>
      </c>
      <c r="CA105" s="13">
        <f t="shared" si="93"/>
        <v>47.500332100049881</v>
      </c>
      <c r="CB105" s="20">
        <f t="shared" si="64"/>
        <v>413.33430507425419</v>
      </c>
      <c r="CC105" s="59">
        <f t="shared" si="65"/>
        <v>706.66763840758745</v>
      </c>
      <c r="CD105" s="59">
        <f ca="1">AVERAGE(OFFSET($CC$3,0,0,'Données projet'!$E$12+1,1))-AVERAGE(OFFSET($H$3,0,0,'Données projet'!$E$12+1,1))</f>
        <v>192.4785660463869</v>
      </c>
      <c r="CE105" s="59">
        <f t="shared" si="94"/>
        <v>165.11095806515362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0.19458129853680614</v>
      </c>
      <c r="CL105" s="21">
        <f>EXP(-LN(2)/25)*CL104+(1-EXP(-LN(2)/25))/(LN(2)/25)*Calculateur!CG105*Calculateur!CI105*VLOOKUP('Données projet'!$B$12,Paramètres!$A$1:$I$89,3,0)*0.475*44/12</f>
        <v>0.64133538621988861</v>
      </c>
      <c r="CM105" s="21">
        <f>EXP(-LN(2)/2)*CM104+(1-EXP(-LN(2)/2))/(LN(2)/2)*CG105*CJ105*VLOOKUP('Données projet'!$B$12,Paramètres!$A$1:$I$89,3,0)*0.475*44/12</f>
        <v>1.0655815117029488E-10</v>
      </c>
      <c r="CN105" s="22">
        <f t="shared" si="66"/>
        <v>0.83591668486325288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4.5999999999999996</v>
      </c>
      <c r="CT105" s="12">
        <f>IF('Données projet'!$A$140&gt;35,CT104+CS105-DB104,IF(A105&lt;'Données projet'!$A$140,$CQ$205^A105,IF(A105='Données projet'!$A$140,'Données projet'!$B$140,CT104+CS105-DB104)))</f>
        <v>262.20000000000016</v>
      </c>
      <c r="CU105" s="17">
        <f>CT105*VLOOKUP('Données projet'!$B$13,Paramètres!$A$1:$I$89,3,0)*VLOOKUP('Données projet'!$B$13,Paramètres!$A$1:$I$89,5,0)</f>
        <v>220.87728000000018</v>
      </c>
      <c r="CV105" s="13">
        <f t="shared" si="95"/>
        <v>54.30551400830285</v>
      </c>
      <c r="CW105" s="20">
        <f t="shared" si="67"/>
        <v>479.27669956446113</v>
      </c>
      <c r="CX105" s="59">
        <f t="shared" si="68"/>
        <v>772.61003289779444</v>
      </c>
      <c r="CY105" s="59">
        <f ca="1">AVERAGE(OFFSET($CX$3,0,0,'Données projet'!$E$13+1,1))-AVERAGE(OFFSET($H$3,0,0,'Données projet'!$E$13+1,1))</f>
        <v>247.67539667223065</v>
      </c>
      <c r="CZ105" s="59">
        <f t="shared" si="96"/>
        <v>174.54442616983778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0.30790886801428669</v>
      </c>
      <c r="DG105" s="21">
        <f>EXP(-LN(2)/25)*DG104+(1-EXP(-LN(2)/25))/(LN(2)/25)*Calculateur!DB105*Calculateur!DD105*VLOOKUP('Données projet'!$B$13,Paramètres!$A$1:$I$89,3,0)*0.475*44/12</f>
        <v>0.89314030797991995</v>
      </c>
      <c r="DH105" s="21">
        <f>EXP(-LN(2)/2)*DH104+(1-EXP(-LN(2)/2))/(LN(2)/2)*DB105*DE105*VLOOKUP('Données projet'!$B$13,Paramètres!$A$1:$I$89,3,0)*0.475*44/12</f>
        <v>1.6754806421245674E-10</v>
      </c>
      <c r="DI105" s="22">
        <f t="shared" si="69"/>
        <v>1.2010491761617546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5.2583333333333373</v>
      </c>
      <c r="DO105" s="12">
        <f>IF('Données projet'!$A$166&gt;35,DO104+DN105-DW104,IF(A105&lt;'Données projet'!$A$166,$DL$205^A105,IF(A105='Données projet'!$A$166,'Données projet'!$B$166,DO104+DN105-DW104)))</f>
        <v>229.51089743589714</v>
      </c>
      <c r="DP105" s="17">
        <f>DO105*VLOOKUP('Données projet'!$B$14,Paramètres!$A$1:$I$89,3,0)*VLOOKUP('Données projet'!$B$14,Paramètres!$A$1:$I$89,5,0)</f>
        <v>229.1436799999997</v>
      </c>
      <c r="DQ105" s="13">
        <f t="shared" si="97"/>
        <v>56.097484949842602</v>
      </c>
      <c r="DR105" s="20">
        <f t="shared" si="70"/>
        <v>496.79502895430869</v>
      </c>
      <c r="DS105" s="59">
        <f t="shared" si="71"/>
        <v>790.12836228764195</v>
      </c>
      <c r="DT105" s="59">
        <f ca="1">AVERAGE(OFFSET($DS$3,0,0,'Données projet'!$E$14+1,1))-AVERAGE(OFFSET($H$3,0,0,'Données projet'!$E$14+1,1))</f>
        <v>245.06609107649069</v>
      </c>
      <c r="DU105" s="59">
        <f t="shared" si="98"/>
        <v>156.24531945456499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-2.5579538487363607E-13</v>
      </c>
      <c r="EK105" s="17">
        <f>EJ105*VLOOKUP('Données projet'!$B$15,Paramètres!$A$1:$I$89,3,0)*VLOOKUP('Données projet'!$B$15,Paramètres!$A$1:$I$89,5,0)</f>
        <v>-2.7932856028201057E-13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173.63857221119594</v>
      </c>
      <c r="EP105" s="59">
        <f t="shared" si="100"/>
        <v>52.373745617370105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199.58634493109349</v>
      </c>
      <c r="T106" s="59">
        <f t="shared" si="88"/>
        <v>288.66487031729008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1.1772293200548827</v>
      </c>
      <c r="AA106" s="21">
        <f>EXP(-LN(2)/25)*AA105+(1-EXP(-LN(2)/25))/(LN(2)/25)*Calculateur!V106*Calculateur!X106*VLOOKUP('Données projet'!$B$9,Paramètres!$A$1:$I$89,3,0)*0.475*44/12</f>
        <v>2.2633165007250042</v>
      </c>
      <c r="AB106" s="21">
        <f>EXP(-LN(2)/2)*AB105+(1-EXP(-LN(2)/2))/(LN(2)/2)*V106*Y106*VLOOKUP('Données projet'!$B$9,Paramètres!$A$1:$I$89,3,0)*0.475*44/12</f>
        <v>3.0353776010155599E-11</v>
      </c>
      <c r="AC106" s="22">
        <f t="shared" si="57"/>
        <v>3.4405458208102409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606.99999999999989</v>
      </c>
      <c r="AJ106" s="13">
        <f>AI106*VLOOKUP('Données projet'!$B$10,Paramètres!$A$1:$I$89,3,0)*VLOOKUP('Données projet'!$B$10,Paramètres!$A$1:$I$89,5,0)</f>
        <v>362.98599999999999</v>
      </c>
      <c r="AK106" s="13">
        <f t="shared" si="89"/>
        <v>84.230767602863935</v>
      </c>
      <c r="AL106" s="20">
        <f t="shared" si="58"/>
        <v>778.90253690832139</v>
      </c>
      <c r="AM106" s="59">
        <f t="shared" si="59"/>
        <v>1072.2358702416548</v>
      </c>
      <c r="AN106" s="59">
        <f ca="1">AVERAGE(OFFSET($AM$3,0,0,'Données projet'!$E$10+1,1))-AVERAGE(OFFSET($H$3,0,0,'Données projet'!$E$10+1,1))</f>
        <v>395.40396173178527</v>
      </c>
      <c r="AO106" s="59">
        <f t="shared" si="90"/>
        <v>304.68075128568756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0.70641315450379494</v>
      </c>
      <c r="AV106" s="21">
        <f>EXP(-LN(2)/25)*AV105+(1-EXP(-LN(2)/25))/(LN(2)/25)*Calculateur!AQ106*Calculateur!AS106*VLOOKUP('Données projet'!$B$10,Paramètres!$A$1:$I$89,3,0)*0.475*44/12</f>
        <v>2.470171601288913</v>
      </c>
      <c r="AW106" s="21">
        <f>EXP(-LN(2)/2)*AW105+(1-EXP(-LN(2)/2))/(LN(2)/2)*AQ106*AT106*VLOOKUP('Données projet'!$B$10,Paramètres!$A$1:$I$89,3,0)*0.475*44/12</f>
        <v>2.6759569466734982E-10</v>
      </c>
      <c r="AX106" s="21">
        <f t="shared" si="60"/>
        <v>3.1765847560603038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36.10000000000008</v>
      </c>
      <c r="BE106" s="13">
        <f>BD106*VLOOKUP('Données projet'!$B$11,Paramètres!$A$1:$I$89,3,0)*VLOOKUP('Données projet'!$B$11,Paramètres!$A$1:$I$89,5,0)</f>
        <v>31.536960000000075</v>
      </c>
      <c r="BF106" s="13">
        <f t="shared" si="91"/>
        <v>9.725440120377133</v>
      </c>
      <c r="BG106" s="20">
        <f t="shared" si="61"/>
        <v>71.865346876323642</v>
      </c>
      <c r="BH106" s="59">
        <f t="shared" si="62"/>
        <v>365.19868020965697</v>
      </c>
      <c r="BI106" s="59">
        <f ca="1">AVERAGE(OFFSET($BH$3,0,0,'Données projet'!$E$11+1,1))-AVERAGE(OFFSET($H$3,0,0,'Données projet'!$E$11+1,1))</f>
        <v>249.21292089724221</v>
      </c>
      <c r="BJ106" s="59">
        <f t="shared" si="92"/>
        <v>640.80644476065254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26.567030643722816</v>
      </c>
      <c r="BQ106" s="21">
        <f>EXP(-LN(2)/25)*BQ105+(1-EXP(-LN(2)/25))/(LN(2)/25)*Calculateur!BL106*Calculateur!BN106*VLOOKUP('Données projet'!$B$11,Paramètres!$A$1:$I$89,3,0)*0.475*44/12</f>
        <v>14.161161830384172</v>
      </c>
      <c r="BR106" s="21">
        <f>EXP(-LN(2)/2)*BR105+(1-EXP(-LN(2)/2))/(LN(2)/2)*BL106*BO106*VLOOKUP('Données projet'!$B$11,Paramètres!$A$1:$I$89,3,0)*0.475*44/12</f>
        <v>8.4931190571429408E-10</v>
      </c>
      <c r="BS106" s="22">
        <f t="shared" si="63"/>
        <v>40.728192474956302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234.00000000000045</v>
      </c>
      <c r="BZ106" s="13">
        <f>BY106*VLOOKUP('Données projet'!$B$12,Paramètres!$A$1:$I$89,3,0)*VLOOKUP('Données projet'!$B$12,Paramètres!$A$1:$I$89,5,0)</f>
        <v>189.82080000000036</v>
      </c>
      <c r="CA106" s="13">
        <f t="shared" si="93"/>
        <v>47.500332100049881</v>
      </c>
      <c r="CB106" s="20">
        <f t="shared" si="64"/>
        <v>413.33430507425419</v>
      </c>
      <c r="CC106" s="59">
        <f t="shared" si="65"/>
        <v>706.66763840758745</v>
      </c>
      <c r="CD106" s="59">
        <f ca="1">AVERAGE(OFFSET($CC$3,0,0,'Données projet'!$E$12+1,1))-AVERAGE(OFFSET($H$3,0,0,'Données projet'!$E$12+1,1))</f>
        <v>192.4785660463869</v>
      </c>
      <c r="CE106" s="59">
        <f t="shared" si="94"/>
        <v>165.11095806515362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0.19076567795537253</v>
      </c>
      <c r="CL106" s="21">
        <f>EXP(-LN(2)/25)*CL105+(1-EXP(-LN(2)/25))/(LN(2)/25)*Calculateur!CG106*Calculateur!CI106*VLOOKUP('Données projet'!$B$12,Paramètres!$A$1:$I$89,3,0)*0.475*44/12</f>
        <v>0.62379803635734354</v>
      </c>
      <c r="CM106" s="21">
        <f>EXP(-LN(2)/2)*CM105+(1-EXP(-LN(2)/2))/(LN(2)/2)*CG106*CJ106*VLOOKUP('Données projet'!$B$12,Paramètres!$A$1:$I$89,3,0)*0.475*44/12</f>
        <v>7.5347991283216755E-11</v>
      </c>
      <c r="CN106" s="22">
        <f t="shared" si="66"/>
        <v>0.81456371438806396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4.5999999999999996</v>
      </c>
      <c r="CT106" s="12">
        <f>IF('Données projet'!$A$140&gt;35,CT105+CS106-DB105,IF(A106&lt;'Données projet'!$A$140,$CQ$205^A106,IF(A106='Données projet'!$A$140,'Données projet'!$B$140,CT105+CS106-DB105)))</f>
        <v>266.80000000000018</v>
      </c>
      <c r="CU106" s="17">
        <f>CT106*VLOOKUP('Données projet'!$B$13,Paramètres!$A$1:$I$89,3,0)*VLOOKUP('Données projet'!$B$13,Paramètres!$A$1:$I$89,5,0)</f>
        <v>224.7523200000002</v>
      </c>
      <c r="CV106" s="13">
        <f t="shared" si="95"/>
        <v>55.146490754971133</v>
      </c>
      <c r="CW106" s="20">
        <f t="shared" si="67"/>
        <v>487.49042873157509</v>
      </c>
      <c r="CX106" s="59">
        <f t="shared" si="68"/>
        <v>780.82376206490835</v>
      </c>
      <c r="CY106" s="59">
        <f ca="1">AVERAGE(OFFSET($CX$3,0,0,'Données projet'!$E$13+1,1))-AVERAGE(OFFSET($H$3,0,0,'Données projet'!$E$13+1,1))</f>
        <v>247.67539667223065</v>
      </c>
      <c r="CZ106" s="59">
        <f t="shared" si="96"/>
        <v>174.54442616983778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0.30187096291839172</v>
      </c>
      <c r="DG106" s="21">
        <f>EXP(-LN(2)/25)*DG105+(1-EXP(-LN(2)/25))/(LN(2)/25)*Calculateur!DB106*Calculateur!DD106*VLOOKUP('Données projet'!$B$13,Paramètres!$A$1:$I$89,3,0)*0.475*44/12</f>
        <v>0.8687173392900015</v>
      </c>
      <c r="DH106" s="21">
        <f>EXP(-LN(2)/2)*DH105+(1-EXP(-LN(2)/2))/(LN(2)/2)*DB106*DE106*VLOOKUP('Données projet'!$B$13,Paramètres!$A$1:$I$89,3,0)*0.475*44/12</f>
        <v>1.1847437237930726E-10</v>
      </c>
      <c r="DI106" s="22">
        <f t="shared" si="69"/>
        <v>1.1705883023268675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234.76923076923077</v>
      </c>
      <c r="DM106" s="12">
        <f>VLOOKUP(A106,'Données projet'!$A$165:$I$185,9,0)</f>
        <v>5.2583333333333373</v>
      </c>
      <c r="DN106" s="12">
        <f t="array" ref="DN106">INDEX(DM:DM,MIN(IF(ISNUMBER(DM106:DM302),ROW(DM106:DM302),"")))</f>
        <v>5.2583333333333373</v>
      </c>
      <c r="DO106" s="12">
        <f>IF('Données projet'!$A$166&gt;35,DO105+DN106-DW105,IF(A106&lt;'Données projet'!$A$166,$DL$205^A106,IF(A106='Données projet'!$A$166,'Données projet'!$B$166,DO105+DN106-DW105)))</f>
        <v>234.76923076923046</v>
      </c>
      <c r="DP106" s="17">
        <f>DO106*VLOOKUP('Données projet'!$B$14,Paramètres!$A$1:$I$89,3,0)*VLOOKUP('Données projet'!$B$14,Paramètres!$A$1:$I$89,5,0)</f>
        <v>234.39359999999974</v>
      </c>
      <c r="DQ106" s="13">
        <f t="shared" si="97"/>
        <v>57.231631824462966</v>
      </c>
      <c r="DR106" s="20">
        <f t="shared" si="70"/>
        <v>507.91394542760594</v>
      </c>
      <c r="DS106" s="59">
        <f t="shared" si="71"/>
        <v>801.24727876093925</v>
      </c>
      <c r="DT106" s="59">
        <f ca="1">AVERAGE(OFFSET($DS$3,0,0,'Données projet'!$E$14+1,1))-AVERAGE(OFFSET($H$3,0,0,'Données projet'!$E$14+1,1))</f>
        <v>245.06609107649069</v>
      </c>
      <c r="DU106" s="59">
        <f t="shared" si="98"/>
        <v>156.24531945456499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39.512820512820511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-2.5579538487363607E-13</v>
      </c>
      <c r="EK106" s="17">
        <f>EJ106*VLOOKUP('Données projet'!$B$15,Paramètres!$A$1:$I$89,3,0)*VLOOKUP('Données projet'!$B$15,Paramètres!$A$1:$I$89,5,0)</f>
        <v>-2.7932856028201057E-13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173.63857221119594</v>
      </c>
      <c r="EP106" s="59">
        <f t="shared" si="100"/>
        <v>52.373745617370105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199.58634493109349</v>
      </c>
      <c r="T107" s="59">
        <f t="shared" si="88"/>
        <v>288.66487031729008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1.1541445711275913</v>
      </c>
      <c r="AA107" s="21">
        <f>EXP(-LN(2)/25)*AA106+(1-EXP(-LN(2)/25))/(LN(2)/25)*Calculateur!V107*Calculateur!X107*VLOOKUP('Données projet'!$B$9,Paramètres!$A$1:$I$89,3,0)*0.475*44/12</f>
        <v>2.2014259919900372</v>
      </c>
      <c r="AB107" s="21">
        <f>EXP(-LN(2)/2)*AB106+(1-EXP(-LN(2)/2))/(LN(2)/2)*V107*Y107*VLOOKUP('Données projet'!$B$9,Paramètres!$A$1:$I$89,3,0)*0.475*44/12</f>
        <v>2.1463360851398571E-11</v>
      </c>
      <c r="AC107" s="22">
        <f t="shared" si="57"/>
        <v>3.3555705631390915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606.99999999999989</v>
      </c>
      <c r="AJ107" s="13">
        <f>AI107*VLOOKUP('Données projet'!$B$10,Paramètres!$A$1:$I$89,3,0)*VLOOKUP('Données projet'!$B$10,Paramètres!$A$1:$I$89,5,0)</f>
        <v>362.98599999999999</v>
      </c>
      <c r="AK107" s="13">
        <f t="shared" si="89"/>
        <v>84.230767602863935</v>
      </c>
      <c r="AL107" s="20">
        <f t="shared" si="58"/>
        <v>778.90253690832139</v>
      </c>
      <c r="AM107" s="59">
        <f t="shared" si="59"/>
        <v>1072.2358702416548</v>
      </c>
      <c r="AN107" s="59">
        <f ca="1">AVERAGE(OFFSET($AM$3,0,0,'Données projet'!$E$10+1,1))-AVERAGE(OFFSET($H$3,0,0,'Données projet'!$E$10+1,1))</f>
        <v>395.40396173178527</v>
      </c>
      <c r="AO107" s="59">
        <f t="shared" si="90"/>
        <v>304.68075128568756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0.69256082341345493</v>
      </c>
      <c r="AV107" s="21">
        <f>EXP(-LN(2)/25)*AV106+(1-EXP(-LN(2)/25))/(LN(2)/25)*Calculateur!AQ107*Calculateur!AS107*VLOOKUP('Données projet'!$B$10,Paramètres!$A$1:$I$89,3,0)*0.475*44/12</f>
        <v>2.4026246289509889</v>
      </c>
      <c r="AW107" s="21">
        <f>EXP(-LN(2)/2)*AW106+(1-EXP(-LN(2)/2))/(LN(2)/2)*AQ107*AT107*VLOOKUP('Données projet'!$B$10,Paramètres!$A$1:$I$89,3,0)*0.475*44/12</f>
        <v>1.8921873031560792E-10</v>
      </c>
      <c r="AX107" s="21">
        <f t="shared" si="60"/>
        <v>3.0951854525536628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36.10000000000008</v>
      </c>
      <c r="BE107" s="13">
        <f>BD107*VLOOKUP('Données projet'!$B$11,Paramètres!$A$1:$I$89,3,0)*VLOOKUP('Données projet'!$B$11,Paramètres!$A$1:$I$89,5,0)</f>
        <v>31.536960000000075</v>
      </c>
      <c r="BF107" s="13">
        <f t="shared" si="91"/>
        <v>9.725440120377133</v>
      </c>
      <c r="BG107" s="20">
        <f t="shared" si="61"/>
        <v>71.865346876323642</v>
      </c>
      <c r="BH107" s="59">
        <f t="shared" si="62"/>
        <v>365.19868020965697</v>
      </c>
      <c r="BI107" s="59">
        <f ca="1">AVERAGE(OFFSET($BH$3,0,0,'Données projet'!$E$11+1,1))-AVERAGE(OFFSET($H$3,0,0,'Données projet'!$E$11+1,1))</f>
        <v>249.21292089724221</v>
      </c>
      <c r="BJ107" s="59">
        <f t="shared" si="92"/>
        <v>640.80644476065254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26.046067377088065</v>
      </c>
      <c r="BQ107" s="21">
        <f>EXP(-LN(2)/25)*BQ106+(1-EXP(-LN(2)/25))/(LN(2)/25)*Calculateur!BL107*Calculateur!BN107*VLOOKUP('Données projet'!$B$11,Paramètres!$A$1:$I$89,3,0)*0.475*44/12</f>
        <v>13.773924115429182</v>
      </c>
      <c r="BR107" s="21">
        <f>EXP(-LN(2)/2)*BR106+(1-EXP(-LN(2)/2))/(LN(2)/2)*BL107*BO107*VLOOKUP('Données projet'!$B$11,Paramètres!$A$1:$I$89,3,0)*0.475*44/12</f>
        <v>6.0055420787304702E-10</v>
      </c>
      <c r="BS107" s="22">
        <f t="shared" si="63"/>
        <v>39.819991493117797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234.00000000000045</v>
      </c>
      <c r="BZ107" s="13">
        <f>BY107*VLOOKUP('Données projet'!$B$12,Paramètres!$A$1:$I$89,3,0)*VLOOKUP('Données projet'!$B$12,Paramètres!$A$1:$I$89,5,0)</f>
        <v>189.82080000000036</v>
      </c>
      <c r="CA107" s="13">
        <f t="shared" si="93"/>
        <v>47.500332100049881</v>
      </c>
      <c r="CB107" s="20">
        <f t="shared" si="64"/>
        <v>413.33430507425419</v>
      </c>
      <c r="CC107" s="59">
        <f t="shared" si="65"/>
        <v>706.66763840758745</v>
      </c>
      <c r="CD107" s="59">
        <f ca="1">AVERAGE(OFFSET($CC$3,0,0,'Données projet'!$E$12+1,1))-AVERAGE(OFFSET($H$3,0,0,'Données projet'!$E$12+1,1))</f>
        <v>192.4785660463869</v>
      </c>
      <c r="CE107" s="59">
        <f t="shared" si="94"/>
        <v>165.11095806515362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0.18702487936624207</v>
      </c>
      <c r="CL107" s="21">
        <f>EXP(-LN(2)/25)*CL106+(1-EXP(-LN(2)/25))/(LN(2)/25)*Calculateur!CG107*Calculateur!CI107*VLOOKUP('Données projet'!$B$12,Paramètres!$A$1:$I$89,3,0)*0.475*44/12</f>
        <v>0.60674024624903899</v>
      </c>
      <c r="CM107" s="21">
        <f>EXP(-LN(2)/2)*CM106+(1-EXP(-LN(2)/2))/(LN(2)/2)*CG107*CJ107*VLOOKUP('Données projet'!$B$12,Paramètres!$A$1:$I$89,3,0)*0.475*44/12</f>
        <v>5.3279075585147441E-11</v>
      </c>
      <c r="CN107" s="22">
        <f t="shared" si="66"/>
        <v>0.79376512566856017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4.5999999999999996</v>
      </c>
      <c r="CT107" s="12">
        <f>IF('Données projet'!$A$140&gt;35,CT106+CS107-DB106,IF(A107&lt;'Données projet'!$A$140,$CQ$205^A107,IF(A107='Données projet'!$A$140,'Données projet'!$B$140,CT106+CS107-DB106)))</f>
        <v>271.4000000000002</v>
      </c>
      <c r="CU107" s="17">
        <f>CT107*VLOOKUP('Données projet'!$B$13,Paramètres!$A$1:$I$89,3,0)*VLOOKUP('Données projet'!$B$13,Paramètres!$A$1:$I$89,5,0)</f>
        <v>228.62736000000021</v>
      </c>
      <c r="CV107" s="13">
        <f t="shared" si="95"/>
        <v>55.985781352428745</v>
      </c>
      <c r="CW107" s="20">
        <f t="shared" si="67"/>
        <v>495.7012211888138</v>
      </c>
      <c r="CX107" s="59">
        <f t="shared" si="68"/>
        <v>789.03455452214712</v>
      </c>
      <c r="CY107" s="59">
        <f ca="1">AVERAGE(OFFSET($CX$3,0,0,'Données projet'!$E$13+1,1))-AVERAGE(OFFSET($H$3,0,0,'Données projet'!$E$13+1,1))</f>
        <v>247.67539667223065</v>
      </c>
      <c r="CZ107" s="59">
        <f t="shared" si="96"/>
        <v>174.54442616983778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0.2959514574586688</v>
      </c>
      <c r="DG107" s="21">
        <f>EXP(-LN(2)/25)*DG106+(1-EXP(-LN(2)/25))/(LN(2)/25)*Calculateur!DB107*Calculateur!DD107*VLOOKUP('Données projet'!$B$13,Paramètres!$A$1:$I$89,3,0)*0.475*44/12</f>
        <v>0.84496221796325699</v>
      </c>
      <c r="DH107" s="21">
        <f>EXP(-LN(2)/2)*DH106+(1-EXP(-LN(2)/2))/(LN(2)/2)*DB107*DE107*VLOOKUP('Données projet'!$B$13,Paramètres!$A$1:$I$89,3,0)*0.475*44/12</f>
        <v>8.3774032106228369E-11</v>
      </c>
      <c r="DI107" s="22">
        <f t="shared" si="69"/>
        <v>1.1409136755056999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5.0961538461538449</v>
      </c>
      <c r="DO107" s="12">
        <f>IF('Données projet'!$A$166&gt;35,DO106+DN107-DW106,IF(A107&lt;'Données projet'!$A$166,$DL$205^A107,IF(A107='Données projet'!$A$166,'Données projet'!$B$166,DO106+DN107-DW106)))</f>
        <v>200.3525641025638</v>
      </c>
      <c r="DP107" s="17">
        <f>DO107*VLOOKUP('Données projet'!$B$14,Paramètres!$A$1:$I$89,3,0)*VLOOKUP('Données projet'!$B$14,Paramètres!$A$1:$I$89,5,0)</f>
        <v>200.03199999999973</v>
      </c>
      <c r="DQ107" s="13">
        <f t="shared" si="97"/>
        <v>49.751200291355495</v>
      </c>
      <c r="DR107" s="20">
        <f t="shared" si="70"/>
        <v>435.03907384077701</v>
      </c>
      <c r="DS107" s="59">
        <f t="shared" si="71"/>
        <v>728.37240717411032</v>
      </c>
      <c r="DT107" s="59">
        <f ca="1">AVERAGE(OFFSET($DS$3,0,0,'Données projet'!$E$14+1,1))-AVERAGE(OFFSET($H$3,0,0,'Données projet'!$E$14+1,1))</f>
        <v>245.06609107649069</v>
      </c>
      <c r="DU107" s="59">
        <f t="shared" si="98"/>
        <v>156.24531945456499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-2.5579538487363607E-13</v>
      </c>
      <c r="EK107" s="17">
        <f>EJ107*VLOOKUP('Données projet'!$B$15,Paramètres!$A$1:$I$89,3,0)*VLOOKUP('Données projet'!$B$15,Paramètres!$A$1:$I$89,5,0)</f>
        <v>-2.7932856028201057E-13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173.63857221119594</v>
      </c>
      <c r="EP107" s="59">
        <f t="shared" si="100"/>
        <v>52.373745617370105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199.58634493109349</v>
      </c>
      <c r="T108" s="59">
        <f t="shared" si="88"/>
        <v>288.66487031729008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1.1315125000464574</v>
      </c>
      <c r="AA108" s="21">
        <f>EXP(-LN(2)/25)*AA107+(1-EXP(-LN(2)/25))/(LN(2)/25)*Calculateur!V108*Calculateur!X108*VLOOKUP('Données projet'!$B$9,Paramètres!$A$1:$I$89,3,0)*0.475*44/12</f>
        <v>2.141227882471108</v>
      </c>
      <c r="AB108" s="21">
        <f>EXP(-LN(2)/2)*AB107+(1-EXP(-LN(2)/2))/(LN(2)/2)*V108*Y108*VLOOKUP('Données projet'!$B$9,Paramètres!$A$1:$I$89,3,0)*0.475*44/12</f>
        <v>1.51768880050778E-11</v>
      </c>
      <c r="AC108" s="22">
        <f t="shared" si="57"/>
        <v>3.2727403825327421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606.99999999999989</v>
      </c>
      <c r="AJ108" s="13">
        <f>AI108*VLOOKUP('Données projet'!$B$10,Paramètres!$A$1:$I$89,3,0)*VLOOKUP('Données projet'!$B$10,Paramètres!$A$1:$I$89,5,0)</f>
        <v>362.98599999999999</v>
      </c>
      <c r="AK108" s="13">
        <f t="shared" si="89"/>
        <v>84.230767602863935</v>
      </c>
      <c r="AL108" s="20">
        <f t="shared" si="58"/>
        <v>778.90253690832139</v>
      </c>
      <c r="AM108" s="59">
        <f t="shared" si="59"/>
        <v>1072.2358702416548</v>
      </c>
      <c r="AN108" s="59">
        <f ca="1">AVERAGE(OFFSET($AM$3,0,0,'Données projet'!$E$10+1,1))-AVERAGE(OFFSET($H$3,0,0,'Données projet'!$E$10+1,1))</f>
        <v>395.40396173178527</v>
      </c>
      <c r="AO108" s="59">
        <f t="shared" si="90"/>
        <v>304.68075128568756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0.67898012808670882</v>
      </c>
      <c r="AV108" s="21">
        <f>EXP(-LN(2)/25)*AV107+(1-EXP(-LN(2)/25))/(LN(2)/25)*Calculateur!AQ108*Calculateur!AS108*VLOOKUP('Données projet'!$B$10,Paramètres!$A$1:$I$89,3,0)*0.475*44/12</f>
        <v>2.3369247321237863</v>
      </c>
      <c r="AW108" s="21">
        <f>EXP(-LN(2)/2)*AW107+(1-EXP(-LN(2)/2))/(LN(2)/2)*AQ108*AT108*VLOOKUP('Données projet'!$B$10,Paramètres!$A$1:$I$89,3,0)*0.475*44/12</f>
        <v>1.3379784733367491E-10</v>
      </c>
      <c r="AX108" s="21">
        <f t="shared" si="60"/>
        <v>3.0159048603442931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36.10000000000008</v>
      </c>
      <c r="BE108" s="13">
        <f>BD108*VLOOKUP('Données projet'!$B$11,Paramètres!$A$1:$I$89,3,0)*VLOOKUP('Données projet'!$B$11,Paramètres!$A$1:$I$89,5,0)</f>
        <v>31.536960000000075</v>
      </c>
      <c r="BF108" s="13">
        <f t="shared" si="91"/>
        <v>9.725440120377133</v>
      </c>
      <c r="BG108" s="20">
        <f t="shared" si="61"/>
        <v>71.865346876323642</v>
      </c>
      <c r="BH108" s="59">
        <f t="shared" si="62"/>
        <v>365.19868020965697</v>
      </c>
      <c r="BI108" s="59">
        <f ca="1">AVERAGE(OFFSET($BH$3,0,0,'Données projet'!$E$11+1,1))-AVERAGE(OFFSET($H$3,0,0,'Données projet'!$E$11+1,1))</f>
        <v>249.21292089724221</v>
      </c>
      <c r="BJ108" s="59">
        <f t="shared" si="92"/>
        <v>640.80644476065254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25.535319882355804</v>
      </c>
      <c r="BQ108" s="21">
        <f>EXP(-LN(2)/25)*BQ107+(1-EXP(-LN(2)/25))/(LN(2)/25)*Calculateur!BL108*Calculateur!BN108*VLOOKUP('Données projet'!$B$11,Paramètres!$A$1:$I$89,3,0)*0.475*44/12</f>
        <v>13.397275436153583</v>
      </c>
      <c r="BR108" s="21">
        <f>EXP(-LN(2)/2)*BR107+(1-EXP(-LN(2)/2))/(LN(2)/2)*BL108*BO108*VLOOKUP('Données projet'!$B$11,Paramètres!$A$1:$I$89,3,0)*0.475*44/12</f>
        <v>4.2465595285714704E-10</v>
      </c>
      <c r="BS108" s="22">
        <f t="shared" si="63"/>
        <v>38.932595318934041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234.00000000000045</v>
      </c>
      <c r="BZ108" s="13">
        <f>BY108*VLOOKUP('Données projet'!$B$12,Paramètres!$A$1:$I$89,3,0)*VLOOKUP('Données projet'!$B$12,Paramètres!$A$1:$I$89,5,0)</f>
        <v>189.82080000000036</v>
      </c>
      <c r="CA108" s="13">
        <f t="shared" si="93"/>
        <v>47.500332100049881</v>
      </c>
      <c r="CB108" s="20">
        <f t="shared" si="64"/>
        <v>413.33430507425419</v>
      </c>
      <c r="CC108" s="59">
        <f t="shared" si="65"/>
        <v>706.66763840758745</v>
      </c>
      <c r="CD108" s="59">
        <f ca="1">AVERAGE(OFFSET($CC$3,0,0,'Données projet'!$E$12+1,1))-AVERAGE(OFFSET($H$3,0,0,'Données projet'!$E$12+1,1))</f>
        <v>192.4785660463869</v>
      </c>
      <c r="CE108" s="59">
        <f t="shared" si="94"/>
        <v>165.11095806515362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0.1833574355557826</v>
      </c>
      <c r="CL108" s="21">
        <f>EXP(-LN(2)/25)*CL107+(1-EXP(-LN(2)/25))/(LN(2)/25)*Calculateur!CG108*Calculateur!CI108*VLOOKUP('Données projet'!$B$12,Paramètres!$A$1:$I$89,3,0)*0.475*44/12</f>
        <v>0.59014890230827621</v>
      </c>
      <c r="CM108" s="21">
        <f>EXP(-LN(2)/2)*CM107+(1-EXP(-LN(2)/2))/(LN(2)/2)*CG108*CJ108*VLOOKUP('Données projet'!$B$12,Paramètres!$A$1:$I$89,3,0)*0.475*44/12</f>
        <v>3.7673995641608377E-11</v>
      </c>
      <c r="CN108" s="22">
        <f t="shared" si="66"/>
        <v>0.77350633790173273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4.5999999999999996</v>
      </c>
      <c r="CT108" s="12">
        <f>IF('Données projet'!$A$140&gt;35,CT107+CS108-DB107,IF(A108&lt;'Données projet'!$A$140,$CQ$205^A108,IF(A108='Données projet'!$A$140,'Données projet'!$B$140,CT107+CS108-DB107)))</f>
        <v>276.00000000000023</v>
      </c>
      <c r="CU108" s="17">
        <f>CT108*VLOOKUP('Données projet'!$B$13,Paramètres!$A$1:$I$89,3,0)*VLOOKUP('Données projet'!$B$13,Paramètres!$A$1:$I$89,5,0)</f>
        <v>232.50240000000022</v>
      </c>
      <c r="CV108" s="13">
        <f t="shared" si="95"/>
        <v>56.823417677671941</v>
      </c>
      <c r="CW108" s="20">
        <f t="shared" si="67"/>
        <v>503.90913245527895</v>
      </c>
      <c r="CX108" s="59">
        <f t="shared" si="68"/>
        <v>797.24246578861221</v>
      </c>
      <c r="CY108" s="59">
        <f ca="1">AVERAGE(OFFSET($CX$3,0,0,'Données projet'!$E$13+1,1))-AVERAGE(OFFSET($H$3,0,0,'Données projet'!$E$13+1,1))</f>
        <v>247.67539667223065</v>
      </c>
      <c r="CZ108" s="59">
        <f t="shared" si="96"/>
        <v>174.54442616983778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0.29014802989046923</v>
      </c>
      <c r="DG108" s="21">
        <f>EXP(-LN(2)/25)*DG107+(1-EXP(-LN(2)/25))/(LN(2)/25)*Calculateur!DB108*Calculateur!DD108*VLOOKUP('Données projet'!$B$13,Paramètres!$A$1:$I$89,3,0)*0.475*44/12</f>
        <v>0.82185668167841985</v>
      </c>
      <c r="DH108" s="21">
        <f>EXP(-LN(2)/2)*DH107+(1-EXP(-LN(2)/2))/(LN(2)/2)*DB108*DE108*VLOOKUP('Données projet'!$B$13,Paramètres!$A$1:$I$89,3,0)*0.475*44/12</f>
        <v>5.923718618965363E-11</v>
      </c>
      <c r="DI108" s="22">
        <f t="shared" si="69"/>
        <v>1.1120047116281264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5.0961538461538449</v>
      </c>
      <c r="DO108" s="12">
        <f>IF('Données projet'!$A$166&gt;35,DO107+DN108-DW107,IF(A108&lt;'Données projet'!$A$166,$DL$205^A108,IF(A108='Données projet'!$A$166,'Données projet'!$B$166,DO107+DN108-DW107)))</f>
        <v>205.44871794871764</v>
      </c>
      <c r="DP108" s="17">
        <f>DO108*VLOOKUP('Données projet'!$B$14,Paramètres!$A$1:$I$89,3,0)*VLOOKUP('Données projet'!$B$14,Paramètres!$A$1:$I$89,5,0)</f>
        <v>205.11999999999972</v>
      </c>
      <c r="DQ108" s="13">
        <f t="shared" si="97"/>
        <v>50.86772802740424</v>
      </c>
      <c r="DR108" s="20">
        <f t="shared" si="70"/>
        <v>445.8452929810619</v>
      </c>
      <c r="DS108" s="59">
        <f t="shared" si="71"/>
        <v>739.17862631439516</v>
      </c>
      <c r="DT108" s="59">
        <f ca="1">AVERAGE(OFFSET($DS$3,0,0,'Données projet'!$E$14+1,1))-AVERAGE(OFFSET($H$3,0,0,'Données projet'!$E$14+1,1))</f>
        <v>245.06609107649069</v>
      </c>
      <c r="DU108" s="59">
        <f t="shared" si="98"/>
        <v>156.24531945456499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-2.5579538487363607E-13</v>
      </c>
      <c r="EK108" s="17">
        <f>EJ108*VLOOKUP('Données projet'!$B$15,Paramètres!$A$1:$I$89,3,0)*VLOOKUP('Données projet'!$B$15,Paramètres!$A$1:$I$89,5,0)</f>
        <v>-2.7932856028201057E-13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173.63857221119594</v>
      </c>
      <c r="EP108" s="59">
        <f t="shared" si="100"/>
        <v>52.373745617370105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199.58634493109349</v>
      </c>
      <c r="T109" s="59">
        <f t="shared" si="88"/>
        <v>288.66487031729008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1.1093242300750243</v>
      </c>
      <c r="AA109" s="21">
        <f>EXP(-LN(2)/25)*AA108+(1-EXP(-LN(2)/25))/(LN(2)/25)*Calculateur!V109*Calculateur!X109*VLOOKUP('Données projet'!$B$9,Paramètres!$A$1:$I$89,3,0)*0.475*44/12</f>
        <v>2.082675893422655</v>
      </c>
      <c r="AB109" s="21">
        <f>EXP(-LN(2)/2)*AB108+(1-EXP(-LN(2)/2))/(LN(2)/2)*V109*Y109*VLOOKUP('Données projet'!$B$9,Paramètres!$A$1:$I$89,3,0)*0.475*44/12</f>
        <v>1.0731680425699285E-11</v>
      </c>
      <c r="AC109" s="22">
        <f t="shared" si="57"/>
        <v>3.1920001235084112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606.99999999999989</v>
      </c>
      <c r="AJ109" s="13">
        <f>AI109*VLOOKUP('Données projet'!$B$10,Paramètres!$A$1:$I$89,3,0)*VLOOKUP('Données projet'!$B$10,Paramètres!$A$1:$I$89,5,0)</f>
        <v>362.98599999999999</v>
      </c>
      <c r="AK109" s="13">
        <f t="shared" si="89"/>
        <v>84.230767602863935</v>
      </c>
      <c r="AL109" s="20">
        <f t="shared" si="58"/>
        <v>778.90253690832139</v>
      </c>
      <c r="AM109" s="59">
        <f t="shared" si="59"/>
        <v>1072.2358702416548</v>
      </c>
      <c r="AN109" s="59">
        <f ca="1">AVERAGE(OFFSET($AM$3,0,0,'Données projet'!$E$10+1,1))-AVERAGE(OFFSET($H$3,0,0,'Données projet'!$E$10+1,1))</f>
        <v>395.40396173178527</v>
      </c>
      <c r="AO109" s="59">
        <f t="shared" si="90"/>
        <v>304.68075128568756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0.66566574191191397</v>
      </c>
      <c r="AV109" s="21">
        <f>EXP(-LN(2)/25)*AV108+(1-EXP(-LN(2)/25))/(LN(2)/25)*Calculateur!AQ109*Calculateur!AS109*VLOOKUP('Données projet'!$B$10,Paramètres!$A$1:$I$89,3,0)*0.475*44/12</f>
        <v>2.2730214024303308</v>
      </c>
      <c r="AW109" s="21">
        <f>EXP(-LN(2)/2)*AW108+(1-EXP(-LN(2)/2))/(LN(2)/2)*AQ109*AT109*VLOOKUP('Données projet'!$B$10,Paramètres!$A$1:$I$89,3,0)*0.475*44/12</f>
        <v>9.4609365157803958E-11</v>
      </c>
      <c r="AX109" s="21">
        <f t="shared" si="60"/>
        <v>2.9386871444368539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36.10000000000008</v>
      </c>
      <c r="BE109" s="13">
        <f>BD109*VLOOKUP('Données projet'!$B$11,Paramètres!$A$1:$I$89,3,0)*VLOOKUP('Données projet'!$B$11,Paramètres!$A$1:$I$89,5,0)</f>
        <v>31.536960000000075</v>
      </c>
      <c r="BF109" s="13">
        <f t="shared" si="91"/>
        <v>9.725440120377133</v>
      </c>
      <c r="BG109" s="20">
        <f t="shared" si="61"/>
        <v>71.865346876323642</v>
      </c>
      <c r="BH109" s="59">
        <f t="shared" si="62"/>
        <v>365.19868020965697</v>
      </c>
      <c r="BI109" s="59">
        <f ca="1">AVERAGE(OFFSET($BH$3,0,0,'Données projet'!$E$11+1,1))-AVERAGE(OFFSET($H$3,0,0,'Données projet'!$E$11+1,1))</f>
        <v>249.21292089724221</v>
      </c>
      <c r="BJ109" s="59">
        <f t="shared" si="92"/>
        <v>640.80644476065254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25.034587834470031</v>
      </c>
      <c r="BQ109" s="21">
        <f>EXP(-LN(2)/25)*BQ108+(1-EXP(-LN(2)/25))/(LN(2)/25)*Calculateur!BL109*Calculateur!BN109*VLOOKUP('Données projet'!$B$11,Paramètres!$A$1:$I$89,3,0)*0.475*44/12</f>
        <v>13.030926234819868</v>
      </c>
      <c r="BR109" s="21">
        <f>EXP(-LN(2)/2)*BR108+(1-EXP(-LN(2)/2))/(LN(2)/2)*BL109*BO109*VLOOKUP('Données projet'!$B$11,Paramètres!$A$1:$I$89,3,0)*0.475*44/12</f>
        <v>3.0027710393652351E-10</v>
      </c>
      <c r="BS109" s="22">
        <f t="shared" si="63"/>
        <v>38.065514069590172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234.00000000000045</v>
      </c>
      <c r="BZ109" s="13">
        <f>BY109*VLOOKUP('Données projet'!$B$12,Paramètres!$A$1:$I$89,3,0)*VLOOKUP('Données projet'!$B$12,Paramètres!$A$1:$I$89,5,0)</f>
        <v>189.82080000000036</v>
      </c>
      <c r="CA109" s="13">
        <f t="shared" si="93"/>
        <v>47.500332100049881</v>
      </c>
      <c r="CB109" s="20">
        <f t="shared" si="64"/>
        <v>413.33430507425419</v>
      </c>
      <c r="CC109" s="59">
        <f t="shared" si="65"/>
        <v>706.66763840758745</v>
      </c>
      <c r="CD109" s="59">
        <f ca="1">AVERAGE(OFFSET($CC$3,0,0,'Données projet'!$E$12+1,1))-AVERAGE(OFFSET($H$3,0,0,'Données projet'!$E$12+1,1))</f>
        <v>192.4785660463869</v>
      </c>
      <c r="CE109" s="59">
        <f t="shared" si="94"/>
        <v>165.11095806515362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0.17976190808152639</v>
      </c>
      <c r="CL109" s="21">
        <f>EXP(-LN(2)/25)*CL108+(1-EXP(-LN(2)/25))/(LN(2)/25)*Calculateur!CG109*Calculateur!CI109*VLOOKUP('Données projet'!$B$12,Paramètres!$A$1:$I$89,3,0)*0.475*44/12</f>
        <v>0.57401124954007443</v>
      </c>
      <c r="CM109" s="21">
        <f>EXP(-LN(2)/2)*CM108+(1-EXP(-LN(2)/2))/(LN(2)/2)*CG109*CJ109*VLOOKUP('Données projet'!$B$12,Paramètres!$A$1:$I$89,3,0)*0.475*44/12</f>
        <v>2.663953779257372E-11</v>
      </c>
      <c r="CN109" s="22">
        <f t="shared" si="66"/>
        <v>0.75377315764824038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4.5999999999999996</v>
      </c>
      <c r="CT109" s="12">
        <f>IF('Données projet'!$A$140&gt;35,CT108+CS109-DB108,IF(A109&lt;'Données projet'!$A$140,$CQ$205^A109,IF(A109='Données projet'!$A$140,'Données projet'!$B$140,CT108+CS109-DB108)))</f>
        <v>280.60000000000025</v>
      </c>
      <c r="CU109" s="17">
        <f>CT109*VLOOKUP('Données projet'!$B$13,Paramètres!$A$1:$I$89,3,0)*VLOOKUP('Données projet'!$B$13,Paramètres!$A$1:$I$89,5,0)</f>
        <v>236.37744000000023</v>
      </c>
      <c r="CV109" s="13">
        <f t="shared" si="95"/>
        <v>57.659430484223876</v>
      </c>
      <c r="CW109" s="20">
        <f t="shared" si="67"/>
        <v>512.11421609335696</v>
      </c>
      <c r="CX109" s="59">
        <f t="shared" si="68"/>
        <v>805.44754942669033</v>
      </c>
      <c r="CY109" s="59">
        <f ca="1">AVERAGE(OFFSET($CX$3,0,0,'Données projet'!$E$13+1,1))-AVERAGE(OFFSET($H$3,0,0,'Données projet'!$E$13+1,1))</f>
        <v>247.67539667223065</v>
      </c>
      <c r="CZ109" s="59">
        <f t="shared" si="96"/>
        <v>174.54442616983778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0.28445840399714073</v>
      </c>
      <c r="DG109" s="21">
        <f>EXP(-LN(2)/25)*DG108+(1-EXP(-LN(2)/25))/(LN(2)/25)*Calculateur!DB109*Calculateur!DD109*VLOOKUP('Données projet'!$B$13,Paramètres!$A$1:$I$89,3,0)*0.475*44/12</f>
        <v>0.79938296749835891</v>
      </c>
      <c r="DH109" s="21">
        <f>EXP(-LN(2)/2)*DH108+(1-EXP(-LN(2)/2))/(LN(2)/2)*DB109*DE109*VLOOKUP('Données projet'!$B$13,Paramètres!$A$1:$I$89,3,0)*0.475*44/12</f>
        <v>4.1887016053114185E-11</v>
      </c>
      <c r="DI109" s="22">
        <f t="shared" si="69"/>
        <v>1.0838413715373867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5.0961538461538449</v>
      </c>
      <c r="DO109" s="12">
        <f>IF('Données projet'!$A$166&gt;35,DO108+DN109-DW108,IF(A109&lt;'Données projet'!$A$166,$DL$205^A109,IF(A109='Données projet'!$A$166,'Données projet'!$B$166,DO108+DN109-DW108)))</f>
        <v>210.54487179487148</v>
      </c>
      <c r="DP109" s="17">
        <f>DO109*VLOOKUP('Données projet'!$B$14,Paramètres!$A$1:$I$89,3,0)*VLOOKUP('Données projet'!$B$14,Paramètres!$A$1:$I$89,5,0)</f>
        <v>210.20799999999969</v>
      </c>
      <c r="DQ109" s="13">
        <f t="shared" si="97"/>
        <v>51.981036312285781</v>
      </c>
      <c r="DR109" s="20">
        <f t="shared" si="70"/>
        <v>456.64590491056379</v>
      </c>
      <c r="DS109" s="59">
        <f t="shared" si="71"/>
        <v>749.97923824389704</v>
      </c>
      <c r="DT109" s="59">
        <f ca="1">AVERAGE(OFFSET($DS$3,0,0,'Données projet'!$E$14+1,1))-AVERAGE(OFFSET($H$3,0,0,'Données projet'!$E$14+1,1))</f>
        <v>245.06609107649069</v>
      </c>
      <c r="DU109" s="59">
        <f t="shared" si="98"/>
        <v>156.24531945456499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-2.5579538487363607E-13</v>
      </c>
      <c r="EK109" s="17">
        <f>EJ109*VLOOKUP('Données projet'!$B$15,Paramètres!$A$1:$I$89,3,0)*VLOOKUP('Données projet'!$B$15,Paramètres!$A$1:$I$89,5,0)</f>
        <v>-2.7932856028201057E-13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173.63857221119594</v>
      </c>
      <c r="EP109" s="59">
        <f t="shared" si="100"/>
        <v>52.373745617370105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199.58634493109349</v>
      </c>
      <c r="T110" s="59">
        <f t="shared" si="88"/>
        <v>288.66487031729008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1.0875710585442226</v>
      </c>
      <c r="AA110" s="21">
        <f>EXP(-LN(2)/25)*AA109+(1-EXP(-LN(2)/25))/(LN(2)/25)*Calculateur!V110*Calculateur!X110*VLOOKUP('Données projet'!$B$9,Paramètres!$A$1:$I$89,3,0)*0.475*44/12</f>
        <v>2.0257250115938472</v>
      </c>
      <c r="AB110" s="21">
        <f>EXP(-LN(2)/2)*AB109+(1-EXP(-LN(2)/2))/(LN(2)/2)*V110*Y110*VLOOKUP('Données projet'!$B$9,Paramètres!$A$1:$I$89,3,0)*0.475*44/12</f>
        <v>7.5884440025388998E-12</v>
      </c>
      <c r="AC110" s="22">
        <f t="shared" si="57"/>
        <v>3.1132960701456582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606.99999999999989</v>
      </c>
      <c r="AJ110" s="13">
        <f>AI110*VLOOKUP('Données projet'!$B$10,Paramètres!$A$1:$I$89,3,0)*VLOOKUP('Données projet'!$B$10,Paramètres!$A$1:$I$89,5,0)</f>
        <v>362.98599999999999</v>
      </c>
      <c r="AK110" s="13">
        <f t="shared" si="89"/>
        <v>84.230767602863935</v>
      </c>
      <c r="AL110" s="20">
        <f t="shared" si="58"/>
        <v>778.90253690832139</v>
      </c>
      <c r="AM110" s="59">
        <f t="shared" si="59"/>
        <v>1072.2358702416548</v>
      </c>
      <c r="AN110" s="59">
        <f ca="1">AVERAGE(OFFSET($AM$3,0,0,'Données projet'!$E$10+1,1))-AVERAGE(OFFSET($H$3,0,0,'Données projet'!$E$10+1,1))</f>
        <v>395.40396173178527</v>
      </c>
      <c r="AO110" s="59">
        <f t="shared" si="90"/>
        <v>304.68075128568756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0.65261244272903318</v>
      </c>
      <c r="AV110" s="21">
        <f>EXP(-LN(2)/25)*AV109+(1-EXP(-LN(2)/25))/(LN(2)/25)*Calculateur!AQ110*Calculateur!AS110*VLOOKUP('Données projet'!$B$10,Paramètres!$A$1:$I$89,3,0)*0.475*44/12</f>
        <v>2.2108655126478731</v>
      </c>
      <c r="AW110" s="21">
        <f>EXP(-LN(2)/2)*AW109+(1-EXP(-LN(2)/2))/(LN(2)/2)*AQ110*AT110*VLOOKUP('Données projet'!$B$10,Paramètres!$A$1:$I$89,3,0)*0.475*44/12</f>
        <v>6.6898923666837456E-11</v>
      </c>
      <c r="AX110" s="21">
        <f t="shared" si="60"/>
        <v>2.863477955443805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36.10000000000008</v>
      </c>
      <c r="BE110" s="13">
        <f>BD110*VLOOKUP('Données projet'!$B$11,Paramètres!$A$1:$I$89,3,0)*VLOOKUP('Données projet'!$B$11,Paramètres!$A$1:$I$89,5,0)</f>
        <v>31.536960000000075</v>
      </c>
      <c r="BF110" s="13">
        <f t="shared" si="91"/>
        <v>9.725440120377133</v>
      </c>
      <c r="BG110" s="20">
        <f t="shared" si="61"/>
        <v>71.865346876323642</v>
      </c>
      <c r="BH110" s="59">
        <f t="shared" si="62"/>
        <v>365.19868020965697</v>
      </c>
      <c r="BI110" s="59">
        <f ca="1">AVERAGE(OFFSET($BH$3,0,0,'Données projet'!$E$11+1,1))-AVERAGE(OFFSET($H$3,0,0,'Données projet'!$E$11+1,1))</f>
        <v>249.21292089724221</v>
      </c>
      <c r="BJ110" s="59">
        <f t="shared" si="92"/>
        <v>640.80644476065254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24.543674836626906</v>
      </c>
      <c r="BQ110" s="21">
        <f>EXP(-LN(2)/25)*BQ109+(1-EXP(-LN(2)/25))/(LN(2)/25)*Calculateur!BL110*Calculateur!BN110*VLOOKUP('Données projet'!$B$11,Paramètres!$A$1:$I$89,3,0)*0.475*44/12</f>
        <v>12.674594871662091</v>
      </c>
      <c r="BR110" s="21">
        <f>EXP(-LN(2)/2)*BR109+(1-EXP(-LN(2)/2))/(LN(2)/2)*BL110*BO110*VLOOKUP('Données projet'!$B$11,Paramètres!$A$1:$I$89,3,0)*0.475*44/12</f>
        <v>2.1232797642857352E-10</v>
      </c>
      <c r="BS110" s="22">
        <f t="shared" si="63"/>
        <v>37.218269708501332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234.00000000000045</v>
      </c>
      <c r="BZ110" s="13">
        <f>BY110*VLOOKUP('Données projet'!$B$12,Paramètres!$A$1:$I$89,3,0)*VLOOKUP('Données projet'!$B$12,Paramètres!$A$1:$I$89,5,0)</f>
        <v>189.82080000000036</v>
      </c>
      <c r="CA110" s="13">
        <f t="shared" si="93"/>
        <v>47.500332100049881</v>
      </c>
      <c r="CB110" s="20">
        <f t="shared" si="64"/>
        <v>413.33430507425419</v>
      </c>
      <c r="CC110" s="59">
        <f t="shared" si="65"/>
        <v>706.66763840758745</v>
      </c>
      <c r="CD110" s="59">
        <f ca="1">AVERAGE(OFFSET($CC$3,0,0,'Données projet'!$E$12+1,1))-AVERAGE(OFFSET($H$3,0,0,'Données projet'!$E$12+1,1))</f>
        <v>192.4785660463869</v>
      </c>
      <c r="CE110" s="59">
        <f t="shared" si="94"/>
        <v>165.11095806515362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0.17623688670798515</v>
      </c>
      <c r="CL110" s="21">
        <f>EXP(-LN(2)/25)*CL109+(1-EXP(-LN(2)/25))/(LN(2)/25)*Calculateur!CG110*Calculateur!CI110*VLOOKUP('Données projet'!$B$12,Paramètres!$A$1:$I$89,3,0)*0.475*44/12</f>
        <v>0.5583148817354614</v>
      </c>
      <c r="CM110" s="21">
        <f>EXP(-LN(2)/2)*CM109+(1-EXP(-LN(2)/2))/(LN(2)/2)*CG110*CJ110*VLOOKUP('Données projet'!$B$12,Paramètres!$A$1:$I$89,3,0)*0.475*44/12</f>
        <v>1.8836997820804189E-11</v>
      </c>
      <c r="CN110" s="22">
        <f t="shared" si="66"/>
        <v>0.73455176846228365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4.5999999999999996</v>
      </c>
      <c r="CT110" s="12">
        <f>IF('Données projet'!$A$140&gt;35,CT109+CS110-DB109,IF(A110&lt;'Données projet'!$A$140,$CQ$205^A110,IF(A110='Données projet'!$A$140,'Données projet'!$B$140,CT109+CS110-DB109)))</f>
        <v>285.20000000000027</v>
      </c>
      <c r="CU110" s="17">
        <f>CT110*VLOOKUP('Données projet'!$B$13,Paramètres!$A$1:$I$89,3,0)*VLOOKUP('Données projet'!$B$13,Paramètres!$A$1:$I$89,5,0)</f>
        <v>240.25248000000025</v>
      </c>
      <c r="CV110" s="13">
        <f t="shared" si="95"/>
        <v>58.493849459485993</v>
      </c>
      <c r="CW110" s="20">
        <f t="shared" si="67"/>
        <v>520.31652380860521</v>
      </c>
      <c r="CX110" s="59">
        <f t="shared" si="68"/>
        <v>813.64985714193858</v>
      </c>
      <c r="CY110" s="59">
        <f ca="1">AVERAGE(OFFSET($CX$3,0,0,'Données projet'!$E$13+1,1))-AVERAGE(OFFSET($H$3,0,0,'Données projet'!$E$13+1,1))</f>
        <v>247.67539667223065</v>
      </c>
      <c r="CZ110" s="59">
        <f t="shared" si="96"/>
        <v>174.54442616983778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0.27888034819725127</v>
      </c>
      <c r="DG110" s="21">
        <f>EXP(-LN(2)/25)*DG109+(1-EXP(-LN(2)/25))/(LN(2)/25)*Calculateur!DB110*Calculateur!DD110*VLOOKUP('Données projet'!$B$13,Paramètres!$A$1:$I$89,3,0)*0.475*44/12</f>
        <v>0.77752379821439299</v>
      </c>
      <c r="DH110" s="21">
        <f>EXP(-LN(2)/2)*DH109+(1-EXP(-LN(2)/2))/(LN(2)/2)*DB110*DE110*VLOOKUP('Données projet'!$B$13,Paramètres!$A$1:$I$89,3,0)*0.475*44/12</f>
        <v>2.9618593094826815E-11</v>
      </c>
      <c r="DI110" s="22">
        <f t="shared" si="69"/>
        <v>1.0564041464412628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5.0961538461538449</v>
      </c>
      <c r="DO110" s="12">
        <f>IF('Données projet'!$A$166&gt;35,DO109+DN110-DW109,IF(A110&lt;'Données projet'!$A$166,$DL$205^A110,IF(A110='Données projet'!$A$166,'Données projet'!$B$166,DO109+DN110-DW109)))</f>
        <v>215.64102564102532</v>
      </c>
      <c r="DP110" s="17">
        <f>DO110*VLOOKUP('Données projet'!$B$14,Paramètres!$A$1:$I$89,3,0)*VLOOKUP('Données projet'!$B$14,Paramètres!$A$1:$I$89,5,0)</f>
        <v>215.29599999999968</v>
      </c>
      <c r="DQ110" s="13">
        <f t="shared" si="97"/>
        <v>53.091212036770337</v>
      </c>
      <c r="DR110" s="20">
        <f t="shared" si="70"/>
        <v>467.44106096404107</v>
      </c>
      <c r="DS110" s="59">
        <f t="shared" si="71"/>
        <v>760.77439429737433</v>
      </c>
      <c r="DT110" s="59">
        <f ca="1">AVERAGE(OFFSET($DS$3,0,0,'Données projet'!$E$14+1,1))-AVERAGE(OFFSET($H$3,0,0,'Données projet'!$E$14+1,1))</f>
        <v>245.06609107649069</v>
      </c>
      <c r="DU110" s="59">
        <f t="shared" si="98"/>
        <v>156.24531945456499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-2.5579538487363607E-13</v>
      </c>
      <c r="EK110" s="17">
        <f>EJ110*VLOOKUP('Données projet'!$B$15,Paramètres!$A$1:$I$89,3,0)*VLOOKUP('Données projet'!$B$15,Paramètres!$A$1:$I$89,5,0)</f>
        <v>-2.7932856028201057E-13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173.63857221119594</v>
      </c>
      <c r="EP110" s="59">
        <f t="shared" si="100"/>
        <v>52.373745617370105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199.58634493109349</v>
      </c>
      <c r="T111" s="59">
        <f t="shared" si="88"/>
        <v>288.66487031729008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1.0662444534390154</v>
      </c>
      <c r="AA111" s="21">
        <f>EXP(-LN(2)/25)*AA110+(1-EXP(-LN(2)/25))/(LN(2)/25)*Calculateur!V111*Calculateur!X111*VLOOKUP('Données projet'!$B$9,Paramètres!$A$1:$I$89,3,0)*0.475*44/12</f>
        <v>1.9703314546235648</v>
      </c>
      <c r="AB111" s="21">
        <f>EXP(-LN(2)/2)*AB110+(1-EXP(-LN(2)/2))/(LN(2)/2)*V111*Y111*VLOOKUP('Données projet'!$B$9,Paramètres!$A$1:$I$89,3,0)*0.475*44/12</f>
        <v>5.3658402128496427E-12</v>
      </c>
      <c r="AC111" s="22">
        <f t="shared" si="57"/>
        <v>3.0365759080679462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606.99999999999989</v>
      </c>
      <c r="AJ111" s="13">
        <f>AI111*VLOOKUP('Données projet'!$B$10,Paramètres!$A$1:$I$89,3,0)*VLOOKUP('Données projet'!$B$10,Paramètres!$A$1:$I$89,5,0)</f>
        <v>362.98599999999999</v>
      </c>
      <c r="AK111" s="13">
        <f t="shared" si="89"/>
        <v>84.230767602863935</v>
      </c>
      <c r="AL111" s="20">
        <f t="shared" si="58"/>
        <v>778.90253690832139</v>
      </c>
      <c r="AM111" s="59">
        <f t="shared" si="59"/>
        <v>1072.2358702416548</v>
      </c>
      <c r="AN111" s="59">
        <f ca="1">AVERAGE(OFFSET($AM$3,0,0,'Données projet'!$E$10+1,1))-AVERAGE(OFFSET($H$3,0,0,'Données projet'!$E$10+1,1))</f>
        <v>395.40396173178527</v>
      </c>
      <c r="AO111" s="59">
        <f t="shared" si="90"/>
        <v>304.68075128568756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0.6398151107814023</v>
      </c>
      <c r="AV111" s="21">
        <f>EXP(-LN(2)/25)*AV110+(1-EXP(-LN(2)/25))/(LN(2)/25)*Calculateur!AQ111*Calculateur!AS111*VLOOKUP('Données projet'!$B$10,Paramètres!$A$1:$I$89,3,0)*0.475*44/12</f>
        <v>2.1504092789401525</v>
      </c>
      <c r="AW111" s="21">
        <f>EXP(-LN(2)/2)*AW110+(1-EXP(-LN(2)/2))/(LN(2)/2)*AQ111*AT111*VLOOKUP('Données projet'!$B$10,Paramètres!$A$1:$I$89,3,0)*0.475*44/12</f>
        <v>4.7304682578901979E-11</v>
      </c>
      <c r="AX111" s="21">
        <f t="shared" si="60"/>
        <v>2.7902243897688597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36.10000000000008</v>
      </c>
      <c r="BE111" s="13">
        <f>BD111*VLOOKUP('Données projet'!$B$11,Paramètres!$A$1:$I$89,3,0)*VLOOKUP('Données projet'!$B$11,Paramètres!$A$1:$I$89,5,0)</f>
        <v>31.536960000000075</v>
      </c>
      <c r="BF111" s="13">
        <f t="shared" si="91"/>
        <v>9.725440120377133</v>
      </c>
      <c r="BG111" s="20">
        <f t="shared" si="61"/>
        <v>71.865346876323642</v>
      </c>
      <c r="BH111" s="59">
        <f t="shared" si="62"/>
        <v>365.19868020965697</v>
      </c>
      <c r="BI111" s="59">
        <f ca="1">AVERAGE(OFFSET($BH$3,0,0,'Données projet'!$E$11+1,1))-AVERAGE(OFFSET($H$3,0,0,'Données projet'!$E$11+1,1))</f>
        <v>249.21292089724221</v>
      </c>
      <c r="BJ111" s="59">
        <f t="shared" si="92"/>
        <v>640.80644476065254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24.062388343244123</v>
      </c>
      <c r="BQ111" s="21">
        <f>EXP(-LN(2)/25)*BQ110+(1-EXP(-LN(2)/25))/(LN(2)/25)*Calculateur!BL111*Calculateur!BN111*VLOOKUP('Données projet'!$B$11,Paramètres!$A$1:$I$89,3,0)*0.475*44/12</f>
        <v>12.328007408368515</v>
      </c>
      <c r="BR111" s="21">
        <f>EXP(-LN(2)/2)*BR110+(1-EXP(-LN(2)/2))/(LN(2)/2)*BL111*BO111*VLOOKUP('Données projet'!$B$11,Paramètres!$A$1:$I$89,3,0)*0.475*44/12</f>
        <v>1.5013855196826175E-10</v>
      </c>
      <c r="BS111" s="22">
        <f t="shared" si="63"/>
        <v>36.390395751762775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234.00000000000045</v>
      </c>
      <c r="BZ111" s="13">
        <f>BY111*VLOOKUP('Données projet'!$B$12,Paramètres!$A$1:$I$89,3,0)*VLOOKUP('Données projet'!$B$12,Paramètres!$A$1:$I$89,5,0)</f>
        <v>189.82080000000036</v>
      </c>
      <c r="CA111" s="13">
        <f t="shared" si="93"/>
        <v>47.500332100049881</v>
      </c>
      <c r="CB111" s="20">
        <f t="shared" si="64"/>
        <v>413.33430507425419</v>
      </c>
      <c r="CC111" s="59">
        <f t="shared" si="65"/>
        <v>706.66763840758745</v>
      </c>
      <c r="CD111" s="59">
        <f ca="1">AVERAGE(OFFSET($CC$3,0,0,'Données projet'!$E$12+1,1))-AVERAGE(OFFSET($H$3,0,0,'Données projet'!$E$12+1,1))</f>
        <v>192.4785660463869</v>
      </c>
      <c r="CE111" s="59">
        <f t="shared" si="94"/>
        <v>165.11095806515362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0.17278098885352833</v>
      </c>
      <c r="CL111" s="21">
        <f>EXP(-LN(2)/25)*CL110+(1-EXP(-LN(2)/25))/(LN(2)/25)*Calculateur!CG111*Calculateur!CI111*VLOOKUP('Données projet'!$B$12,Paramètres!$A$1:$I$89,3,0)*0.475*44/12</f>
        <v>0.54304773193390166</v>
      </c>
      <c r="CM111" s="21">
        <f>EXP(-LN(2)/2)*CM110+(1-EXP(-LN(2)/2))/(LN(2)/2)*CG111*CJ111*VLOOKUP('Données projet'!$B$12,Paramètres!$A$1:$I$89,3,0)*0.475*44/12</f>
        <v>1.331976889628686E-11</v>
      </c>
      <c r="CN111" s="22">
        <f t="shared" si="66"/>
        <v>0.71582872080074977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4.5999999999999996</v>
      </c>
      <c r="CT111" s="12">
        <f>IF('Données projet'!$A$140&gt;35,CT110+CS111-DB110,IF(A111&lt;'Données projet'!$A$140,$CQ$205^A111,IF(A111='Données projet'!$A$140,'Données projet'!$B$140,CT110+CS111-DB110)))</f>
        <v>289.8000000000003</v>
      </c>
      <c r="CU111" s="17">
        <f>CT111*VLOOKUP('Données projet'!$B$13,Paramètres!$A$1:$I$89,3,0)*VLOOKUP('Données projet'!$B$13,Paramètres!$A$1:$I$89,5,0)</f>
        <v>244.12752000000026</v>
      </c>
      <c r="CV111" s="13">
        <f t="shared" si="95"/>
        <v>59.326703278285656</v>
      </c>
      <c r="CW111" s="20">
        <f t="shared" si="67"/>
        <v>528.51610554301453</v>
      </c>
      <c r="CX111" s="59">
        <f t="shared" si="68"/>
        <v>821.8494388763479</v>
      </c>
      <c r="CY111" s="59">
        <f ca="1">AVERAGE(OFFSET($CX$3,0,0,'Données projet'!$E$13+1,1))-AVERAGE(OFFSET($H$3,0,0,'Données projet'!$E$13+1,1))</f>
        <v>247.67539667223065</v>
      </c>
      <c r="CZ111" s="59">
        <f t="shared" si="96"/>
        <v>174.54442616983778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0.27341167466931959</v>
      </c>
      <c r="DG111" s="21">
        <f>EXP(-LN(2)/25)*DG110+(1-EXP(-LN(2)/25))/(LN(2)/25)*Calculateur!DB111*Calculateur!DD111*VLOOKUP('Données projet'!$B$13,Paramètres!$A$1:$I$89,3,0)*0.475*44/12</f>
        <v>0.75626236906402089</v>
      </c>
      <c r="DH111" s="21">
        <f>EXP(-LN(2)/2)*DH110+(1-EXP(-LN(2)/2))/(LN(2)/2)*DB111*DE111*VLOOKUP('Données projet'!$B$13,Paramètres!$A$1:$I$89,3,0)*0.475*44/12</f>
        <v>2.0943508026557092E-11</v>
      </c>
      <c r="DI111" s="22">
        <f t="shared" si="69"/>
        <v>1.029674043754284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5.0961538461538449</v>
      </c>
      <c r="DO111" s="12">
        <f>IF('Données projet'!$A$166&gt;35,DO110+DN111-DW110,IF(A111&lt;'Données projet'!$A$166,$DL$205^A111,IF(A111='Données projet'!$A$166,'Données projet'!$B$166,DO110+DN111-DW110)))</f>
        <v>220.73717948717916</v>
      </c>
      <c r="DP111" s="17">
        <f>DO111*VLOOKUP('Données projet'!$B$14,Paramètres!$A$1:$I$89,3,0)*VLOOKUP('Données projet'!$B$14,Paramètres!$A$1:$I$89,5,0)</f>
        <v>220.3839999999997</v>
      </c>
      <c r="DQ111" s="13">
        <f t="shared" si="97"/>
        <v>54.198337750455394</v>
      </c>
      <c r="DR111" s="20">
        <f t="shared" si="70"/>
        <v>478.23090491537596</v>
      </c>
      <c r="DS111" s="59">
        <f t="shared" si="71"/>
        <v>771.56423824870922</v>
      </c>
      <c r="DT111" s="59">
        <f ca="1">AVERAGE(OFFSET($DS$3,0,0,'Données projet'!$E$14+1,1))-AVERAGE(OFFSET($H$3,0,0,'Données projet'!$E$14+1,1))</f>
        <v>245.06609107649069</v>
      </c>
      <c r="DU111" s="59">
        <f t="shared" si="98"/>
        <v>156.24531945456499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-2.5579538487363607E-13</v>
      </c>
      <c r="EK111" s="17">
        <f>EJ111*VLOOKUP('Données projet'!$B$15,Paramètres!$A$1:$I$89,3,0)*VLOOKUP('Données projet'!$B$15,Paramètres!$A$1:$I$89,5,0)</f>
        <v>-2.7932856028201057E-13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173.63857221119594</v>
      </c>
      <c r="EP111" s="59">
        <f t="shared" si="100"/>
        <v>52.373745617370105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199.58634493109349</v>
      </c>
      <c r="T112" s="59">
        <f t="shared" si="88"/>
        <v>288.66487031729008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1.0453360500519766</v>
      </c>
      <c r="AA112" s="21">
        <f>EXP(-LN(2)/25)*AA111+(1-EXP(-LN(2)/25))/(LN(2)/25)*Calculateur!V112*Calculateur!X112*VLOOKUP('Données projet'!$B$9,Paramètres!$A$1:$I$89,3,0)*0.475*44/12</f>
        <v>1.9164526373816555</v>
      </c>
      <c r="AB112" s="21">
        <f>EXP(-LN(2)/2)*AB111+(1-EXP(-LN(2)/2))/(LN(2)/2)*V112*Y112*VLOOKUP('Données projet'!$B$9,Paramètres!$A$1:$I$89,3,0)*0.475*44/12</f>
        <v>3.7942220012694499E-12</v>
      </c>
      <c r="AC112" s="22">
        <f t="shared" si="57"/>
        <v>2.9617886874374264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606.99999999999989</v>
      </c>
      <c r="AJ112" s="13">
        <f>AI112*VLOOKUP('Données projet'!$B$10,Paramètres!$A$1:$I$89,3,0)*VLOOKUP('Données projet'!$B$10,Paramètres!$A$1:$I$89,5,0)</f>
        <v>362.98599999999999</v>
      </c>
      <c r="AK112" s="13">
        <f t="shared" si="89"/>
        <v>84.230767602863935</v>
      </c>
      <c r="AL112" s="20">
        <f t="shared" si="58"/>
        <v>778.90253690832139</v>
      </c>
      <c r="AM112" s="59">
        <f t="shared" si="59"/>
        <v>1072.2358702416548</v>
      </c>
      <c r="AN112" s="59">
        <f ca="1">AVERAGE(OFFSET($AM$3,0,0,'Données projet'!$E$10+1,1))-AVERAGE(OFFSET($H$3,0,0,'Données projet'!$E$10+1,1))</f>
        <v>395.40396173178527</v>
      </c>
      <c r="AO112" s="59">
        <f t="shared" si="90"/>
        <v>304.68075128568756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0.62726872670766276</v>
      </c>
      <c r="AV112" s="21">
        <f>EXP(-LN(2)/25)*AV111+(1-EXP(-LN(2)/25))/(LN(2)/25)*Calculateur!AQ112*Calculateur!AS112*VLOOKUP('Données projet'!$B$10,Paramètres!$A$1:$I$89,3,0)*0.475*44/12</f>
        <v>2.0916062241224251</v>
      </c>
      <c r="AW112" s="21">
        <f>EXP(-LN(2)/2)*AW111+(1-EXP(-LN(2)/2))/(LN(2)/2)*AQ112*AT112*VLOOKUP('Données projet'!$B$10,Paramètres!$A$1:$I$89,3,0)*0.475*44/12</f>
        <v>3.3449461833418728E-11</v>
      </c>
      <c r="AX112" s="21">
        <f t="shared" si="60"/>
        <v>2.7188749508635373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36.10000000000008</v>
      </c>
      <c r="BE112" s="13">
        <f>BD112*VLOOKUP('Données projet'!$B$11,Paramètres!$A$1:$I$89,3,0)*VLOOKUP('Données projet'!$B$11,Paramètres!$A$1:$I$89,5,0)</f>
        <v>31.536960000000075</v>
      </c>
      <c r="BF112" s="13">
        <f t="shared" si="91"/>
        <v>9.725440120377133</v>
      </c>
      <c r="BG112" s="20">
        <f t="shared" si="61"/>
        <v>71.865346876323642</v>
      </c>
      <c r="BH112" s="59">
        <f t="shared" si="62"/>
        <v>365.19868020965697</v>
      </c>
      <c r="BI112" s="59">
        <f ca="1">AVERAGE(OFFSET($BH$3,0,0,'Données projet'!$E$11+1,1))-AVERAGE(OFFSET($H$3,0,0,'Données projet'!$E$11+1,1))</f>
        <v>249.21292089724221</v>
      </c>
      <c r="BJ112" s="59">
        <f t="shared" si="92"/>
        <v>640.80644476065254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23.590539584440801</v>
      </c>
      <c r="BQ112" s="21">
        <f>EXP(-LN(2)/25)*BQ111+(1-EXP(-LN(2)/25))/(LN(2)/25)*Calculateur!BL112*Calculateur!BN112*VLOOKUP('Données projet'!$B$11,Paramètres!$A$1:$I$89,3,0)*0.475*44/12</f>
        <v>11.990897397484945</v>
      </c>
      <c r="BR112" s="21">
        <f>EXP(-LN(2)/2)*BR111+(1-EXP(-LN(2)/2))/(LN(2)/2)*BL112*BO112*VLOOKUP('Données projet'!$B$11,Paramètres!$A$1:$I$89,3,0)*0.475*44/12</f>
        <v>1.0616398821428676E-10</v>
      </c>
      <c r="BS112" s="22">
        <f t="shared" si="63"/>
        <v>35.58143698203191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234.00000000000045</v>
      </c>
      <c r="BZ112" s="13">
        <f>BY112*VLOOKUP('Données projet'!$B$12,Paramètres!$A$1:$I$89,3,0)*VLOOKUP('Données projet'!$B$12,Paramètres!$A$1:$I$89,5,0)</f>
        <v>189.82080000000036</v>
      </c>
      <c r="CA112" s="13">
        <f t="shared" si="93"/>
        <v>47.500332100049881</v>
      </c>
      <c r="CB112" s="20">
        <f t="shared" si="64"/>
        <v>413.33430507425419</v>
      </c>
      <c r="CC112" s="59">
        <f t="shared" si="65"/>
        <v>706.66763840758745</v>
      </c>
      <c r="CD112" s="59">
        <f ca="1">AVERAGE(OFFSET($CC$3,0,0,'Données projet'!$E$12+1,1))-AVERAGE(OFFSET($H$3,0,0,'Données projet'!$E$12+1,1))</f>
        <v>192.4785660463869</v>
      </c>
      <c r="CE112" s="59">
        <f t="shared" si="94"/>
        <v>165.11095806515362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0.16939285904810783</v>
      </c>
      <c r="CL112" s="21">
        <f>EXP(-LN(2)/25)*CL111+(1-EXP(-LN(2)/25))/(LN(2)/25)*Calculateur!CG112*Calculateur!CI112*VLOOKUP('Données projet'!$B$12,Paramètres!$A$1:$I$89,3,0)*0.475*44/12</f>
        <v>0.52819806314653006</v>
      </c>
      <c r="CM112" s="21">
        <f>EXP(-LN(2)/2)*CM111+(1-EXP(-LN(2)/2))/(LN(2)/2)*CG112*CJ112*VLOOKUP('Données projet'!$B$12,Paramètres!$A$1:$I$89,3,0)*0.475*44/12</f>
        <v>9.4184989104020944E-12</v>
      </c>
      <c r="CN112" s="22">
        <f t="shared" si="66"/>
        <v>0.69759092220405639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4.5999999999999996</v>
      </c>
      <c r="CT112" s="12">
        <f>IF('Données projet'!$A$140&gt;35,CT111+CS112-DB111,IF(A112&lt;'Données projet'!$A$140,$CQ$205^A112,IF(A112='Données projet'!$A$140,'Données projet'!$B$140,CT111+CS112-DB111)))</f>
        <v>294.40000000000032</v>
      </c>
      <c r="CU112" s="17">
        <f>CT112*VLOOKUP('Données projet'!$B$13,Paramètres!$A$1:$I$89,3,0)*VLOOKUP('Données projet'!$B$13,Paramètres!$A$1:$I$89,5,0)</f>
        <v>248.00256000000027</v>
      </c>
      <c r="CV112" s="13">
        <f t="shared" si="95"/>
        <v>60.158019652926711</v>
      </c>
      <c r="CW112" s="20">
        <f t="shared" si="67"/>
        <v>536.71300956218113</v>
      </c>
      <c r="CX112" s="59">
        <f t="shared" si="68"/>
        <v>830.0463428955145</v>
      </c>
      <c r="CY112" s="59">
        <f ca="1">AVERAGE(OFFSET($CX$3,0,0,'Données projet'!$E$13+1,1))-AVERAGE(OFFSET($H$3,0,0,'Données projet'!$E$13+1,1))</f>
        <v>247.67539667223065</v>
      </c>
      <c r="CZ112" s="59">
        <f t="shared" si="96"/>
        <v>174.54442616983778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0.26805023849370913</v>
      </c>
      <c r="DG112" s="21">
        <f>EXP(-LN(2)/25)*DG111+(1-EXP(-LN(2)/25))/(LN(2)/25)*Calculateur!DB112*Calculateur!DD112*VLOOKUP('Données projet'!$B$13,Paramètres!$A$1:$I$89,3,0)*0.475*44/12</f>
        <v>0.73558233481185575</v>
      </c>
      <c r="DH112" s="21">
        <f>EXP(-LN(2)/2)*DH111+(1-EXP(-LN(2)/2))/(LN(2)/2)*DB112*DE112*VLOOKUP('Données projet'!$B$13,Paramètres!$A$1:$I$89,3,0)*0.475*44/12</f>
        <v>1.4809296547413407E-11</v>
      </c>
      <c r="DI112" s="22">
        <f t="shared" si="69"/>
        <v>1.0036325733203741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5.0961538461538449</v>
      </c>
      <c r="DO112" s="12">
        <f>IF('Données projet'!$A$166&gt;35,DO111+DN112-DW111,IF(A112&lt;'Données projet'!$A$166,$DL$205^A112,IF(A112='Données projet'!$A$166,'Données projet'!$B$166,DO111+DN112-DW111)))</f>
        <v>225.833333333333</v>
      </c>
      <c r="DP112" s="17">
        <f>DO112*VLOOKUP('Données projet'!$B$14,Paramètres!$A$1:$I$89,3,0)*VLOOKUP('Données projet'!$B$14,Paramètres!$A$1:$I$89,5,0)</f>
        <v>225.4719999999997</v>
      </c>
      <c r="DQ112" s="13">
        <f t="shared" si="97"/>
        <v>55.302491973797522</v>
      </c>
      <c r="DR112" s="20">
        <f t="shared" si="70"/>
        <v>489.01557352103009</v>
      </c>
      <c r="DS112" s="59">
        <f t="shared" si="71"/>
        <v>782.34890685436335</v>
      </c>
      <c r="DT112" s="59">
        <f ca="1">AVERAGE(OFFSET($DS$3,0,0,'Données projet'!$E$14+1,1))-AVERAGE(OFFSET($H$3,0,0,'Données projet'!$E$14+1,1))</f>
        <v>245.06609107649069</v>
      </c>
      <c r="DU112" s="59">
        <f t="shared" si="98"/>
        <v>156.24531945456499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-2.5579538487363607E-13</v>
      </c>
      <c r="EK112" s="17">
        <f>EJ112*VLOOKUP('Données projet'!$B$15,Paramètres!$A$1:$I$89,3,0)*VLOOKUP('Données projet'!$B$15,Paramètres!$A$1:$I$89,5,0)</f>
        <v>-2.7932856028201057E-13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173.63857221119594</v>
      </c>
      <c r="EP112" s="59">
        <f t="shared" si="100"/>
        <v>52.373745617370105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199.58634493109349</v>
      </c>
      <c r="T113" s="59">
        <f t="shared" si="88"/>
        <v>288.66487031729008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1.024837647702491</v>
      </c>
      <c r="AA113" s="21">
        <f>EXP(-LN(2)/25)*AA112+(1-EXP(-LN(2)/25))/(LN(2)/25)*Calculateur!V113*Calculateur!X113*VLOOKUP('Données projet'!$B$9,Paramètres!$A$1:$I$89,3,0)*0.475*44/12</f>
        <v>1.86404713923059</v>
      </c>
      <c r="AB113" s="21">
        <f>EXP(-LN(2)/2)*AB112+(1-EXP(-LN(2)/2))/(LN(2)/2)*V113*Y113*VLOOKUP('Données projet'!$B$9,Paramètres!$A$1:$I$89,3,0)*0.475*44/12</f>
        <v>2.6829201064248214E-12</v>
      </c>
      <c r="AC113" s="22">
        <f t="shared" si="57"/>
        <v>2.8888847869357637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606.99999999999989</v>
      </c>
      <c r="AJ113" s="13">
        <f>AI113*VLOOKUP('Données projet'!$B$10,Paramètres!$A$1:$I$89,3,0)*VLOOKUP('Données projet'!$B$10,Paramètres!$A$1:$I$89,5,0)</f>
        <v>362.98599999999999</v>
      </c>
      <c r="AK113" s="13">
        <f t="shared" si="89"/>
        <v>84.230767602863935</v>
      </c>
      <c r="AL113" s="20">
        <f t="shared" si="58"/>
        <v>778.90253690832139</v>
      </c>
      <c r="AM113" s="59">
        <f t="shared" si="59"/>
        <v>1072.2358702416548</v>
      </c>
      <c r="AN113" s="59">
        <f ca="1">AVERAGE(OFFSET($AM$3,0,0,'Données projet'!$E$10+1,1))-AVERAGE(OFFSET($H$3,0,0,'Données projet'!$E$10+1,1))</f>
        <v>395.40396173178527</v>
      </c>
      <c r="AO113" s="59">
        <f t="shared" si="90"/>
        <v>304.68075128568756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0.61496836957307055</v>
      </c>
      <c r="AV113" s="21">
        <f>EXP(-LN(2)/25)*AV112+(1-EXP(-LN(2)/25))/(LN(2)/25)*Calculateur!AQ113*Calculateur!AS113*VLOOKUP('Données projet'!$B$10,Paramètres!$A$1:$I$89,3,0)*0.475*44/12</f>
        <v>2.0344111419310065</v>
      </c>
      <c r="AW113" s="21">
        <f>EXP(-LN(2)/2)*AW112+(1-EXP(-LN(2)/2))/(LN(2)/2)*AQ113*AT113*VLOOKUP('Données projet'!$B$10,Paramètres!$A$1:$I$89,3,0)*0.475*44/12</f>
        <v>2.365234128945099E-11</v>
      </c>
      <c r="AX113" s="21">
        <f t="shared" si="60"/>
        <v>2.6493795115277292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36.10000000000008</v>
      </c>
      <c r="BE113" s="13">
        <f>BD113*VLOOKUP('Données projet'!$B$11,Paramètres!$A$1:$I$89,3,0)*VLOOKUP('Données projet'!$B$11,Paramètres!$A$1:$I$89,5,0)</f>
        <v>31.536960000000075</v>
      </c>
      <c r="BF113" s="13">
        <f t="shared" si="91"/>
        <v>9.725440120377133</v>
      </c>
      <c r="BG113" s="20">
        <f t="shared" si="61"/>
        <v>71.865346876323642</v>
      </c>
      <c r="BH113" s="59">
        <f t="shared" si="62"/>
        <v>365.19868020965697</v>
      </c>
      <c r="BI113" s="59">
        <f ca="1">AVERAGE(OFFSET($BH$3,0,0,'Données projet'!$E$11+1,1))-AVERAGE(OFFSET($H$3,0,0,'Données projet'!$E$11+1,1))</f>
        <v>249.21292089724221</v>
      </c>
      <c r="BJ113" s="59">
        <f t="shared" si="92"/>
        <v>640.80644476065254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23.127943491998288</v>
      </c>
      <c r="BQ113" s="21">
        <f>EXP(-LN(2)/25)*BQ112+(1-EXP(-LN(2)/25))/(LN(2)/25)*Calculateur!BL113*Calculateur!BN113*VLOOKUP('Données projet'!$B$11,Paramètres!$A$1:$I$89,3,0)*0.475*44/12</f>
        <v>11.66300567757683</v>
      </c>
      <c r="BR113" s="21">
        <f>EXP(-LN(2)/2)*BR112+(1-EXP(-LN(2)/2))/(LN(2)/2)*BL113*BO113*VLOOKUP('Données projet'!$B$11,Paramètres!$A$1:$I$89,3,0)*0.475*44/12</f>
        <v>7.5069275984130877E-11</v>
      </c>
      <c r="BS113" s="22">
        <f t="shared" si="63"/>
        <v>34.790949169650183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234.00000000000045</v>
      </c>
      <c r="BZ113" s="13">
        <f>BY113*VLOOKUP('Données projet'!$B$12,Paramètres!$A$1:$I$89,3,0)*VLOOKUP('Données projet'!$B$12,Paramètres!$A$1:$I$89,5,0)</f>
        <v>189.82080000000036</v>
      </c>
      <c r="CA113" s="13">
        <f t="shared" si="93"/>
        <v>47.500332100049881</v>
      </c>
      <c r="CB113" s="20">
        <f t="shared" si="64"/>
        <v>413.33430507425419</v>
      </c>
      <c r="CC113" s="59">
        <f t="shared" si="65"/>
        <v>706.66763840758745</v>
      </c>
      <c r="CD113" s="59">
        <f ca="1">AVERAGE(OFFSET($CC$3,0,0,'Données projet'!$E$12+1,1))-AVERAGE(OFFSET($H$3,0,0,'Données projet'!$E$12+1,1))</f>
        <v>192.4785660463869</v>
      </c>
      <c r="CE113" s="59">
        <f t="shared" si="94"/>
        <v>165.11095806515362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0.16607116840161651</v>
      </c>
      <c r="CL113" s="21">
        <f>EXP(-LN(2)/25)*CL112+(1-EXP(-LN(2)/25))/(LN(2)/25)*Calculateur!CG113*Calculateur!CI113*VLOOKUP('Données projet'!$B$12,Paramètres!$A$1:$I$89,3,0)*0.475*44/12</f>
        <v>0.5137544593330593</v>
      </c>
      <c r="CM113" s="21">
        <f>EXP(-LN(2)/2)*CM112+(1-EXP(-LN(2)/2))/(LN(2)/2)*CG113*CJ113*VLOOKUP('Données projet'!$B$12,Paramètres!$A$1:$I$89,3,0)*0.475*44/12</f>
        <v>6.6598844481434301E-12</v>
      </c>
      <c r="CN113" s="22">
        <f t="shared" si="66"/>
        <v>0.6798256277413357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299</v>
      </c>
      <c r="CR113" s="12">
        <f>VLOOKUP(A113,'Données projet'!$A$139:$I$159,9,0)</f>
        <v>4.5999999999999996</v>
      </c>
      <c r="CS113" s="12">
        <f t="array" ref="CS113">INDEX(CR:CR,MIN(IF(ISNUMBER(CR113:CR309),ROW(CR113:CR309),"")))</f>
        <v>4.5999999999999996</v>
      </c>
      <c r="CT113" s="12">
        <f>IF('Données projet'!$A$140&gt;35,CT112+CS113-DB112,IF(A113&lt;'Données projet'!$A$140,$CQ$205^A113,IF(A113='Données projet'!$A$140,'Données projet'!$B$140,CT112+CS113-DB112)))</f>
        <v>299.00000000000034</v>
      </c>
      <c r="CU113" s="17">
        <f>CT113*VLOOKUP('Données projet'!$B$13,Paramètres!$A$1:$I$89,3,0)*VLOOKUP('Données projet'!$B$13,Paramètres!$A$1:$I$89,5,0)</f>
        <v>251.87760000000034</v>
      </c>
      <c r="CV113" s="13">
        <f t="shared" si="95"/>
        <v>60.987825380023132</v>
      </c>
      <c r="CW113" s="20">
        <f t="shared" si="67"/>
        <v>544.90728253687428</v>
      </c>
      <c r="CX113" s="59">
        <f t="shared" si="68"/>
        <v>838.24061587020765</v>
      </c>
      <c r="CY113" s="59">
        <f ca="1">AVERAGE(OFFSET($CX$3,0,0,'Données projet'!$E$13+1,1))-AVERAGE(OFFSET($H$3,0,0,'Données projet'!$E$13+1,1))</f>
        <v>247.67539667223065</v>
      </c>
      <c r="CZ113" s="59">
        <f t="shared" si="96"/>
        <v>174.54442616983778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34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0.26279393681134922</v>
      </c>
      <c r="DG113" s="21">
        <f>EXP(-LN(2)/25)*DG112+(1-EXP(-LN(2)/25))/(LN(2)/25)*Calculateur!DB113*Calculateur!DD113*VLOOKUP('Données projet'!$B$13,Paramètres!$A$1:$I$89,3,0)*0.475*44/12</f>
        <v>0.7154677971838318</v>
      </c>
      <c r="DH113" s="21">
        <f>EXP(-LN(2)/2)*DH112+(1-EXP(-LN(2)/2))/(LN(2)/2)*DB113*DE113*VLOOKUP('Données projet'!$B$13,Paramètres!$A$1:$I$89,3,0)*0.475*44/12</f>
        <v>1.0471754013278546E-11</v>
      </c>
      <c r="DI113" s="22">
        <f t="shared" si="69"/>
        <v>0.97826173400565275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5.0961538461538449</v>
      </c>
      <c r="DO113" s="12">
        <f>IF('Données projet'!$A$166&gt;35,DO112+DN113-DW112,IF(A113&lt;'Données projet'!$A$166,$DL$205^A113,IF(A113='Données projet'!$A$166,'Données projet'!$B$166,DO112+DN113-DW112)))</f>
        <v>230.92948717948684</v>
      </c>
      <c r="DP113" s="17">
        <f>DO113*VLOOKUP('Données projet'!$B$14,Paramètres!$A$1:$I$89,3,0)*VLOOKUP('Données projet'!$B$14,Paramètres!$A$1:$I$89,5,0)</f>
        <v>230.55999999999966</v>
      </c>
      <c r="DQ113" s="13">
        <f t="shared" si="97"/>
        <v>56.403749481185571</v>
      </c>
      <c r="DR113" s="20">
        <f t="shared" si="70"/>
        <v>499.7951970130643</v>
      </c>
      <c r="DS113" s="59">
        <f t="shared" si="71"/>
        <v>793.12853034639761</v>
      </c>
      <c r="DT113" s="59">
        <f ca="1">AVERAGE(OFFSET($DS$3,0,0,'Données projet'!$E$14+1,1))-AVERAGE(OFFSET($H$3,0,0,'Données projet'!$E$14+1,1))</f>
        <v>245.06609107649069</v>
      </c>
      <c r="DU113" s="59">
        <f t="shared" si="98"/>
        <v>156.24531945456499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-2.5579538487363607E-13</v>
      </c>
      <c r="EK113" s="17">
        <f>EJ113*VLOOKUP('Données projet'!$B$15,Paramètres!$A$1:$I$89,3,0)*VLOOKUP('Données projet'!$B$15,Paramètres!$A$1:$I$89,5,0)</f>
        <v>-2.7932856028201057E-13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173.63857221119594</v>
      </c>
      <c r="EP113" s="59">
        <f t="shared" si="100"/>
        <v>52.373745617370105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199.58634493109349</v>
      </c>
      <c r="T114" s="59">
        <f t="shared" si="88"/>
        <v>288.66487031729008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1.0047412065202879</v>
      </c>
      <c r="AA114" s="21">
        <f>EXP(-LN(2)/25)*AA113+(1-EXP(-LN(2)/25))/(LN(2)/25)*Calculateur!V114*Calculateur!X114*VLOOKUP('Données projet'!$B$9,Paramètres!$A$1:$I$89,3,0)*0.475*44/12</f>
        <v>1.8130746721823507</v>
      </c>
      <c r="AB114" s="21">
        <f>EXP(-LN(2)/2)*AB113+(1-EXP(-LN(2)/2))/(LN(2)/2)*V114*Y114*VLOOKUP('Données projet'!$B$9,Paramètres!$A$1:$I$89,3,0)*0.475*44/12</f>
        <v>1.897111000634725E-12</v>
      </c>
      <c r="AC114" s="22">
        <f t="shared" si="57"/>
        <v>2.8178158787045358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606.99999999999989</v>
      </c>
      <c r="AJ114" s="13">
        <f>AI114*VLOOKUP('Données projet'!$B$10,Paramètres!$A$1:$I$89,3,0)*VLOOKUP('Données projet'!$B$10,Paramètres!$A$1:$I$89,5,0)</f>
        <v>362.98599999999999</v>
      </c>
      <c r="AK114" s="13">
        <f t="shared" si="89"/>
        <v>84.230767602863935</v>
      </c>
      <c r="AL114" s="20">
        <f t="shared" si="58"/>
        <v>778.90253690832139</v>
      </c>
      <c r="AM114" s="59">
        <f t="shared" si="59"/>
        <v>1072.2358702416548</v>
      </c>
      <c r="AN114" s="59">
        <f ca="1">AVERAGE(OFFSET($AM$3,0,0,'Données projet'!$E$10+1,1))-AVERAGE(OFFSET($H$3,0,0,'Données projet'!$E$10+1,1))</f>
        <v>395.40396173178527</v>
      </c>
      <c r="AO114" s="59">
        <f t="shared" si="90"/>
        <v>304.68075128568756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0.60290921493941063</v>
      </c>
      <c r="AV114" s="21">
        <f>EXP(-LN(2)/25)*AV113+(1-EXP(-LN(2)/25))/(LN(2)/25)*Calculateur!AQ114*Calculateur!AS114*VLOOKUP('Données projet'!$B$10,Paramètres!$A$1:$I$89,3,0)*0.475*44/12</f>
        <v>1.9787800622698708</v>
      </c>
      <c r="AW114" s="21">
        <f>EXP(-LN(2)/2)*AW113+(1-EXP(-LN(2)/2))/(LN(2)/2)*AQ114*AT114*VLOOKUP('Données projet'!$B$10,Paramètres!$A$1:$I$89,3,0)*0.475*44/12</f>
        <v>1.6724730916709364E-11</v>
      </c>
      <c r="AX114" s="21">
        <f t="shared" si="60"/>
        <v>2.5816892772260061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36.10000000000008</v>
      </c>
      <c r="BE114" s="13">
        <f>BD114*VLOOKUP('Données projet'!$B$11,Paramètres!$A$1:$I$89,3,0)*VLOOKUP('Données projet'!$B$11,Paramètres!$A$1:$I$89,5,0)</f>
        <v>31.536960000000075</v>
      </c>
      <c r="BF114" s="13">
        <f t="shared" si="91"/>
        <v>9.725440120377133</v>
      </c>
      <c r="BG114" s="20">
        <f t="shared" si="61"/>
        <v>71.865346876323642</v>
      </c>
      <c r="BH114" s="59">
        <f t="shared" si="62"/>
        <v>365.19868020965697</v>
      </c>
      <c r="BI114" s="59">
        <f ca="1">AVERAGE(OFFSET($BH$3,0,0,'Données projet'!$E$11+1,1))-AVERAGE(OFFSET($H$3,0,0,'Données projet'!$E$11+1,1))</f>
        <v>249.21292089724221</v>
      </c>
      <c r="BJ114" s="59">
        <f t="shared" si="92"/>
        <v>640.80644476065254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22.674418626772816</v>
      </c>
      <c r="BQ114" s="21">
        <f>EXP(-LN(2)/25)*BQ113+(1-EXP(-LN(2)/25))/(LN(2)/25)*Calculateur!BL114*Calculateur!BN114*VLOOKUP('Données projet'!$B$11,Paramètres!$A$1:$I$89,3,0)*0.475*44/12</f>
        <v>11.34408017399268</v>
      </c>
      <c r="BR114" s="21">
        <f>EXP(-LN(2)/2)*BR113+(1-EXP(-LN(2)/2))/(LN(2)/2)*BL114*BO114*VLOOKUP('Données projet'!$B$11,Paramètres!$A$1:$I$89,3,0)*0.475*44/12</f>
        <v>5.308199410714338E-11</v>
      </c>
      <c r="BS114" s="22">
        <f t="shared" si="63"/>
        <v>34.018498800818584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234.00000000000045</v>
      </c>
      <c r="BZ114" s="13">
        <f>BY114*VLOOKUP('Données projet'!$B$12,Paramètres!$A$1:$I$89,3,0)*VLOOKUP('Données projet'!$B$12,Paramètres!$A$1:$I$89,5,0)</f>
        <v>189.82080000000036</v>
      </c>
      <c r="CA114" s="13">
        <f t="shared" si="93"/>
        <v>47.500332100049881</v>
      </c>
      <c r="CB114" s="20">
        <f t="shared" si="64"/>
        <v>413.33430507425419</v>
      </c>
      <c r="CC114" s="59">
        <f t="shared" si="65"/>
        <v>706.66763840758745</v>
      </c>
      <c r="CD114" s="59">
        <f ca="1">AVERAGE(OFFSET($CC$3,0,0,'Données projet'!$E$12+1,1))-AVERAGE(OFFSET($H$3,0,0,'Données projet'!$E$12+1,1))</f>
        <v>192.4785660463869</v>
      </c>
      <c r="CE114" s="59">
        <f t="shared" si="94"/>
        <v>165.11095806515362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0.16281461408267164</v>
      </c>
      <c r="CL114" s="21">
        <f>EXP(-LN(2)/25)*CL113+(1-EXP(-LN(2)/25))/(LN(2)/25)*Calculateur!CG114*Calculateur!CI114*VLOOKUP('Données projet'!$B$12,Paramètres!$A$1:$I$89,3,0)*0.475*44/12</f>
        <v>0.49970581662542396</v>
      </c>
      <c r="CM114" s="21">
        <f>EXP(-LN(2)/2)*CM113+(1-EXP(-LN(2)/2))/(LN(2)/2)*CG114*CJ114*VLOOKUP('Données projet'!$B$12,Paramètres!$A$1:$I$89,3,0)*0.475*44/12</f>
        <v>4.7092494552010472E-12</v>
      </c>
      <c r="CN114" s="22">
        <f t="shared" si="66"/>
        <v>0.66252043071280486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4.0999999999999996</v>
      </c>
      <c r="CT114" s="12">
        <f>IF('Données projet'!$A$140&gt;35,CT113+CS114-DB113,IF(A114&lt;'Données projet'!$A$140,$CQ$205^A114,IF(A114='Données projet'!$A$140,'Données projet'!$B$140,CT113+CS114-DB113)))</f>
        <v>269.10000000000036</v>
      </c>
      <c r="CU114" s="17">
        <f>CT114*VLOOKUP('Données projet'!$B$13,Paramètres!$A$1:$I$89,3,0)*VLOOKUP('Données projet'!$B$13,Paramètres!$A$1:$I$89,5,0)</f>
        <v>226.68984000000032</v>
      </c>
      <c r="CV114" s="13">
        <f t="shared" si="95"/>
        <v>55.566344803008022</v>
      </c>
      <c r="CW114" s="20">
        <f t="shared" si="67"/>
        <v>491.59618853190614</v>
      </c>
      <c r="CX114" s="59">
        <f t="shared" si="68"/>
        <v>784.92952186523939</v>
      </c>
      <c r="CY114" s="59">
        <f ca="1">AVERAGE(OFFSET($CX$3,0,0,'Données projet'!$E$13+1,1))-AVERAGE(OFFSET($H$3,0,0,'Données projet'!$E$13+1,1))</f>
        <v>247.67539667223065</v>
      </c>
      <c r="CZ114" s="59">
        <f t="shared" si="96"/>
        <v>174.54442616983778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0.25764070799895294</v>
      </c>
      <c r="DG114" s="21">
        <f>EXP(-LN(2)/25)*DG113+(1-EXP(-LN(2)/25))/(LN(2)/25)*Calculateur!DB114*Calculateur!DD114*VLOOKUP('Données projet'!$B$13,Paramètres!$A$1:$I$89,3,0)*0.475*44/12</f>
        <v>0.69590329264502371</v>
      </c>
      <c r="DH114" s="21">
        <f>EXP(-LN(2)/2)*DH113+(1-EXP(-LN(2)/2))/(LN(2)/2)*DB114*DE114*VLOOKUP('Données projet'!$B$13,Paramètres!$A$1:$I$89,3,0)*0.475*44/12</f>
        <v>7.4046482737067037E-12</v>
      </c>
      <c r="DI114" s="22">
        <f t="shared" si="69"/>
        <v>0.95354400065138123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5.0961538461538449</v>
      </c>
      <c r="DO114" s="12">
        <f>IF('Données projet'!$A$166&gt;35,DO113+DN114-DW113,IF(A114&lt;'Données projet'!$A$166,$DL$205^A114,IF(A114='Données projet'!$A$166,'Données projet'!$B$166,DO113+DN114-DW113)))</f>
        <v>236.02564102564068</v>
      </c>
      <c r="DP114" s="17">
        <f>DO114*VLOOKUP('Données projet'!$B$14,Paramètres!$A$1:$I$89,3,0)*VLOOKUP('Données projet'!$B$14,Paramètres!$A$1:$I$89,5,0)</f>
        <v>235.64799999999966</v>
      </c>
      <c r="DQ114" s="13">
        <f t="shared" si="97"/>
        <v>57.502181558320714</v>
      </c>
      <c r="DR114" s="20">
        <f t="shared" si="70"/>
        <v>510.56989954740794</v>
      </c>
      <c r="DS114" s="59">
        <f t="shared" si="71"/>
        <v>803.90323288074126</v>
      </c>
      <c r="DT114" s="59">
        <f ca="1">AVERAGE(OFFSET($DS$3,0,0,'Données projet'!$E$14+1,1))-AVERAGE(OFFSET($H$3,0,0,'Données projet'!$E$14+1,1))</f>
        <v>245.06609107649069</v>
      </c>
      <c r="DU114" s="59">
        <f t="shared" si="98"/>
        <v>156.24531945456499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-2.5579538487363607E-13</v>
      </c>
      <c r="EK114" s="17">
        <f>EJ114*VLOOKUP('Données projet'!$B$15,Paramètres!$A$1:$I$89,3,0)*VLOOKUP('Données projet'!$B$15,Paramètres!$A$1:$I$89,5,0)</f>
        <v>-2.7932856028201057E-13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173.63857221119594</v>
      </c>
      <c r="EP114" s="59">
        <f t="shared" si="100"/>
        <v>52.373745617370105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199.58634493109349</v>
      </c>
      <c r="T115" s="59">
        <f t="shared" si="88"/>
        <v>288.66487031729008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0.98503884429204891</v>
      </c>
      <c r="AA115" s="21">
        <f>EXP(-LN(2)/25)*AA114+(1-EXP(-LN(2)/25))/(LN(2)/25)*Calculateur!V115*Calculateur!X115*VLOOKUP('Données projet'!$B$9,Paramètres!$A$1:$I$89,3,0)*0.475*44/12</f>
        <v>1.7634960499260712</v>
      </c>
      <c r="AB115" s="21">
        <f>EXP(-LN(2)/2)*AB114+(1-EXP(-LN(2)/2))/(LN(2)/2)*V115*Y115*VLOOKUP('Données projet'!$B$9,Paramètres!$A$1:$I$89,3,0)*0.475*44/12</f>
        <v>1.3414600532124107E-12</v>
      </c>
      <c r="AC115" s="22">
        <f t="shared" si="57"/>
        <v>2.7485348942194618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606.99999999999989</v>
      </c>
      <c r="AJ115" s="13">
        <f>AI115*VLOOKUP('Données projet'!$B$10,Paramètres!$A$1:$I$89,3,0)*VLOOKUP('Données projet'!$B$10,Paramètres!$A$1:$I$89,5,0)</f>
        <v>362.98599999999999</v>
      </c>
      <c r="AK115" s="13">
        <f t="shared" si="89"/>
        <v>84.230767602863935</v>
      </c>
      <c r="AL115" s="20">
        <f t="shared" si="58"/>
        <v>778.90253690832139</v>
      </c>
      <c r="AM115" s="59">
        <f t="shared" si="59"/>
        <v>1072.2358702416548</v>
      </c>
      <c r="AN115" s="59">
        <f ca="1">AVERAGE(OFFSET($AM$3,0,0,'Données projet'!$E$10+1,1))-AVERAGE(OFFSET($H$3,0,0,'Données projet'!$E$10+1,1))</f>
        <v>395.40396173178527</v>
      </c>
      <c r="AO115" s="59">
        <f t="shared" si="90"/>
        <v>304.68075128568756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0.5910865329727587</v>
      </c>
      <c r="AV115" s="21">
        <f>EXP(-LN(2)/25)*AV114+(1-EXP(-LN(2)/25))/(LN(2)/25)*Calculateur!AQ115*Calculateur!AS115*VLOOKUP('Données projet'!$B$10,Paramètres!$A$1:$I$89,3,0)*0.475*44/12</f>
        <v>1.9246702174075803</v>
      </c>
      <c r="AW115" s="21">
        <f>EXP(-LN(2)/2)*AW114+(1-EXP(-LN(2)/2))/(LN(2)/2)*AQ115*AT115*VLOOKUP('Données projet'!$B$10,Paramètres!$A$1:$I$89,3,0)*0.475*44/12</f>
        <v>1.1826170644725495E-11</v>
      </c>
      <c r="AX115" s="21">
        <f t="shared" si="60"/>
        <v>2.515756750392165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36.10000000000008</v>
      </c>
      <c r="BE115" s="13">
        <f>BD115*VLOOKUP('Données projet'!$B$11,Paramètres!$A$1:$I$89,3,0)*VLOOKUP('Données projet'!$B$11,Paramètres!$A$1:$I$89,5,0)</f>
        <v>31.536960000000075</v>
      </c>
      <c r="BF115" s="13">
        <f t="shared" si="91"/>
        <v>9.725440120377133</v>
      </c>
      <c r="BG115" s="20">
        <f t="shared" si="61"/>
        <v>71.865346876323642</v>
      </c>
      <c r="BH115" s="59">
        <f t="shared" si="62"/>
        <v>365.19868020965697</v>
      </c>
      <c r="BI115" s="59">
        <f ca="1">AVERAGE(OFFSET($BH$3,0,0,'Données projet'!$E$11+1,1))-AVERAGE(OFFSET($H$3,0,0,'Données projet'!$E$11+1,1))</f>
        <v>249.21292089724221</v>
      </c>
      <c r="BJ115" s="59">
        <f t="shared" si="92"/>
        <v>640.80644476065254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22.229787107531561</v>
      </c>
      <c r="BQ115" s="21">
        <f>EXP(-LN(2)/25)*BQ114+(1-EXP(-LN(2)/25))/(LN(2)/25)*Calculateur!BL115*Calculateur!BN115*VLOOKUP('Données projet'!$B$11,Paramètres!$A$1:$I$89,3,0)*0.475*44/12</f>
        <v>11.033875705075602</v>
      </c>
      <c r="BR115" s="21">
        <f>EXP(-LN(2)/2)*BR114+(1-EXP(-LN(2)/2))/(LN(2)/2)*BL115*BO115*VLOOKUP('Données projet'!$B$11,Paramètres!$A$1:$I$89,3,0)*0.475*44/12</f>
        <v>3.7534637992065439E-11</v>
      </c>
      <c r="BS115" s="22">
        <f t="shared" si="63"/>
        <v>33.263662812644704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234.00000000000045</v>
      </c>
      <c r="BZ115" s="13">
        <f>BY115*VLOOKUP('Données projet'!$B$12,Paramètres!$A$1:$I$89,3,0)*VLOOKUP('Données projet'!$B$12,Paramètres!$A$1:$I$89,5,0)</f>
        <v>189.82080000000036</v>
      </c>
      <c r="CA115" s="13">
        <f t="shared" si="93"/>
        <v>47.500332100049881</v>
      </c>
      <c r="CB115" s="20">
        <f t="shared" si="64"/>
        <v>413.33430507425419</v>
      </c>
      <c r="CC115" s="59">
        <f t="shared" si="65"/>
        <v>706.66763840758745</v>
      </c>
      <c r="CD115" s="59">
        <f ca="1">AVERAGE(OFFSET($CC$3,0,0,'Données projet'!$E$12+1,1))-AVERAGE(OFFSET($H$3,0,0,'Données projet'!$E$12+1,1))</f>
        <v>192.4785660463869</v>
      </c>
      <c r="CE115" s="59">
        <f t="shared" si="94"/>
        <v>165.11095806515362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0.15962191880761928</v>
      </c>
      <c r="CL115" s="21">
        <f>EXP(-LN(2)/25)*CL114+(1-EXP(-LN(2)/25))/(LN(2)/25)*Calculateur!CG115*Calculateur!CI115*VLOOKUP('Données projet'!$B$12,Paramètres!$A$1:$I$89,3,0)*0.475*44/12</f>
        <v>0.48604133479141493</v>
      </c>
      <c r="CM115" s="21">
        <f>EXP(-LN(2)/2)*CM114+(1-EXP(-LN(2)/2))/(LN(2)/2)*CG115*CJ115*VLOOKUP('Données projet'!$B$12,Paramètres!$A$1:$I$89,3,0)*0.475*44/12</f>
        <v>3.3299422240717151E-12</v>
      </c>
      <c r="CN115" s="22">
        <f t="shared" si="66"/>
        <v>0.6456632536023641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4.0999999999999996</v>
      </c>
      <c r="CT115" s="12">
        <f>IF('Données projet'!$A$140&gt;35,CT114+CS115-DB114,IF(A115&lt;'Données projet'!$A$140,$CQ$205^A115,IF(A115='Données projet'!$A$140,'Données projet'!$B$140,CT114+CS115-DB114)))</f>
        <v>273.20000000000039</v>
      </c>
      <c r="CU115" s="17">
        <f>CT115*VLOOKUP('Données projet'!$B$13,Paramètres!$A$1:$I$89,3,0)*VLOOKUP('Données projet'!$B$13,Paramètres!$A$1:$I$89,5,0)</f>
        <v>230.14368000000036</v>
      </c>
      <c r="CV115" s="13">
        <f t="shared" si="95"/>
        <v>56.313747377131634</v>
      </c>
      <c r="CW115" s="20">
        <f t="shared" si="67"/>
        <v>498.91335268183815</v>
      </c>
      <c r="CX115" s="59">
        <f t="shared" si="68"/>
        <v>792.24668601517146</v>
      </c>
      <c r="CY115" s="59">
        <f ca="1">AVERAGE(OFFSET($CX$3,0,0,'Données projet'!$E$13+1,1))-AVERAGE(OFFSET($H$3,0,0,'Données projet'!$E$13+1,1))</f>
        <v>247.67539667223065</v>
      </c>
      <c r="CZ115" s="59">
        <f t="shared" si="96"/>
        <v>174.54442616983778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0.25258853086040856</v>
      </c>
      <c r="DG115" s="21">
        <f>EXP(-LN(2)/25)*DG114+(1-EXP(-LN(2)/25))/(LN(2)/25)*Calculateur!DB115*Calculateur!DD115*VLOOKUP('Données projet'!$B$13,Paramètres!$A$1:$I$89,3,0)*0.475*44/12</f>
        <v>0.6768737805116819</v>
      </c>
      <c r="DH115" s="21">
        <f>EXP(-LN(2)/2)*DH114+(1-EXP(-LN(2)/2))/(LN(2)/2)*DB115*DE115*VLOOKUP('Données projet'!$B$13,Paramètres!$A$1:$I$89,3,0)*0.475*44/12</f>
        <v>5.2358770066392731E-12</v>
      </c>
      <c r="DI115" s="22">
        <f t="shared" si="69"/>
        <v>0.92946231137732638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5.0961538461538449</v>
      </c>
      <c r="DO115" s="12">
        <f>IF('Données projet'!$A$166&gt;35,DO114+DN115-DW114,IF(A115&lt;'Données projet'!$A$166,$DL$205^A115,IF(A115='Données projet'!$A$166,'Données projet'!$B$166,DO114+DN115-DW114)))</f>
        <v>241.12179487179452</v>
      </c>
      <c r="DP115" s="17">
        <f>DO115*VLOOKUP('Données projet'!$B$14,Paramètres!$A$1:$I$89,3,0)*VLOOKUP('Données projet'!$B$14,Paramètres!$A$1:$I$89,5,0)</f>
        <v>240.73599999999965</v>
      </c>
      <c r="DQ115" s="13">
        <f t="shared" si="97"/>
        <v>58.5978562367414</v>
      </c>
      <c r="DR115" s="20">
        <f t="shared" si="70"/>
        <v>521.33979961232399</v>
      </c>
      <c r="DS115" s="59">
        <f t="shared" si="71"/>
        <v>814.67313294565724</v>
      </c>
      <c r="DT115" s="59">
        <f ca="1">AVERAGE(OFFSET($DS$3,0,0,'Données projet'!$E$14+1,1))-AVERAGE(OFFSET($H$3,0,0,'Données projet'!$E$14+1,1))</f>
        <v>245.06609107649069</v>
      </c>
      <c r="DU115" s="59">
        <f t="shared" si="98"/>
        <v>156.24531945456499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-2.5579538487363607E-13</v>
      </c>
      <c r="EK115" s="17">
        <f>EJ115*VLOOKUP('Données projet'!$B$15,Paramètres!$A$1:$I$89,3,0)*VLOOKUP('Données projet'!$B$15,Paramètres!$A$1:$I$89,5,0)</f>
        <v>-2.7932856028201057E-13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173.63857221119594</v>
      </c>
      <c r="EP115" s="59">
        <f t="shared" si="100"/>
        <v>52.373745617370105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199.58634493109349</v>
      </c>
      <c r="T116" s="59">
        <f t="shared" si="88"/>
        <v>288.66487031729008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0.96572283336985132</v>
      </c>
      <c r="AA116" s="21">
        <f>EXP(-LN(2)/25)*AA115+(1-EXP(-LN(2)/25))/(LN(2)/25)*Calculateur!V116*Calculateur!X116*VLOOKUP('Données projet'!$B$9,Paramètres!$A$1:$I$89,3,0)*0.475*44/12</f>
        <v>1.7152731577026161</v>
      </c>
      <c r="AB116" s="21">
        <f>EXP(-LN(2)/2)*AB115+(1-EXP(-LN(2)/2))/(LN(2)/2)*V116*Y116*VLOOKUP('Données projet'!$B$9,Paramètres!$A$1:$I$89,3,0)*0.475*44/12</f>
        <v>9.4855550031736248E-13</v>
      </c>
      <c r="AC116" s="22">
        <f t="shared" si="57"/>
        <v>2.680995991073416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606.99999999999989</v>
      </c>
      <c r="AJ116" s="13">
        <f>AI116*VLOOKUP('Données projet'!$B$10,Paramètres!$A$1:$I$89,3,0)*VLOOKUP('Données projet'!$B$10,Paramètres!$A$1:$I$89,5,0)</f>
        <v>362.98599999999999</v>
      </c>
      <c r="AK116" s="13">
        <f t="shared" si="89"/>
        <v>84.230767602863935</v>
      </c>
      <c r="AL116" s="20">
        <f t="shared" si="58"/>
        <v>778.90253690832139</v>
      </c>
      <c r="AM116" s="59">
        <f t="shared" si="59"/>
        <v>1072.2358702416548</v>
      </c>
      <c r="AN116" s="59">
        <f ca="1">AVERAGE(OFFSET($AM$3,0,0,'Données projet'!$E$10+1,1))-AVERAGE(OFFSET($H$3,0,0,'Données projet'!$E$10+1,1))</f>
        <v>395.40396173178527</v>
      </c>
      <c r="AO116" s="59">
        <f t="shared" si="90"/>
        <v>304.68075128568756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0.57949568658834893</v>
      </c>
      <c r="AV116" s="21">
        <f>EXP(-LN(2)/25)*AV115+(1-EXP(-LN(2)/25))/(LN(2)/25)*Calculateur!AQ116*Calculateur!AS116*VLOOKUP('Données projet'!$B$10,Paramètres!$A$1:$I$89,3,0)*0.475*44/12</f>
        <v>1.8720400090985621</v>
      </c>
      <c r="AW116" s="21">
        <f>EXP(-LN(2)/2)*AW115+(1-EXP(-LN(2)/2))/(LN(2)/2)*AQ116*AT116*VLOOKUP('Données projet'!$B$10,Paramètres!$A$1:$I$89,3,0)*0.475*44/12</f>
        <v>8.3623654583546819E-12</v>
      </c>
      <c r="AX116" s="21">
        <f t="shared" si="60"/>
        <v>2.4515356956952732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36.10000000000008</v>
      </c>
      <c r="BE116" s="13">
        <f>BD116*VLOOKUP('Données projet'!$B$11,Paramètres!$A$1:$I$89,3,0)*VLOOKUP('Données projet'!$B$11,Paramètres!$A$1:$I$89,5,0)</f>
        <v>31.536960000000075</v>
      </c>
      <c r="BF116" s="13">
        <f t="shared" si="91"/>
        <v>9.725440120377133</v>
      </c>
      <c r="BG116" s="20">
        <f t="shared" si="61"/>
        <v>71.865346876323642</v>
      </c>
      <c r="BH116" s="59">
        <f t="shared" si="62"/>
        <v>365.19868020965697</v>
      </c>
      <c r="BI116" s="59">
        <f ca="1">AVERAGE(OFFSET($BH$3,0,0,'Données projet'!$E$11+1,1))-AVERAGE(OFFSET($H$3,0,0,'Données projet'!$E$11+1,1))</f>
        <v>249.21292089724221</v>
      </c>
      <c r="BJ116" s="59">
        <f t="shared" si="92"/>
        <v>640.80644476065254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21.793874541184177</v>
      </c>
      <c r="BQ116" s="21">
        <f>EXP(-LN(2)/25)*BQ115+(1-EXP(-LN(2)/25))/(LN(2)/25)*Calculateur!BL116*Calculateur!BN116*VLOOKUP('Données projet'!$B$11,Paramètres!$A$1:$I$89,3,0)*0.475*44/12</f>
        <v>10.732153793674005</v>
      </c>
      <c r="BR116" s="21">
        <f>EXP(-LN(2)/2)*BR115+(1-EXP(-LN(2)/2))/(LN(2)/2)*BL116*BO116*VLOOKUP('Données projet'!$B$11,Paramètres!$A$1:$I$89,3,0)*0.475*44/12</f>
        <v>2.654099705357169E-11</v>
      </c>
      <c r="BS116" s="22">
        <f t="shared" si="63"/>
        <v>32.526028334884721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234.00000000000045</v>
      </c>
      <c r="BZ116" s="13">
        <f>BY116*VLOOKUP('Données projet'!$B$12,Paramètres!$A$1:$I$89,3,0)*VLOOKUP('Données projet'!$B$12,Paramètres!$A$1:$I$89,5,0)</f>
        <v>189.82080000000036</v>
      </c>
      <c r="CA116" s="13">
        <f t="shared" si="93"/>
        <v>47.500332100049881</v>
      </c>
      <c r="CB116" s="20">
        <f t="shared" si="64"/>
        <v>413.33430507425419</v>
      </c>
      <c r="CC116" s="59">
        <f t="shared" si="65"/>
        <v>706.66763840758745</v>
      </c>
      <c r="CD116" s="59">
        <f ca="1">AVERAGE(OFFSET($CC$3,0,0,'Données projet'!$E$12+1,1))-AVERAGE(OFFSET($H$3,0,0,'Données projet'!$E$12+1,1))</f>
        <v>192.4785660463869</v>
      </c>
      <c r="CE116" s="59">
        <f t="shared" si="94"/>
        <v>165.11095806515362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0.15649183033955885</v>
      </c>
      <c r="CL116" s="21">
        <f>EXP(-LN(2)/25)*CL115+(1-EXP(-LN(2)/25))/(LN(2)/25)*Calculateur!CG116*Calculateur!CI116*VLOOKUP('Données projet'!$B$12,Paramètres!$A$1:$I$89,3,0)*0.475*44/12</f>
        <v>0.47275050893174075</v>
      </c>
      <c r="CM116" s="21">
        <f>EXP(-LN(2)/2)*CM115+(1-EXP(-LN(2)/2))/(LN(2)/2)*CG116*CJ116*VLOOKUP('Données projet'!$B$12,Paramètres!$A$1:$I$89,3,0)*0.475*44/12</f>
        <v>2.3546247276005236E-12</v>
      </c>
      <c r="CN116" s="22">
        <f t="shared" si="66"/>
        <v>0.62924233927365425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4.0999999999999996</v>
      </c>
      <c r="CT116" s="12">
        <f>IF('Données projet'!$A$140&gt;35,CT115+CS116-DB115,IF(A116&lt;'Données projet'!$A$140,$CQ$205^A116,IF(A116='Données projet'!$A$140,'Données projet'!$B$140,CT115+CS116-DB115)))</f>
        <v>277.30000000000041</v>
      </c>
      <c r="CU116" s="17">
        <f>CT116*VLOOKUP('Données projet'!$B$13,Paramètres!$A$1:$I$89,3,0)*VLOOKUP('Données projet'!$B$13,Paramètres!$A$1:$I$89,5,0)</f>
        <v>233.59752000000034</v>
      </c>
      <c r="CV116" s="13">
        <f t="shared" si="95"/>
        <v>57.059845437390265</v>
      </c>
      <c r="CW116" s="20">
        <f t="shared" si="67"/>
        <v>506.22824480345525</v>
      </c>
      <c r="CX116" s="59">
        <f t="shared" si="68"/>
        <v>799.56157813678851</v>
      </c>
      <c r="CY116" s="59">
        <f ca="1">AVERAGE(OFFSET($CX$3,0,0,'Données projet'!$E$13+1,1))-AVERAGE(OFFSET($H$3,0,0,'Données projet'!$E$13+1,1))</f>
        <v>247.67539667223065</v>
      </c>
      <c r="CZ116" s="59">
        <f t="shared" si="96"/>
        <v>174.54442616983778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0.24763542383402723</v>
      </c>
      <c r="DG116" s="21">
        <f>EXP(-LN(2)/25)*DG115+(1-EXP(-LN(2)/25))/(LN(2)/25)*Calculateur!DB116*Calculateur!DD116*VLOOKUP('Données projet'!$B$13,Paramètres!$A$1:$I$89,3,0)*0.475*44/12</f>
        <v>0.65836463138834489</v>
      </c>
      <c r="DH116" s="21">
        <f>EXP(-LN(2)/2)*DH115+(1-EXP(-LN(2)/2))/(LN(2)/2)*DB116*DE116*VLOOKUP('Données projet'!$B$13,Paramètres!$A$1:$I$89,3,0)*0.475*44/12</f>
        <v>3.7023241368533518E-12</v>
      </c>
      <c r="DI116" s="22">
        <f t="shared" si="69"/>
        <v>0.90600005522607452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246.21794871794873</v>
      </c>
      <c r="DM116" s="12">
        <f>VLOOKUP(A116,'Données projet'!$A$165:$I$185,9,0)</f>
        <v>5.0961538461538449</v>
      </c>
      <c r="DN116" s="12">
        <f t="array" ref="DN116">INDEX(DM:DM,MIN(IF(ISNUMBER(DM116:DM312),ROW(DM116:DM312),"")))</f>
        <v>5.0961538461538449</v>
      </c>
      <c r="DO116" s="12">
        <f>IF('Données projet'!$A$166&gt;35,DO115+DN116-DW115,IF(A116&lt;'Données projet'!$A$166,$DL$205^A116,IF(A116='Données projet'!$A$166,'Données projet'!$B$166,DO115+DN116-DW115)))</f>
        <v>246.21794871794836</v>
      </c>
      <c r="DP116" s="17">
        <f>DO116*VLOOKUP('Données projet'!$B$14,Paramètres!$A$1:$I$89,3,0)*VLOOKUP('Données projet'!$B$14,Paramètres!$A$1:$I$89,5,0)</f>
        <v>245.82399999999967</v>
      </c>
      <c r="DQ116" s="13">
        <f t="shared" si="97"/>
        <v>59.690838507961494</v>
      </c>
      <c r="DR116" s="20">
        <f t="shared" si="70"/>
        <v>532.10501040136569</v>
      </c>
      <c r="DS116" s="59">
        <f t="shared" si="71"/>
        <v>825.43834373469895</v>
      </c>
      <c r="DT116" s="59">
        <f ca="1">AVERAGE(OFFSET($DS$3,0,0,'Données projet'!$E$14+1,1))-AVERAGE(OFFSET($H$3,0,0,'Données projet'!$E$14+1,1))</f>
        <v>245.06609107649069</v>
      </c>
      <c r="DU116" s="59">
        <f t="shared" si="98"/>
        <v>156.24531945456499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31.602564102564099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-2.5579538487363607E-13</v>
      </c>
      <c r="EK116" s="17">
        <f>EJ116*VLOOKUP('Données projet'!$B$15,Paramètres!$A$1:$I$89,3,0)*VLOOKUP('Données projet'!$B$15,Paramètres!$A$1:$I$89,5,0)</f>
        <v>-2.7932856028201057E-13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173.63857221119594</v>
      </c>
      <c r="EP116" s="59">
        <f t="shared" si="100"/>
        <v>52.373745617370105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199.58634493109349</v>
      </c>
      <c r="T117" s="59">
        <f t="shared" si="88"/>
        <v>288.66487031729008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0.94678559764023473</v>
      </c>
      <c r="AA117" s="21">
        <f>EXP(-LN(2)/25)*AA116+(1-EXP(-LN(2)/25))/(LN(2)/25)*Calculateur!V117*Calculateur!X117*VLOOKUP('Données projet'!$B$9,Paramètres!$A$1:$I$89,3,0)*0.475*44/12</f>
        <v>1.668368923002943</v>
      </c>
      <c r="AB117" s="21">
        <f>EXP(-LN(2)/2)*AB116+(1-EXP(-LN(2)/2))/(LN(2)/2)*V117*Y117*VLOOKUP('Données projet'!$B$9,Paramètres!$A$1:$I$89,3,0)*0.475*44/12</f>
        <v>6.7073002660620534E-13</v>
      </c>
      <c r="AC117" s="22">
        <f t="shared" si="57"/>
        <v>2.6151545206438485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606.99999999999989</v>
      </c>
      <c r="AJ117" s="13">
        <f>AI117*VLOOKUP('Données projet'!$B$10,Paramètres!$A$1:$I$89,3,0)*VLOOKUP('Données projet'!$B$10,Paramètres!$A$1:$I$89,5,0)</f>
        <v>362.98599999999999</v>
      </c>
      <c r="AK117" s="13">
        <f t="shared" si="89"/>
        <v>84.230767602863935</v>
      </c>
      <c r="AL117" s="20">
        <f t="shared" si="58"/>
        <v>778.90253690832139</v>
      </c>
      <c r="AM117" s="59">
        <f t="shared" si="59"/>
        <v>1072.2358702416548</v>
      </c>
      <c r="AN117" s="59">
        <f ca="1">AVERAGE(OFFSET($AM$3,0,0,'Données projet'!$E$10+1,1))-AVERAGE(OFFSET($H$3,0,0,'Données projet'!$E$10+1,1))</f>
        <v>395.40396173178527</v>
      </c>
      <c r="AO117" s="59">
        <f t="shared" si="90"/>
        <v>304.68075128568756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0.56813212963181925</v>
      </c>
      <c r="AV117" s="21">
        <f>EXP(-LN(2)/25)*AV116+(1-EXP(-LN(2)/25))/(LN(2)/25)*Calculateur!AQ117*Calculateur!AS117*VLOOKUP('Données projet'!$B$10,Paramètres!$A$1:$I$89,3,0)*0.475*44/12</f>
        <v>1.8208489766034563</v>
      </c>
      <c r="AW117" s="21">
        <f>EXP(-LN(2)/2)*AW116+(1-EXP(-LN(2)/2))/(LN(2)/2)*AQ117*AT117*VLOOKUP('Données projet'!$B$10,Paramètres!$A$1:$I$89,3,0)*0.475*44/12</f>
        <v>5.9130853223627474E-12</v>
      </c>
      <c r="AX117" s="21">
        <f t="shared" si="60"/>
        <v>2.3889811062411885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36.10000000000008</v>
      </c>
      <c r="BE117" s="13">
        <f>BD117*VLOOKUP('Données projet'!$B$11,Paramètres!$A$1:$I$89,3,0)*VLOOKUP('Données projet'!$B$11,Paramètres!$A$1:$I$89,5,0)</f>
        <v>31.536960000000075</v>
      </c>
      <c r="BF117" s="13">
        <f t="shared" si="91"/>
        <v>9.725440120377133</v>
      </c>
      <c r="BG117" s="20">
        <f t="shared" si="61"/>
        <v>71.865346876323642</v>
      </c>
      <c r="BH117" s="59">
        <f t="shared" si="62"/>
        <v>365.19868020965697</v>
      </c>
      <c r="BI117" s="59">
        <f ca="1">AVERAGE(OFFSET($BH$3,0,0,'Données projet'!$E$11+1,1))-AVERAGE(OFFSET($H$3,0,0,'Données projet'!$E$11+1,1))</f>
        <v>249.21292089724221</v>
      </c>
      <c r="BJ117" s="59">
        <f t="shared" si="92"/>
        <v>640.80644476065254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21.366509954382455</v>
      </c>
      <c r="BQ117" s="21">
        <f>EXP(-LN(2)/25)*BQ116+(1-EXP(-LN(2)/25))/(LN(2)/25)*Calculateur!BL117*Calculateur!BN117*VLOOKUP('Données projet'!$B$11,Paramètres!$A$1:$I$89,3,0)*0.475*44/12</f>
        <v>10.43868248380655</v>
      </c>
      <c r="BR117" s="21">
        <f>EXP(-LN(2)/2)*BR116+(1-EXP(-LN(2)/2))/(LN(2)/2)*BL117*BO117*VLOOKUP('Données projet'!$B$11,Paramètres!$A$1:$I$89,3,0)*0.475*44/12</f>
        <v>1.8767318996032719E-11</v>
      </c>
      <c r="BS117" s="22">
        <f t="shared" si="63"/>
        <v>31.805192438207772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234.00000000000045</v>
      </c>
      <c r="BZ117" s="13">
        <f>BY117*VLOOKUP('Données projet'!$B$12,Paramètres!$A$1:$I$89,3,0)*VLOOKUP('Données projet'!$B$12,Paramètres!$A$1:$I$89,5,0)</f>
        <v>189.82080000000036</v>
      </c>
      <c r="CA117" s="13">
        <f t="shared" si="93"/>
        <v>47.500332100049881</v>
      </c>
      <c r="CB117" s="20">
        <f t="shared" si="64"/>
        <v>413.33430507425419</v>
      </c>
      <c r="CC117" s="59">
        <f t="shared" si="65"/>
        <v>706.66763840758745</v>
      </c>
      <c r="CD117" s="59">
        <f ca="1">AVERAGE(OFFSET($CC$3,0,0,'Données projet'!$E$12+1,1))-AVERAGE(OFFSET($H$3,0,0,'Données projet'!$E$12+1,1))</f>
        <v>192.4785660463869</v>
      </c>
      <c r="CE117" s="59">
        <f t="shared" si="94"/>
        <v>165.11095806515362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0.15342312099719166</v>
      </c>
      <c r="CL117" s="21">
        <f>EXP(-LN(2)/25)*CL116+(1-EXP(-LN(2)/25))/(LN(2)/25)*Calculateur!CG117*Calculateur!CI117*VLOOKUP('Données projet'!$B$12,Paramètres!$A$1:$I$89,3,0)*0.475*44/12</f>
        <v>0.45982312140413351</v>
      </c>
      <c r="CM117" s="21">
        <f>EXP(-LN(2)/2)*CM116+(1-EXP(-LN(2)/2))/(LN(2)/2)*CG117*CJ117*VLOOKUP('Données projet'!$B$12,Paramètres!$A$1:$I$89,3,0)*0.475*44/12</f>
        <v>1.6649711120358575E-12</v>
      </c>
      <c r="CN117" s="22">
        <f t="shared" si="66"/>
        <v>0.61324624240299019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4.0999999999999996</v>
      </c>
      <c r="CT117" s="12">
        <f>IF('Données projet'!$A$140&gt;35,CT116+CS117-DB116,IF(A117&lt;'Données projet'!$A$140,$CQ$205^A117,IF(A117='Données projet'!$A$140,'Données projet'!$B$140,CT116+CS117-DB116)))</f>
        <v>281.40000000000043</v>
      </c>
      <c r="CU117" s="17">
        <f>CT117*VLOOKUP('Données projet'!$B$13,Paramètres!$A$1:$I$89,3,0)*VLOOKUP('Données projet'!$B$13,Paramètres!$A$1:$I$89,5,0)</f>
        <v>237.05136000000039</v>
      </c>
      <c r="CV117" s="13">
        <f t="shared" si="95"/>
        <v>57.804660499743129</v>
      </c>
      <c r="CW117" s="20">
        <f t="shared" si="67"/>
        <v>513.54090237038656</v>
      </c>
      <c r="CX117" s="59">
        <f t="shared" si="68"/>
        <v>806.87423570371993</v>
      </c>
      <c r="CY117" s="59">
        <f ca="1">AVERAGE(OFFSET($CX$3,0,0,'Données projet'!$E$13+1,1))-AVERAGE(OFFSET($H$3,0,0,'Données projet'!$E$13+1,1))</f>
        <v>247.67539667223065</v>
      </c>
      <c r="CZ117" s="59">
        <f t="shared" si="96"/>
        <v>174.54442616983778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0.24277944421533626</v>
      </c>
      <c r="DG117" s="21">
        <f>EXP(-LN(2)/25)*DG116+(1-EXP(-LN(2)/25))/(LN(2)/25)*Calculateur!DB117*Calculateur!DD117*VLOOKUP('Données projet'!$B$13,Paramètres!$A$1:$I$89,3,0)*0.475*44/12</f>
        <v>0.64036161592113938</v>
      </c>
      <c r="DH117" s="21">
        <f>EXP(-LN(2)/2)*DH116+(1-EXP(-LN(2)/2))/(LN(2)/2)*DB117*DE117*VLOOKUP('Données projet'!$B$13,Paramètres!$A$1:$I$89,3,0)*0.475*44/12</f>
        <v>2.6179385033196365E-12</v>
      </c>
      <c r="DI117" s="22">
        <f t="shared" si="69"/>
        <v>0.88314106013909355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5.3066239316239274</v>
      </c>
      <c r="DO117" s="12">
        <f>IF('Données projet'!$A$166&gt;35,DO116+DN117-DW116,IF(A117&lt;'Données projet'!$A$166,$DL$205^A117,IF(A117='Données projet'!$A$166,'Données projet'!$B$166,DO116+DN117-DW116)))</f>
        <v>219.9220085470082</v>
      </c>
      <c r="DP117" s="17">
        <f>DO117*VLOOKUP('Données projet'!$B$14,Paramètres!$A$1:$I$89,3,0)*VLOOKUP('Données projet'!$B$14,Paramètres!$A$1:$I$89,5,0)</f>
        <v>219.57013333333299</v>
      </c>
      <c r="DQ117" s="13">
        <f t="shared" si="97"/>
        <v>54.021445692027136</v>
      </c>
      <c r="DR117" s="20">
        <f t="shared" si="70"/>
        <v>476.50533346916887</v>
      </c>
      <c r="DS117" s="59">
        <f t="shared" si="71"/>
        <v>769.83866680250219</v>
      </c>
      <c r="DT117" s="59">
        <f ca="1">AVERAGE(OFFSET($DS$3,0,0,'Données projet'!$E$14+1,1))-AVERAGE(OFFSET($H$3,0,0,'Données projet'!$E$14+1,1))</f>
        <v>245.06609107649069</v>
      </c>
      <c r="DU117" s="59">
        <f t="shared" si="98"/>
        <v>156.24531945456499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-2.5579538487363607E-13</v>
      </c>
      <c r="EK117" s="17">
        <f>EJ117*VLOOKUP('Données projet'!$B$15,Paramètres!$A$1:$I$89,3,0)*VLOOKUP('Données projet'!$B$15,Paramètres!$A$1:$I$89,5,0)</f>
        <v>-2.7932856028201057E-13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173.63857221119594</v>
      </c>
      <c r="EP117" s="59">
        <f t="shared" si="100"/>
        <v>52.373745617370105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199.58634493109349</v>
      </c>
      <c r="T118" s="59">
        <f t="shared" si="88"/>
        <v>288.66487031729008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0.92821970955270261</v>
      </c>
      <c r="AA118" s="21">
        <f>EXP(-LN(2)/25)*AA117+(1-EXP(-LN(2)/25))/(LN(2)/25)*Calculateur!V118*Calculateur!X118*VLOOKUP('Données projet'!$B$9,Paramètres!$A$1:$I$89,3,0)*0.475*44/12</f>
        <v>1.6227472870677191</v>
      </c>
      <c r="AB118" s="21">
        <f>EXP(-LN(2)/2)*AB117+(1-EXP(-LN(2)/2))/(LN(2)/2)*V118*Y118*VLOOKUP('Données projet'!$B$9,Paramètres!$A$1:$I$89,3,0)*0.475*44/12</f>
        <v>4.7427775015868124E-13</v>
      </c>
      <c r="AC118" s="22">
        <f t="shared" si="57"/>
        <v>2.5509669966208959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606.99999999999989</v>
      </c>
      <c r="AJ118" s="13">
        <f>AI118*VLOOKUP('Données projet'!$B$10,Paramètres!$A$1:$I$89,3,0)*VLOOKUP('Données projet'!$B$10,Paramètres!$A$1:$I$89,5,0)</f>
        <v>362.98599999999999</v>
      </c>
      <c r="AK118" s="13">
        <f t="shared" si="89"/>
        <v>84.230767602863935</v>
      </c>
      <c r="AL118" s="20">
        <f t="shared" si="58"/>
        <v>778.90253690832139</v>
      </c>
      <c r="AM118" s="59">
        <f t="shared" si="59"/>
        <v>1072.2358702416548</v>
      </c>
      <c r="AN118" s="59">
        <f ca="1">AVERAGE(OFFSET($AM$3,0,0,'Données projet'!$E$10+1,1))-AVERAGE(OFFSET($H$3,0,0,'Données projet'!$E$10+1,1))</f>
        <v>395.40396173178527</v>
      </c>
      <c r="AO118" s="59">
        <f t="shared" si="90"/>
        <v>304.68075128568756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0.55699140509612166</v>
      </c>
      <c r="AV118" s="21">
        <f>EXP(-LN(2)/25)*AV117+(1-EXP(-LN(2)/25))/(LN(2)/25)*Calculateur!AQ118*Calculateur!AS118*VLOOKUP('Données projet'!$B$10,Paramètres!$A$1:$I$89,3,0)*0.475*44/12</f>
        <v>1.7710577655839488</v>
      </c>
      <c r="AW118" s="21">
        <f>EXP(-LN(2)/2)*AW117+(1-EXP(-LN(2)/2))/(LN(2)/2)*AQ118*AT118*VLOOKUP('Données projet'!$B$10,Paramètres!$A$1:$I$89,3,0)*0.475*44/12</f>
        <v>4.181182729177341E-12</v>
      </c>
      <c r="AX118" s="21">
        <f t="shared" si="60"/>
        <v>2.3280491706842517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36.10000000000008</v>
      </c>
      <c r="BE118" s="13">
        <f>BD118*VLOOKUP('Données projet'!$B$11,Paramètres!$A$1:$I$89,3,0)*VLOOKUP('Données projet'!$B$11,Paramètres!$A$1:$I$89,5,0)</f>
        <v>31.536960000000075</v>
      </c>
      <c r="BF118" s="13">
        <f t="shared" si="91"/>
        <v>9.725440120377133</v>
      </c>
      <c r="BG118" s="20">
        <f t="shared" si="61"/>
        <v>71.865346876323642</v>
      </c>
      <c r="BH118" s="59">
        <f t="shared" si="62"/>
        <v>365.19868020965697</v>
      </c>
      <c r="BI118" s="59">
        <f ca="1">AVERAGE(OFFSET($BH$3,0,0,'Données projet'!$E$11+1,1))-AVERAGE(OFFSET($H$3,0,0,'Données projet'!$E$11+1,1))</f>
        <v>249.21292089724221</v>
      </c>
      <c r="BJ118" s="59">
        <f t="shared" si="92"/>
        <v>640.80644476065254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20.947525726461254</v>
      </c>
      <c r="BQ118" s="21">
        <f>EXP(-LN(2)/25)*BQ117+(1-EXP(-LN(2)/25))/(LN(2)/25)*Calculateur!BL118*Calculateur!BN118*VLOOKUP('Données projet'!$B$11,Paramètres!$A$1:$I$89,3,0)*0.475*44/12</f>
        <v>10.153236162340406</v>
      </c>
      <c r="BR118" s="21">
        <f>EXP(-LN(2)/2)*BR117+(1-EXP(-LN(2)/2))/(LN(2)/2)*BL118*BO118*VLOOKUP('Données projet'!$B$11,Paramètres!$A$1:$I$89,3,0)*0.475*44/12</f>
        <v>1.3270498526785845E-11</v>
      </c>
      <c r="BS118" s="22">
        <f t="shared" si="63"/>
        <v>31.10076188881493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234.00000000000045</v>
      </c>
      <c r="BZ118" s="13">
        <f>BY118*VLOOKUP('Données projet'!$B$12,Paramètres!$A$1:$I$89,3,0)*VLOOKUP('Données projet'!$B$12,Paramètres!$A$1:$I$89,5,0)</f>
        <v>189.82080000000036</v>
      </c>
      <c r="CA118" s="13">
        <f t="shared" si="93"/>
        <v>47.500332100049881</v>
      </c>
      <c r="CB118" s="20">
        <f t="shared" si="64"/>
        <v>413.33430507425419</v>
      </c>
      <c r="CC118" s="59">
        <f t="shared" si="65"/>
        <v>706.66763840758745</v>
      </c>
      <c r="CD118" s="59">
        <f ca="1">AVERAGE(OFFSET($CC$3,0,0,'Données projet'!$E$12+1,1))-AVERAGE(OFFSET($H$3,0,0,'Données projet'!$E$12+1,1))</f>
        <v>192.4785660463869</v>
      </c>
      <c r="CE118" s="59">
        <f t="shared" si="94"/>
        <v>165.11095806515362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0.15041458717330039</v>
      </c>
      <c r="CL118" s="21">
        <f>EXP(-LN(2)/25)*CL117+(1-EXP(-LN(2)/25))/(LN(2)/25)*Calculateur!CG118*Calculateur!CI118*VLOOKUP('Données projet'!$B$12,Paramètres!$A$1:$I$89,3,0)*0.475*44/12</f>
        <v>0.44724923396829047</v>
      </c>
      <c r="CM118" s="21">
        <f>EXP(-LN(2)/2)*CM117+(1-EXP(-LN(2)/2))/(LN(2)/2)*CG118*CJ118*VLOOKUP('Données projet'!$B$12,Paramètres!$A$1:$I$89,3,0)*0.475*44/12</f>
        <v>1.1773123638002618E-12</v>
      </c>
      <c r="CN118" s="22">
        <f t="shared" si="66"/>
        <v>0.59766382114276817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4.0999999999999996</v>
      </c>
      <c r="CT118" s="12">
        <f>IF('Données projet'!$A$140&gt;35,CT117+CS118-DB117,IF(A118&lt;'Données projet'!$A$140,$CQ$205^A118,IF(A118='Données projet'!$A$140,'Données projet'!$B$140,CT117+CS118-DB117)))</f>
        <v>285.50000000000045</v>
      </c>
      <c r="CU118" s="17">
        <f>CT118*VLOOKUP('Données projet'!$B$13,Paramètres!$A$1:$I$89,3,0)*VLOOKUP('Données projet'!$B$13,Paramètres!$A$1:$I$89,5,0)</f>
        <v>240.5052000000004</v>
      </c>
      <c r="CV118" s="13">
        <f t="shared" si="95"/>
        <v>58.548213417176392</v>
      </c>
      <c r="CW118" s="20">
        <f t="shared" si="67"/>
        <v>520.85136170158285</v>
      </c>
      <c r="CX118" s="59">
        <f t="shared" si="68"/>
        <v>814.1846950349161</v>
      </c>
      <c r="CY118" s="59">
        <f ca="1">AVERAGE(OFFSET($CX$3,0,0,'Données projet'!$E$13+1,1))-AVERAGE(OFFSET($H$3,0,0,'Données projet'!$E$13+1,1))</f>
        <v>247.67539667223065</v>
      </c>
      <c r="CZ118" s="59">
        <f t="shared" si="96"/>
        <v>174.54442616983778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0.23801868739511273</v>
      </c>
      <c r="DG118" s="21">
        <f>EXP(-LN(2)/25)*DG117+(1-EXP(-LN(2)/25))/(LN(2)/25)*Calculateur!DB118*Calculateur!DD118*VLOOKUP('Données projet'!$B$13,Paramètres!$A$1:$I$89,3,0)*0.475*44/12</f>
        <v>0.62285089385862202</v>
      </c>
      <c r="DH118" s="21">
        <f>EXP(-LN(2)/2)*DH117+(1-EXP(-LN(2)/2))/(LN(2)/2)*DB118*DE118*VLOOKUP('Données projet'!$B$13,Paramètres!$A$1:$I$89,3,0)*0.475*44/12</f>
        <v>1.8511620684266759E-12</v>
      </c>
      <c r="DI118" s="22">
        <f t="shared" si="69"/>
        <v>0.86086958125558599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5.3066239316239274</v>
      </c>
      <c r="DO118" s="12">
        <f>IF('Données projet'!$A$166&gt;35,DO117+DN118-DW117,IF(A118&lt;'Données projet'!$A$166,$DL$205^A118,IF(A118='Données projet'!$A$166,'Données projet'!$B$166,DO117+DN118-DW117)))</f>
        <v>225.22863247863214</v>
      </c>
      <c r="DP118" s="17">
        <f>DO118*VLOOKUP('Données projet'!$B$14,Paramètres!$A$1:$I$89,3,0)*VLOOKUP('Données projet'!$B$14,Paramètres!$A$1:$I$89,5,0)</f>
        <v>224.86826666666636</v>
      </c>
      <c r="DQ118" s="13">
        <f t="shared" si="97"/>
        <v>55.17162782387495</v>
      </c>
      <c r="DR118" s="20">
        <f t="shared" si="70"/>
        <v>487.73614957102609</v>
      </c>
      <c r="DS118" s="59">
        <f t="shared" si="71"/>
        <v>781.06948290435935</v>
      </c>
      <c r="DT118" s="59">
        <f ca="1">AVERAGE(OFFSET($DS$3,0,0,'Données projet'!$E$14+1,1))-AVERAGE(OFFSET($H$3,0,0,'Données projet'!$E$14+1,1))</f>
        <v>245.06609107649069</v>
      </c>
      <c r="DU118" s="59">
        <f t="shared" si="98"/>
        <v>156.24531945456499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-2.5579538487363607E-13</v>
      </c>
      <c r="EK118" s="17">
        <f>EJ118*VLOOKUP('Données projet'!$B$15,Paramètres!$A$1:$I$89,3,0)*VLOOKUP('Données projet'!$B$15,Paramètres!$A$1:$I$89,5,0)</f>
        <v>-2.7932856028201057E-13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173.63857221119594</v>
      </c>
      <c r="EP118" s="59">
        <f t="shared" si="100"/>
        <v>52.373745617370105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199.58634493109349</v>
      </c>
      <c r="T119" s="59">
        <f t="shared" si="88"/>
        <v>288.66487031729008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0.91001788720649346</v>
      </c>
      <c r="AA119" s="21">
        <f>EXP(-LN(2)/25)*AA118+(1-EXP(-LN(2)/25))/(LN(2)/25)*Calculateur!V119*Calculateur!X119*VLOOKUP('Données projet'!$B$9,Paramètres!$A$1:$I$89,3,0)*0.475*44/12</f>
        <v>1.5783731771662812</v>
      </c>
      <c r="AB119" s="21">
        <f>EXP(-LN(2)/2)*AB118+(1-EXP(-LN(2)/2))/(LN(2)/2)*V119*Y119*VLOOKUP('Données projet'!$B$9,Paramètres!$A$1:$I$89,3,0)*0.475*44/12</f>
        <v>3.3536501330310267E-13</v>
      </c>
      <c r="AC119" s="22">
        <f t="shared" si="57"/>
        <v>2.48839106437311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606.99999999999989</v>
      </c>
      <c r="AJ119" s="13">
        <f>AI119*VLOOKUP('Données projet'!$B$10,Paramètres!$A$1:$I$89,3,0)*VLOOKUP('Données projet'!$B$10,Paramètres!$A$1:$I$89,5,0)</f>
        <v>362.98599999999999</v>
      </c>
      <c r="AK119" s="13">
        <f t="shared" si="89"/>
        <v>84.230767602863935</v>
      </c>
      <c r="AL119" s="20">
        <f t="shared" si="58"/>
        <v>778.90253690832139</v>
      </c>
      <c r="AM119" s="59">
        <f t="shared" si="59"/>
        <v>1072.2358702416548</v>
      </c>
      <c r="AN119" s="59">
        <f ca="1">AVERAGE(OFFSET($AM$3,0,0,'Données projet'!$E$10+1,1))-AVERAGE(OFFSET($H$3,0,0,'Données projet'!$E$10+1,1))</f>
        <v>395.40396173178527</v>
      </c>
      <c r="AO119" s="59">
        <f t="shared" si="90"/>
        <v>304.68075128568756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0.54606914337339818</v>
      </c>
      <c r="AV119" s="21">
        <f>EXP(-LN(2)/25)*AV118+(1-EXP(-LN(2)/25))/(LN(2)/25)*Calculateur!AQ119*Calculateur!AS119*VLOOKUP('Données projet'!$B$10,Paramètres!$A$1:$I$89,3,0)*0.475*44/12</f>
        <v>1.7226280978481756</v>
      </c>
      <c r="AW119" s="21">
        <f>EXP(-LN(2)/2)*AW118+(1-EXP(-LN(2)/2))/(LN(2)/2)*AQ119*AT119*VLOOKUP('Données projet'!$B$10,Paramètres!$A$1:$I$89,3,0)*0.475*44/12</f>
        <v>2.9565426611813737E-12</v>
      </c>
      <c r="AX119" s="21">
        <f t="shared" si="60"/>
        <v>2.2686972412245305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36.10000000000008</v>
      </c>
      <c r="BE119" s="13">
        <f>BD119*VLOOKUP('Données projet'!$B$11,Paramètres!$A$1:$I$89,3,0)*VLOOKUP('Données projet'!$B$11,Paramètres!$A$1:$I$89,5,0)</f>
        <v>31.536960000000075</v>
      </c>
      <c r="BF119" s="13">
        <f t="shared" si="91"/>
        <v>9.725440120377133</v>
      </c>
      <c r="BG119" s="20">
        <f t="shared" si="61"/>
        <v>71.865346876323642</v>
      </c>
      <c r="BH119" s="59">
        <f t="shared" si="62"/>
        <v>365.19868020965697</v>
      </c>
      <c r="BI119" s="59">
        <f ca="1">AVERAGE(OFFSET($BH$3,0,0,'Données projet'!$E$11+1,1))-AVERAGE(OFFSET($H$3,0,0,'Données projet'!$E$11+1,1))</f>
        <v>249.21292089724221</v>
      </c>
      <c r="BJ119" s="59">
        <f t="shared" si="92"/>
        <v>640.80644476065254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20.536757523694444</v>
      </c>
      <c r="BQ119" s="21">
        <f>EXP(-LN(2)/25)*BQ118+(1-EXP(-LN(2)/25))/(LN(2)/25)*Calculateur!BL119*Calculateur!BN119*VLOOKUP('Données projet'!$B$11,Paramètres!$A$1:$I$89,3,0)*0.475*44/12</f>
        <v>9.8755953855457239</v>
      </c>
      <c r="BR119" s="21">
        <f>EXP(-LN(2)/2)*BR118+(1-EXP(-LN(2)/2))/(LN(2)/2)*BL119*BO119*VLOOKUP('Données projet'!$B$11,Paramètres!$A$1:$I$89,3,0)*0.475*44/12</f>
        <v>9.3836594980163596E-12</v>
      </c>
      <c r="BS119" s="22">
        <f t="shared" si="63"/>
        <v>30.412352909249552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234.00000000000045</v>
      </c>
      <c r="BZ119" s="13">
        <f>BY119*VLOOKUP('Données projet'!$B$12,Paramètres!$A$1:$I$89,3,0)*VLOOKUP('Données projet'!$B$12,Paramètres!$A$1:$I$89,5,0)</f>
        <v>189.82080000000036</v>
      </c>
      <c r="CA119" s="13">
        <f t="shared" si="93"/>
        <v>47.500332100049881</v>
      </c>
      <c r="CB119" s="20">
        <f t="shared" si="64"/>
        <v>413.33430507425419</v>
      </c>
      <c r="CC119" s="59">
        <f t="shared" si="65"/>
        <v>706.66763840758745</v>
      </c>
      <c r="CD119" s="59">
        <f ca="1">AVERAGE(OFFSET($CC$3,0,0,'Données projet'!$E$12+1,1))-AVERAGE(OFFSET($H$3,0,0,'Données projet'!$E$12+1,1))</f>
        <v>192.4785660463869</v>
      </c>
      <c r="CE119" s="59">
        <f t="shared" si="94"/>
        <v>165.11095806515362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0.1474650488626712</v>
      </c>
      <c r="CL119" s="21">
        <f>EXP(-LN(2)/25)*CL118+(1-EXP(-LN(2)/25))/(LN(2)/25)*Calculateur!CG119*Calculateur!CI119*VLOOKUP('Données projet'!$B$12,Paramètres!$A$1:$I$89,3,0)*0.475*44/12</f>
        <v>0.43501918014561258</v>
      </c>
      <c r="CM119" s="21">
        <f>EXP(-LN(2)/2)*CM118+(1-EXP(-LN(2)/2))/(LN(2)/2)*CG119*CJ119*VLOOKUP('Données projet'!$B$12,Paramètres!$A$1:$I$89,3,0)*0.475*44/12</f>
        <v>8.3248555601792876E-13</v>
      </c>
      <c r="CN119" s="22">
        <f t="shared" si="66"/>
        <v>0.58248422900911623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4.0999999999999996</v>
      </c>
      <c r="CT119" s="12">
        <f>IF('Données projet'!$A$140&gt;35,CT118+CS119-DB118,IF(A119&lt;'Données projet'!$A$140,$CQ$205^A119,IF(A119='Données projet'!$A$140,'Données projet'!$B$140,CT118+CS119-DB118)))</f>
        <v>289.60000000000048</v>
      </c>
      <c r="CU119" s="17">
        <f>CT119*VLOOKUP('Données projet'!$B$13,Paramètres!$A$1:$I$89,3,0)*VLOOKUP('Données projet'!$B$13,Paramètres!$A$1:$I$89,5,0)</f>
        <v>243.95904000000044</v>
      </c>
      <c r="CV119" s="13">
        <f t="shared" si="95"/>
        <v>59.290524409353146</v>
      </c>
      <c r="CW119" s="20">
        <f t="shared" si="67"/>
        <v>528.15965801295749</v>
      </c>
      <c r="CX119" s="59">
        <f t="shared" si="68"/>
        <v>821.49299134629086</v>
      </c>
      <c r="CY119" s="59">
        <f ca="1">AVERAGE(OFFSET($CX$3,0,0,'Données projet'!$E$13+1,1))-AVERAGE(OFFSET($H$3,0,0,'Données projet'!$E$13+1,1))</f>
        <v>247.67539667223065</v>
      </c>
      <c r="CZ119" s="59">
        <f t="shared" si="96"/>
        <v>174.54442616983778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0.23335128611235884</v>
      </c>
      <c r="DG119" s="21">
        <f>EXP(-LN(2)/25)*DG118+(1-EXP(-LN(2)/25))/(LN(2)/25)*Calculateur!DB119*Calculateur!DD119*VLOOKUP('Données projet'!$B$13,Paramètres!$A$1:$I$89,3,0)*0.475*44/12</f>
        <v>0.60581900341175299</v>
      </c>
      <c r="DH119" s="21">
        <f>EXP(-LN(2)/2)*DH118+(1-EXP(-LN(2)/2))/(LN(2)/2)*DB119*DE119*VLOOKUP('Données projet'!$B$13,Paramètres!$A$1:$I$89,3,0)*0.475*44/12</f>
        <v>1.3089692516598183E-12</v>
      </c>
      <c r="DI119" s="22">
        <f t="shared" si="69"/>
        <v>0.83917028952542072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5.3066239316239274</v>
      </c>
      <c r="DO119" s="12">
        <f>IF('Données projet'!$A$166&gt;35,DO118+DN119-DW118,IF(A119&lt;'Données projet'!$A$166,$DL$205^A119,IF(A119='Données projet'!$A$166,'Données projet'!$B$166,DO118+DN119-DW118)))</f>
        <v>230.53525641025607</v>
      </c>
      <c r="DP119" s="17">
        <f>DO119*VLOOKUP('Données projet'!$B$14,Paramètres!$A$1:$I$89,3,0)*VLOOKUP('Données projet'!$B$14,Paramètres!$A$1:$I$89,5,0)</f>
        <v>230.16639999999967</v>
      </c>
      <c r="DQ119" s="13">
        <f t="shared" si="97"/>
        <v>56.318659587009854</v>
      </c>
      <c r="DR119" s="20">
        <f t="shared" si="70"/>
        <v>498.96147878070821</v>
      </c>
      <c r="DS119" s="59">
        <f t="shared" si="71"/>
        <v>792.29481211404152</v>
      </c>
      <c r="DT119" s="59">
        <f ca="1">AVERAGE(OFFSET($DS$3,0,0,'Données projet'!$E$14+1,1))-AVERAGE(OFFSET($H$3,0,0,'Données projet'!$E$14+1,1))</f>
        <v>245.06609107649069</v>
      </c>
      <c r="DU119" s="59">
        <f t="shared" si="98"/>
        <v>156.24531945456499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-2.5579538487363607E-13</v>
      </c>
      <c r="EK119" s="17">
        <f>EJ119*VLOOKUP('Données projet'!$B$15,Paramètres!$A$1:$I$89,3,0)*VLOOKUP('Données projet'!$B$15,Paramètres!$A$1:$I$89,5,0)</f>
        <v>-2.7932856028201057E-13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173.63857221119594</v>
      </c>
      <c r="EP119" s="59">
        <f t="shared" si="100"/>
        <v>52.373745617370105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199.58634493109349</v>
      </c>
      <c r="T120" s="59">
        <f t="shared" si="88"/>
        <v>288.66487031729008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0.89217299149447804</v>
      </c>
      <c r="AA120" s="21">
        <f>EXP(-LN(2)/25)*AA119+(1-EXP(-LN(2)/25))/(LN(2)/25)*Calculateur!V120*Calculateur!X120*VLOOKUP('Données projet'!$B$9,Paramètres!$A$1:$I$89,3,0)*0.475*44/12</f>
        <v>1.5352124796336313</v>
      </c>
      <c r="AB120" s="21">
        <f>EXP(-LN(2)/2)*AB119+(1-EXP(-LN(2)/2))/(LN(2)/2)*V120*Y120*VLOOKUP('Données projet'!$B$9,Paramètres!$A$1:$I$89,3,0)*0.475*44/12</f>
        <v>2.3713887507934062E-13</v>
      </c>
      <c r="AC120" s="22">
        <f t="shared" si="57"/>
        <v>2.4273854711283462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606.99999999999989</v>
      </c>
      <c r="AJ120" s="13">
        <f>AI120*VLOOKUP('Données projet'!$B$10,Paramètres!$A$1:$I$89,3,0)*VLOOKUP('Données projet'!$B$10,Paramètres!$A$1:$I$89,5,0)</f>
        <v>362.98599999999999</v>
      </c>
      <c r="AK120" s="13">
        <f t="shared" si="89"/>
        <v>84.230767602863935</v>
      </c>
      <c r="AL120" s="20">
        <f t="shared" si="58"/>
        <v>778.90253690832139</v>
      </c>
      <c r="AM120" s="59">
        <f t="shared" si="59"/>
        <v>1072.2358702416548</v>
      </c>
      <c r="AN120" s="59">
        <f ca="1">AVERAGE(OFFSET($AM$3,0,0,'Données projet'!$E$10+1,1))-AVERAGE(OFFSET($H$3,0,0,'Données projet'!$E$10+1,1))</f>
        <v>395.40396173178527</v>
      </c>
      <c r="AO120" s="59">
        <f t="shared" si="90"/>
        <v>304.68075128568756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0.53536106054113541</v>
      </c>
      <c r="AV120" s="21">
        <f>EXP(-LN(2)/25)*AV119+(1-EXP(-LN(2)/25))/(LN(2)/25)*Calculateur!AQ120*Calculateur!AS120*VLOOKUP('Données projet'!$B$10,Paramètres!$A$1:$I$89,3,0)*0.475*44/12</f>
        <v>1.6755227419234426</v>
      </c>
      <c r="AW120" s="21">
        <f>EXP(-LN(2)/2)*AW119+(1-EXP(-LN(2)/2))/(LN(2)/2)*AQ120*AT120*VLOOKUP('Données projet'!$B$10,Paramètres!$A$1:$I$89,3,0)*0.475*44/12</f>
        <v>2.0905913645886705E-12</v>
      </c>
      <c r="AX120" s="21">
        <f t="shared" si="60"/>
        <v>2.210883802466669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36.10000000000008</v>
      </c>
      <c r="BE120" s="13">
        <f>BD120*VLOOKUP('Données projet'!$B$11,Paramètres!$A$1:$I$89,3,0)*VLOOKUP('Données projet'!$B$11,Paramètres!$A$1:$I$89,5,0)</f>
        <v>31.536960000000075</v>
      </c>
      <c r="BF120" s="13">
        <f t="shared" si="91"/>
        <v>9.725440120377133</v>
      </c>
      <c r="BG120" s="20">
        <f t="shared" si="61"/>
        <v>71.865346876323642</v>
      </c>
      <c r="BH120" s="59">
        <f t="shared" si="62"/>
        <v>365.19868020965697</v>
      </c>
      <c r="BI120" s="59">
        <f ca="1">AVERAGE(OFFSET($BH$3,0,0,'Données projet'!$E$11+1,1))-AVERAGE(OFFSET($H$3,0,0,'Données projet'!$E$11+1,1))</f>
        <v>249.21292089724221</v>
      </c>
      <c r="BJ120" s="59">
        <f t="shared" si="92"/>
        <v>640.80644476065254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20.134044234840026</v>
      </c>
      <c r="BQ120" s="21">
        <f>EXP(-LN(2)/25)*BQ119+(1-EXP(-LN(2)/25))/(LN(2)/25)*Calculateur!BL120*Calculateur!BN120*VLOOKUP('Données projet'!$B$11,Paramètres!$A$1:$I$89,3,0)*0.475*44/12</f>
        <v>9.6055467103929857</v>
      </c>
      <c r="BR120" s="21">
        <f>EXP(-LN(2)/2)*BR119+(1-EXP(-LN(2)/2))/(LN(2)/2)*BL120*BO120*VLOOKUP('Données projet'!$B$11,Paramètres!$A$1:$I$89,3,0)*0.475*44/12</f>
        <v>6.6352492633929225E-12</v>
      </c>
      <c r="BS120" s="22">
        <f t="shared" si="63"/>
        <v>29.739590945239648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234.00000000000045</v>
      </c>
      <c r="BZ120" s="13">
        <f>BY120*VLOOKUP('Données projet'!$B$12,Paramètres!$A$1:$I$89,3,0)*VLOOKUP('Données projet'!$B$12,Paramètres!$A$1:$I$89,5,0)</f>
        <v>189.82080000000036</v>
      </c>
      <c r="CA120" s="13">
        <f t="shared" si="93"/>
        <v>47.500332100049881</v>
      </c>
      <c r="CB120" s="20">
        <f t="shared" si="64"/>
        <v>413.33430507425419</v>
      </c>
      <c r="CC120" s="59">
        <f t="shared" si="65"/>
        <v>706.66763840758745</v>
      </c>
      <c r="CD120" s="59">
        <f ca="1">AVERAGE(OFFSET($CC$3,0,0,'Données projet'!$E$12+1,1))-AVERAGE(OFFSET($H$3,0,0,'Données projet'!$E$12+1,1))</f>
        <v>192.4785660463869</v>
      </c>
      <c r="CE120" s="59">
        <f t="shared" si="94"/>
        <v>165.11095806515362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0.1445733491992727</v>
      </c>
      <c r="CL120" s="21">
        <f>EXP(-LN(2)/25)*CL119+(1-EXP(-LN(2)/25))/(LN(2)/25)*Calculateur!CG120*Calculateur!CI120*VLOOKUP('Données projet'!$B$12,Paramètres!$A$1:$I$89,3,0)*0.475*44/12</f>
        <v>0.42312355778786637</v>
      </c>
      <c r="CM120" s="21">
        <f>EXP(-LN(2)/2)*CM119+(1-EXP(-LN(2)/2))/(LN(2)/2)*CG120*CJ120*VLOOKUP('Données projet'!$B$12,Paramètres!$A$1:$I$89,3,0)*0.475*44/12</f>
        <v>5.886561819001309E-13</v>
      </c>
      <c r="CN120" s="22">
        <f t="shared" si="66"/>
        <v>0.56769690698772768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4.0999999999999996</v>
      </c>
      <c r="CT120" s="12">
        <f>IF('Données projet'!$A$140&gt;35,CT119+CS120-DB119,IF(A120&lt;'Données projet'!$A$140,$CQ$205^A120,IF(A120='Données projet'!$A$140,'Données projet'!$B$140,CT119+CS120-DB119)))</f>
        <v>293.7000000000005</v>
      </c>
      <c r="CU120" s="17">
        <f>CT120*VLOOKUP('Données projet'!$B$13,Paramètres!$A$1:$I$89,3,0)*VLOOKUP('Données projet'!$B$13,Paramètres!$A$1:$I$89,5,0)</f>
        <v>247.41288000000043</v>
      </c>
      <c r="CV120" s="13">
        <f t="shared" si="95"/>
        <v>60.031613090536418</v>
      </c>
      <c r="CW120" s="20">
        <f t="shared" si="67"/>
        <v>535.46582546601837</v>
      </c>
      <c r="CX120" s="59">
        <f t="shared" si="68"/>
        <v>828.79915879935174</v>
      </c>
      <c r="CY120" s="59">
        <f ca="1">AVERAGE(OFFSET($CX$3,0,0,'Données projet'!$E$13+1,1))-AVERAGE(OFFSET($H$3,0,0,'Données projet'!$E$13+1,1))</f>
        <v>247.67539667223065</v>
      </c>
      <c r="CZ120" s="59">
        <f t="shared" si="96"/>
        <v>174.54442616983778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0.22877540972192606</v>
      </c>
      <c r="DG120" s="21">
        <f>EXP(-LN(2)/25)*DG119+(1-EXP(-LN(2)/25))/(LN(2)/25)*Calculateur!DB120*Calculateur!DD120*VLOOKUP('Données projet'!$B$13,Paramètres!$A$1:$I$89,3,0)*0.475*44/12</f>
        <v>0.58925285090482182</v>
      </c>
      <c r="DH120" s="21">
        <f>EXP(-LN(2)/2)*DH119+(1-EXP(-LN(2)/2))/(LN(2)/2)*DB120*DE120*VLOOKUP('Données projet'!$B$13,Paramètres!$A$1:$I$89,3,0)*0.475*44/12</f>
        <v>9.2558103421333796E-13</v>
      </c>
      <c r="DI120" s="22">
        <f t="shared" si="69"/>
        <v>0.81802826062767353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5.3066239316239274</v>
      </c>
      <c r="DO120" s="12">
        <f>IF('Données projet'!$A$166&gt;35,DO119+DN120-DW119,IF(A120&lt;'Données projet'!$A$166,$DL$205^A120,IF(A120='Données projet'!$A$166,'Données projet'!$B$166,DO119+DN120-DW119)))</f>
        <v>235.84188034188</v>
      </c>
      <c r="DP120" s="17">
        <f>DO120*VLOOKUP('Données projet'!$B$14,Paramètres!$A$1:$I$89,3,0)*VLOOKUP('Données projet'!$B$14,Paramètres!$A$1:$I$89,5,0)</f>
        <v>235.46453333333298</v>
      </c>
      <c r="DQ120" s="13">
        <f t="shared" si="97"/>
        <v>57.462621845950345</v>
      </c>
      <c r="DR120" s="20">
        <f t="shared" si="70"/>
        <v>510.1814619372517</v>
      </c>
      <c r="DS120" s="59">
        <f t="shared" si="71"/>
        <v>803.51479527058495</v>
      </c>
      <c r="DT120" s="59">
        <f ca="1">AVERAGE(OFFSET($DS$3,0,0,'Données projet'!$E$14+1,1))-AVERAGE(OFFSET($H$3,0,0,'Données projet'!$E$14+1,1))</f>
        <v>245.06609107649069</v>
      </c>
      <c r="DU120" s="59">
        <f t="shared" si="98"/>
        <v>156.24531945456499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-2.5579538487363607E-13</v>
      </c>
      <c r="EK120" s="17">
        <f>EJ120*VLOOKUP('Données projet'!$B$15,Paramètres!$A$1:$I$89,3,0)*VLOOKUP('Données projet'!$B$15,Paramètres!$A$1:$I$89,5,0)</f>
        <v>-2.7932856028201057E-13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173.63857221119594</v>
      </c>
      <c r="EP120" s="59">
        <f t="shared" si="100"/>
        <v>52.373745617370105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199.58634493109349</v>
      </c>
      <c r="T121" s="59">
        <f t="shared" si="88"/>
        <v>288.66487031729008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0.87467802330306366</v>
      </c>
      <c r="AA121" s="21">
        <f>EXP(-LN(2)/25)*AA120+(1-EXP(-LN(2)/25))/(LN(2)/25)*Calculateur!V121*Calculateur!X121*VLOOKUP('Données projet'!$B$9,Paramètres!$A$1:$I$89,3,0)*0.475*44/12</f>
        <v>1.4932320136447341</v>
      </c>
      <c r="AB121" s="21">
        <f>EXP(-LN(2)/2)*AB120+(1-EXP(-LN(2)/2))/(LN(2)/2)*V121*Y121*VLOOKUP('Données projet'!$B$9,Paramètres!$A$1:$I$89,3,0)*0.475*44/12</f>
        <v>1.6768250665155134E-13</v>
      </c>
      <c r="AC121" s="22">
        <f t="shared" si="57"/>
        <v>2.3679100369479658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606.99999999999989</v>
      </c>
      <c r="AJ121" s="13">
        <f>AI121*VLOOKUP('Données projet'!$B$10,Paramètres!$A$1:$I$89,3,0)*VLOOKUP('Données projet'!$B$10,Paramètres!$A$1:$I$89,5,0)</f>
        <v>362.98599999999999</v>
      </c>
      <c r="AK121" s="13">
        <f t="shared" si="89"/>
        <v>84.230767602863935</v>
      </c>
      <c r="AL121" s="20">
        <f t="shared" si="58"/>
        <v>778.90253690832139</v>
      </c>
      <c r="AM121" s="59">
        <f t="shared" si="59"/>
        <v>1072.2358702416548</v>
      </c>
      <c r="AN121" s="59">
        <f ca="1">AVERAGE(OFFSET($AM$3,0,0,'Données projet'!$E$10+1,1))-AVERAGE(OFFSET($H$3,0,0,'Données projet'!$E$10+1,1))</f>
        <v>395.40396173178527</v>
      </c>
      <c r="AO121" s="59">
        <f t="shared" si="90"/>
        <v>304.68075128568756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0.52486295668192773</v>
      </c>
      <c r="AV121" s="21">
        <f>EXP(-LN(2)/25)*AV120+(1-EXP(-LN(2)/25))/(LN(2)/25)*Calculateur!AQ121*Calculateur!AS121*VLOOKUP('Données projet'!$B$10,Paramètres!$A$1:$I$89,3,0)*0.475*44/12</f>
        <v>1.6297054844336345</v>
      </c>
      <c r="AW121" s="21">
        <f>EXP(-LN(2)/2)*AW120+(1-EXP(-LN(2)/2))/(LN(2)/2)*AQ121*AT121*VLOOKUP('Données projet'!$B$10,Paramètres!$A$1:$I$89,3,0)*0.475*44/12</f>
        <v>1.4782713305906868E-12</v>
      </c>
      <c r="AX121" s="21">
        <f t="shared" si="60"/>
        <v>2.1545684411170405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36.10000000000008</v>
      </c>
      <c r="BE121" s="13">
        <f>BD121*VLOOKUP('Données projet'!$B$11,Paramètres!$A$1:$I$89,3,0)*VLOOKUP('Données projet'!$B$11,Paramètres!$A$1:$I$89,5,0)</f>
        <v>31.536960000000075</v>
      </c>
      <c r="BF121" s="13">
        <f t="shared" si="91"/>
        <v>9.725440120377133</v>
      </c>
      <c r="BG121" s="20">
        <f t="shared" si="61"/>
        <v>71.865346876323642</v>
      </c>
      <c r="BH121" s="59">
        <f t="shared" si="62"/>
        <v>365.19868020965697</v>
      </c>
      <c r="BI121" s="59">
        <f ca="1">AVERAGE(OFFSET($BH$3,0,0,'Données projet'!$E$11+1,1))-AVERAGE(OFFSET($H$3,0,0,'Données projet'!$E$11+1,1))</f>
        <v>249.21292089724221</v>
      </c>
      <c r="BJ121" s="59">
        <f t="shared" si="92"/>
        <v>640.80644476065254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19.739227907949193</v>
      </c>
      <c r="BQ121" s="21">
        <f>EXP(-LN(2)/25)*BQ120+(1-EXP(-LN(2)/25))/(LN(2)/25)*Calculateur!BL121*Calculateur!BN121*VLOOKUP('Données projet'!$B$11,Paramètres!$A$1:$I$89,3,0)*0.475*44/12</f>
        <v>9.342882530463541</v>
      </c>
      <c r="BR121" s="21">
        <f>EXP(-LN(2)/2)*BR120+(1-EXP(-LN(2)/2))/(LN(2)/2)*BL121*BO121*VLOOKUP('Données projet'!$B$11,Paramètres!$A$1:$I$89,3,0)*0.475*44/12</f>
        <v>4.6918297490081798E-12</v>
      </c>
      <c r="BS121" s="22">
        <f t="shared" si="63"/>
        <v>29.082110438417427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234.00000000000045</v>
      </c>
      <c r="BZ121" s="13">
        <f>BY121*VLOOKUP('Données projet'!$B$12,Paramètres!$A$1:$I$89,3,0)*VLOOKUP('Données projet'!$B$12,Paramètres!$A$1:$I$89,5,0)</f>
        <v>189.82080000000036</v>
      </c>
      <c r="CA121" s="13">
        <f t="shared" si="93"/>
        <v>47.500332100049881</v>
      </c>
      <c r="CB121" s="20">
        <f t="shared" si="64"/>
        <v>413.33430507425419</v>
      </c>
      <c r="CC121" s="59">
        <f t="shared" si="65"/>
        <v>706.66763840758745</v>
      </c>
      <c r="CD121" s="59">
        <f ca="1">AVERAGE(OFFSET($CC$3,0,0,'Données projet'!$E$12+1,1))-AVERAGE(OFFSET($H$3,0,0,'Données projet'!$E$12+1,1))</f>
        <v>192.4785660463869</v>
      </c>
      <c r="CE121" s="59">
        <f t="shared" si="94"/>
        <v>165.11095806515362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0.14173835400251081</v>
      </c>
      <c r="CL121" s="21">
        <f>EXP(-LN(2)/25)*CL120+(1-EXP(-LN(2)/25))/(LN(2)/25)*Calculateur!CG121*Calculateur!CI121*VLOOKUP('Données projet'!$B$12,Paramètres!$A$1:$I$89,3,0)*0.475*44/12</f>
        <v>0.41155322184905629</v>
      </c>
      <c r="CM121" s="21">
        <f>EXP(-LN(2)/2)*CM120+(1-EXP(-LN(2)/2))/(LN(2)/2)*CG121*CJ121*VLOOKUP('Données projet'!$B$12,Paramètres!$A$1:$I$89,3,0)*0.475*44/12</f>
        <v>4.1624277800896438E-13</v>
      </c>
      <c r="CN121" s="22">
        <f t="shared" si="66"/>
        <v>0.5532915758519833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4.0999999999999996</v>
      </c>
      <c r="CT121" s="12">
        <f>IF('Données projet'!$A$140&gt;35,CT120+CS121-DB120,IF(A121&lt;'Données projet'!$A$140,$CQ$205^A121,IF(A121='Données projet'!$A$140,'Données projet'!$B$140,CT120+CS121-DB120)))</f>
        <v>297.80000000000052</v>
      </c>
      <c r="CU121" s="17">
        <f>CT121*VLOOKUP('Données projet'!$B$13,Paramètres!$A$1:$I$89,3,0)*VLOOKUP('Données projet'!$B$13,Paramètres!$A$1:$I$89,5,0)</f>
        <v>250.86672000000047</v>
      </c>
      <c r="CV121" s="13">
        <f t="shared" si="95"/>
        <v>60.771498495908666</v>
      </c>
      <c r="CW121" s="20">
        <f t="shared" si="67"/>
        <v>542.76989721370842</v>
      </c>
      <c r="CX121" s="59">
        <f t="shared" si="68"/>
        <v>836.10323054704168</v>
      </c>
      <c r="CY121" s="59">
        <f ca="1">AVERAGE(OFFSET($CX$3,0,0,'Données projet'!$E$13+1,1))-AVERAGE(OFFSET($H$3,0,0,'Données projet'!$E$13+1,1))</f>
        <v>247.67539667223065</v>
      </c>
      <c r="CZ121" s="59">
        <f t="shared" si="96"/>
        <v>174.54442616983778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0.22428926347650066</v>
      </c>
      <c r="DG121" s="21">
        <f>EXP(-LN(2)/25)*DG120+(1-EXP(-LN(2)/25))/(LN(2)/25)*Calculateur!DB121*Calculateur!DD121*VLOOKUP('Données projet'!$B$13,Paramètres!$A$1:$I$89,3,0)*0.475*44/12</f>
        <v>0.57313970070936882</v>
      </c>
      <c r="DH121" s="21">
        <f>EXP(-LN(2)/2)*DH120+(1-EXP(-LN(2)/2))/(LN(2)/2)*DB121*DE121*VLOOKUP('Données projet'!$B$13,Paramètres!$A$1:$I$89,3,0)*0.475*44/12</f>
        <v>6.5448462582990914E-13</v>
      </c>
      <c r="DI121" s="22">
        <f t="shared" si="69"/>
        <v>0.79742896418652398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5.3066239316239274</v>
      </c>
      <c r="DO121" s="12">
        <f>IF('Données projet'!$A$166&gt;35,DO120+DN121-DW120,IF(A121&lt;'Données projet'!$A$166,$DL$205^A121,IF(A121='Données projet'!$A$166,'Données projet'!$B$166,DO120+DN121-DW120)))</f>
        <v>241.14850427350393</v>
      </c>
      <c r="DP121" s="17">
        <f>DO121*VLOOKUP('Données projet'!$B$14,Paramètres!$A$1:$I$89,3,0)*VLOOKUP('Données projet'!$B$14,Paramètres!$A$1:$I$89,5,0)</f>
        <v>240.76266666666635</v>
      </c>
      <c r="DQ121" s="13">
        <f t="shared" si="97"/>
        <v>58.603591618457919</v>
      </c>
      <c r="DR121" s="20">
        <f t="shared" si="70"/>
        <v>521.39623317992471</v>
      </c>
      <c r="DS121" s="59">
        <f t="shared" si="71"/>
        <v>814.72956651325808</v>
      </c>
      <c r="DT121" s="59">
        <f ca="1">AVERAGE(OFFSET($DS$3,0,0,'Données projet'!$E$14+1,1))-AVERAGE(OFFSET($H$3,0,0,'Données projet'!$E$14+1,1))</f>
        <v>245.06609107649069</v>
      </c>
      <c r="DU121" s="59">
        <f t="shared" si="98"/>
        <v>156.24531945456499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-2.5579538487363607E-13</v>
      </c>
      <c r="EK121" s="17">
        <f>EJ121*VLOOKUP('Données projet'!$B$15,Paramètres!$A$1:$I$89,3,0)*VLOOKUP('Données projet'!$B$15,Paramètres!$A$1:$I$89,5,0)</f>
        <v>-2.7932856028201057E-13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173.63857221119594</v>
      </c>
      <c r="EP121" s="59">
        <f t="shared" si="100"/>
        <v>52.373745617370105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199.58634493109349</v>
      </c>
      <c r="T122" s="59">
        <f t="shared" si="88"/>
        <v>288.66487031729008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0.85752612076700596</v>
      </c>
      <c r="AA122" s="21">
        <f>EXP(-LN(2)/25)*AA121+(1-EXP(-LN(2)/25))/(LN(2)/25)*Calculateur!V122*Calculateur!X122*VLOOKUP('Données projet'!$B$9,Paramètres!$A$1:$I$89,3,0)*0.475*44/12</f>
        <v>1.45239950570596</v>
      </c>
      <c r="AB122" s="21">
        <f>EXP(-LN(2)/2)*AB121+(1-EXP(-LN(2)/2))/(LN(2)/2)*V122*Y122*VLOOKUP('Données projet'!$B$9,Paramètres!$A$1:$I$89,3,0)*0.475*44/12</f>
        <v>1.1856943753967031E-13</v>
      </c>
      <c r="AC122" s="22">
        <f t="shared" si="57"/>
        <v>2.3099256264730843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606.99999999999989</v>
      </c>
      <c r="AJ122" s="13">
        <f>AI122*VLOOKUP('Données projet'!$B$10,Paramètres!$A$1:$I$89,3,0)*VLOOKUP('Données projet'!$B$10,Paramètres!$A$1:$I$89,5,0)</f>
        <v>362.98599999999999</v>
      </c>
      <c r="AK122" s="13">
        <f t="shared" si="89"/>
        <v>84.230767602863935</v>
      </c>
      <c r="AL122" s="20">
        <f t="shared" si="58"/>
        <v>778.90253690832139</v>
      </c>
      <c r="AM122" s="59">
        <f t="shared" si="59"/>
        <v>1072.2358702416548</v>
      </c>
      <c r="AN122" s="59">
        <f ca="1">AVERAGE(OFFSET($AM$3,0,0,'Données projet'!$E$10+1,1))-AVERAGE(OFFSET($H$3,0,0,'Données projet'!$E$10+1,1))</f>
        <v>395.40396173178527</v>
      </c>
      <c r="AO122" s="59">
        <f t="shared" si="90"/>
        <v>304.68075128568756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0.51457071423618805</v>
      </c>
      <c r="AV122" s="21">
        <f>EXP(-LN(2)/25)*AV121+(1-EXP(-LN(2)/25))/(LN(2)/25)*Calculateur!AQ122*Calculateur!AS122*VLOOKUP('Données projet'!$B$10,Paramètres!$A$1:$I$89,3,0)*0.475*44/12</f>
        <v>1.58514110225931</v>
      </c>
      <c r="AW122" s="21">
        <f>EXP(-LN(2)/2)*AW121+(1-EXP(-LN(2)/2))/(LN(2)/2)*AQ122*AT122*VLOOKUP('Données projet'!$B$10,Paramètres!$A$1:$I$89,3,0)*0.475*44/12</f>
        <v>1.0452956822943352E-12</v>
      </c>
      <c r="AX122" s="21">
        <f t="shared" si="60"/>
        <v>2.0997118164965434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36.10000000000008</v>
      </c>
      <c r="BE122" s="13">
        <f>BD122*VLOOKUP('Données projet'!$B$11,Paramètres!$A$1:$I$89,3,0)*VLOOKUP('Données projet'!$B$11,Paramètres!$A$1:$I$89,5,0)</f>
        <v>31.536960000000075</v>
      </c>
      <c r="BF122" s="13">
        <f t="shared" si="91"/>
        <v>9.725440120377133</v>
      </c>
      <c r="BG122" s="20">
        <f t="shared" si="61"/>
        <v>71.865346876323642</v>
      </c>
      <c r="BH122" s="59">
        <f t="shared" si="62"/>
        <v>365.19868020965697</v>
      </c>
      <c r="BI122" s="59">
        <f ca="1">AVERAGE(OFFSET($BH$3,0,0,'Données projet'!$E$11+1,1))-AVERAGE(OFFSET($H$3,0,0,'Données projet'!$E$11+1,1))</f>
        <v>249.21292089724221</v>
      </c>
      <c r="BJ122" s="59">
        <f t="shared" si="92"/>
        <v>640.80644476065254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19.352153688414507</v>
      </c>
      <c r="BQ122" s="21">
        <f>EXP(-LN(2)/25)*BQ121+(1-EXP(-LN(2)/25))/(LN(2)/25)*Calculateur!BL122*Calculateur!BN122*VLOOKUP('Données projet'!$B$11,Paramètres!$A$1:$I$89,3,0)*0.475*44/12</f>
        <v>9.0874009163471765</v>
      </c>
      <c r="BR122" s="21">
        <f>EXP(-LN(2)/2)*BR121+(1-EXP(-LN(2)/2))/(LN(2)/2)*BL122*BO122*VLOOKUP('Données projet'!$B$11,Paramètres!$A$1:$I$89,3,0)*0.475*44/12</f>
        <v>3.3176246316964612E-12</v>
      </c>
      <c r="BS122" s="22">
        <f t="shared" si="63"/>
        <v>28.439554604765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234.00000000000045</v>
      </c>
      <c r="BZ122" s="13">
        <f>BY122*VLOOKUP('Données projet'!$B$12,Paramètres!$A$1:$I$89,3,0)*VLOOKUP('Données projet'!$B$12,Paramètres!$A$1:$I$89,5,0)</f>
        <v>189.82080000000036</v>
      </c>
      <c r="CA122" s="13">
        <f t="shared" si="93"/>
        <v>47.500332100049881</v>
      </c>
      <c r="CB122" s="20">
        <f t="shared" si="64"/>
        <v>413.33430507425419</v>
      </c>
      <c r="CC122" s="59">
        <f t="shared" si="65"/>
        <v>706.66763840758745</v>
      </c>
      <c r="CD122" s="59">
        <f ca="1">AVERAGE(OFFSET($CC$3,0,0,'Données projet'!$E$12+1,1))-AVERAGE(OFFSET($H$3,0,0,'Données projet'!$E$12+1,1))</f>
        <v>192.4785660463869</v>
      </c>
      <c r="CE122" s="59">
        <f t="shared" si="94"/>
        <v>165.11095806515362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0.13895895133238109</v>
      </c>
      <c r="CL122" s="21">
        <f>EXP(-LN(2)/25)*CL121+(1-EXP(-LN(2)/25))/(LN(2)/25)*Calculateur!CG122*Calculateur!CI122*VLOOKUP('Données projet'!$B$12,Paramètres!$A$1:$I$89,3,0)*0.475*44/12</f>
        <v>0.40029927735495052</v>
      </c>
      <c r="CM122" s="21">
        <f>EXP(-LN(2)/2)*CM121+(1-EXP(-LN(2)/2))/(LN(2)/2)*CG122*CJ122*VLOOKUP('Données projet'!$B$12,Paramètres!$A$1:$I$89,3,0)*0.475*44/12</f>
        <v>2.9432809095006545E-13</v>
      </c>
      <c r="CN122" s="22">
        <f t="shared" si="66"/>
        <v>0.53925822868762596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4.0999999999999996</v>
      </c>
      <c r="CT122" s="12">
        <f>IF('Données projet'!$A$140&gt;35,CT121+CS122-DB121,IF(A122&lt;'Données projet'!$A$140,$CQ$205^A122,IF(A122='Données projet'!$A$140,'Données projet'!$B$140,CT121+CS122-DB121)))</f>
        <v>301.90000000000055</v>
      </c>
      <c r="CU122" s="17">
        <f>CT122*VLOOKUP('Données projet'!$B$13,Paramètres!$A$1:$I$89,3,0)*VLOOKUP('Données projet'!$B$13,Paramètres!$A$1:$I$89,5,0)</f>
        <v>254.32056000000046</v>
      </c>
      <c r="CV122" s="13">
        <f t="shared" si="95"/>
        <v>61.510199106400925</v>
      </c>
      <c r="CW122" s="20">
        <f t="shared" si="67"/>
        <v>550.07190544364903</v>
      </c>
      <c r="CX122" s="59">
        <f t="shared" si="68"/>
        <v>843.40523877698229</v>
      </c>
      <c r="CY122" s="59">
        <f ca="1">AVERAGE(OFFSET($CX$3,0,0,'Données projet'!$E$13+1,1))-AVERAGE(OFFSET($H$3,0,0,'Données projet'!$E$13+1,1))</f>
        <v>247.67539667223065</v>
      </c>
      <c r="CZ122" s="59">
        <f t="shared" si="96"/>
        <v>174.54442616983778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0.21989108782266903</v>
      </c>
      <c r="DG122" s="21">
        <f>EXP(-LN(2)/25)*DG121+(1-EXP(-LN(2)/25))/(LN(2)/25)*Calculateur!DB122*Calculateur!DD122*VLOOKUP('Données projet'!$B$13,Paramètres!$A$1:$I$89,3,0)*0.475*44/12</f>
        <v>0.55746716545336417</v>
      </c>
      <c r="DH122" s="21">
        <f>EXP(-LN(2)/2)*DH121+(1-EXP(-LN(2)/2))/(LN(2)/2)*DB122*DE122*VLOOKUP('Données projet'!$B$13,Paramètres!$A$1:$I$89,3,0)*0.475*44/12</f>
        <v>4.6279051710666898E-13</v>
      </c>
      <c r="DI122" s="22">
        <f t="shared" si="69"/>
        <v>0.77735825327649599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5.3066239316239274</v>
      </c>
      <c r="DO122" s="12">
        <f>IF('Données projet'!$A$166&gt;35,DO121+DN122-DW121,IF(A122&lt;'Données projet'!$A$166,$DL$205^A122,IF(A122='Données projet'!$A$166,'Données projet'!$B$166,DO121+DN122-DW121)))</f>
        <v>246.45512820512786</v>
      </c>
      <c r="DP122" s="17">
        <f>DO122*VLOOKUP('Données projet'!$B$14,Paramètres!$A$1:$I$89,3,0)*VLOOKUP('Données projet'!$B$14,Paramètres!$A$1:$I$89,5,0)</f>
        <v>246.06079999999966</v>
      </c>
      <c r="DQ122" s="13">
        <f t="shared" si="97"/>
        <v>59.741642339089012</v>
      </c>
      <c r="DR122" s="20">
        <f t="shared" si="70"/>
        <v>532.60592040724612</v>
      </c>
      <c r="DS122" s="59">
        <f t="shared" si="71"/>
        <v>825.93925374057949</v>
      </c>
      <c r="DT122" s="59">
        <f ca="1">AVERAGE(OFFSET($DS$3,0,0,'Données projet'!$E$14+1,1))-AVERAGE(OFFSET($H$3,0,0,'Données projet'!$E$14+1,1))</f>
        <v>245.06609107649069</v>
      </c>
      <c r="DU122" s="59">
        <f t="shared" si="98"/>
        <v>156.24531945456499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-2.5579538487363607E-13</v>
      </c>
      <c r="EK122" s="17">
        <f>EJ122*VLOOKUP('Données projet'!$B$15,Paramètres!$A$1:$I$89,3,0)*VLOOKUP('Données projet'!$B$15,Paramètres!$A$1:$I$89,5,0)</f>
        <v>-2.7932856028201057E-13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173.63857221119594</v>
      </c>
      <c r="EP122" s="59">
        <f t="shared" si="100"/>
        <v>52.373745617370105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199.58634493109349</v>
      </c>
      <c r="T123" s="59">
        <f t="shared" si="88"/>
        <v>288.66487031729008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0.84071055657805283</v>
      </c>
      <c r="AA123" s="21">
        <f>EXP(-LN(2)/25)*AA122+(1-EXP(-LN(2)/25))/(LN(2)/25)*Calculateur!V123*Calculateur!X123*VLOOKUP('Données projet'!$B$9,Paramètres!$A$1:$I$89,3,0)*0.475*44/12</f>
        <v>1.4126835648440601</v>
      </c>
      <c r="AB123" s="21">
        <f>EXP(-LN(2)/2)*AB122+(1-EXP(-LN(2)/2))/(LN(2)/2)*V123*Y123*VLOOKUP('Données projet'!$B$9,Paramètres!$A$1:$I$89,3,0)*0.475*44/12</f>
        <v>8.3841253325775668E-14</v>
      </c>
      <c r="AC123" s="22">
        <f t="shared" si="57"/>
        <v>2.2533941214221969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606.99999999999989</v>
      </c>
      <c r="AJ123" s="13">
        <f>AI123*VLOOKUP('Données projet'!$B$10,Paramètres!$A$1:$I$89,3,0)*VLOOKUP('Données projet'!$B$10,Paramètres!$A$1:$I$89,5,0)</f>
        <v>362.98599999999999</v>
      </c>
      <c r="AK123" s="13">
        <f t="shared" si="89"/>
        <v>84.230767602863935</v>
      </c>
      <c r="AL123" s="20">
        <f t="shared" si="58"/>
        <v>778.90253690832139</v>
      </c>
      <c r="AM123" s="59">
        <f t="shared" si="59"/>
        <v>1072.2358702416548</v>
      </c>
      <c r="AN123" s="59">
        <f ca="1">AVERAGE(OFFSET($AM$3,0,0,'Données projet'!$E$10+1,1))-AVERAGE(OFFSET($H$3,0,0,'Données projet'!$E$10+1,1))</f>
        <v>395.40396173178527</v>
      </c>
      <c r="AO123" s="59">
        <f t="shared" si="90"/>
        <v>304.68075128568756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0.5044802963871613</v>
      </c>
      <c r="AV123" s="21">
        <f>EXP(-LN(2)/25)*AV122+(1-EXP(-LN(2)/25))/(LN(2)/25)*Calculateur!AQ123*Calculateur!AS123*VLOOKUP('Données projet'!$B$10,Paramètres!$A$1:$I$89,3,0)*0.475*44/12</f>
        <v>1.5417953354590814</v>
      </c>
      <c r="AW123" s="21">
        <f>EXP(-LN(2)/2)*AW122+(1-EXP(-LN(2)/2))/(LN(2)/2)*AQ123*AT123*VLOOKUP('Données projet'!$B$10,Paramètres!$A$1:$I$89,3,0)*0.475*44/12</f>
        <v>7.3913566529534342E-13</v>
      </c>
      <c r="AX123" s="21">
        <f t="shared" si="60"/>
        <v>2.0462756318469815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36.10000000000008</v>
      </c>
      <c r="BE123" s="13">
        <f>BD123*VLOOKUP('Données projet'!$B$11,Paramètres!$A$1:$I$89,3,0)*VLOOKUP('Données projet'!$B$11,Paramètres!$A$1:$I$89,5,0)</f>
        <v>31.536960000000075</v>
      </c>
      <c r="BF123" s="13">
        <f t="shared" si="91"/>
        <v>9.725440120377133</v>
      </c>
      <c r="BG123" s="20">
        <f t="shared" si="61"/>
        <v>71.865346876323642</v>
      </c>
      <c r="BH123" s="59">
        <f t="shared" si="62"/>
        <v>365.19868020965697</v>
      </c>
      <c r="BI123" s="59">
        <f ca="1">AVERAGE(OFFSET($BH$3,0,0,'Données projet'!$E$11+1,1))-AVERAGE(OFFSET($H$3,0,0,'Données projet'!$E$11+1,1))</f>
        <v>249.21292089724221</v>
      </c>
      <c r="BJ123" s="59">
        <f t="shared" si="92"/>
        <v>640.80644476065254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18.972669758232936</v>
      </c>
      <c r="BQ123" s="21">
        <f>EXP(-LN(2)/25)*BQ122+(1-EXP(-LN(2)/25))/(LN(2)/25)*Calculateur!BL123*Calculateur!BN123*VLOOKUP('Données projet'!$B$11,Paramètres!$A$1:$I$89,3,0)*0.475*44/12</f>
        <v>8.8389054604040176</v>
      </c>
      <c r="BR123" s="21">
        <f>EXP(-LN(2)/2)*BR122+(1-EXP(-LN(2)/2))/(LN(2)/2)*BL123*BO123*VLOOKUP('Données projet'!$B$11,Paramètres!$A$1:$I$89,3,0)*0.475*44/12</f>
        <v>2.3459148745040899E-12</v>
      </c>
      <c r="BS123" s="22">
        <f t="shared" si="63"/>
        <v>27.811575218639298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234.00000000000045</v>
      </c>
      <c r="BZ123" s="13">
        <f>BY123*VLOOKUP('Données projet'!$B$12,Paramètres!$A$1:$I$89,3,0)*VLOOKUP('Données projet'!$B$12,Paramètres!$A$1:$I$89,5,0)</f>
        <v>189.82080000000036</v>
      </c>
      <c r="CA123" s="13">
        <f t="shared" si="93"/>
        <v>47.500332100049881</v>
      </c>
      <c r="CB123" s="20">
        <f t="shared" si="64"/>
        <v>413.33430507425419</v>
      </c>
      <c r="CC123" s="59">
        <f t="shared" si="65"/>
        <v>706.66763840758745</v>
      </c>
      <c r="CD123" s="59">
        <f ca="1">AVERAGE(OFFSET($CC$3,0,0,'Données projet'!$E$12+1,1))-AVERAGE(OFFSET($H$3,0,0,'Données projet'!$E$12+1,1))</f>
        <v>192.4785660463869</v>
      </c>
      <c r="CE123" s="59">
        <f t="shared" si="94"/>
        <v>165.11095806515362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0.13623405105334441</v>
      </c>
      <c r="CL123" s="21">
        <f>EXP(-LN(2)/25)*CL122+(1-EXP(-LN(2)/25))/(LN(2)/25)*Calculateur!CG123*Calculateur!CI123*VLOOKUP('Données projet'!$B$12,Paramètres!$A$1:$I$89,3,0)*0.475*44/12</f>
        <v>0.3893530725648553</v>
      </c>
      <c r="CM123" s="21">
        <f>EXP(-LN(2)/2)*CM122+(1-EXP(-LN(2)/2))/(LN(2)/2)*CG123*CJ123*VLOOKUP('Données projet'!$B$12,Paramètres!$A$1:$I$89,3,0)*0.475*44/12</f>
        <v>2.0812138900448219E-13</v>
      </c>
      <c r="CN123" s="22">
        <f t="shared" si="66"/>
        <v>0.52558712361840787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306</v>
      </c>
      <c r="CR123" s="12">
        <f>VLOOKUP(A123,'Données projet'!$A$139:$I$159,9,0)</f>
        <v>4.0999999999999996</v>
      </c>
      <c r="CS123" s="12">
        <f t="array" ref="CS123">INDEX(CR:CR,MIN(IF(ISNUMBER(CR123:CR319),ROW(CR123:CR319),"")))</f>
        <v>4.0999999999999996</v>
      </c>
      <c r="CT123" s="12">
        <f>IF('Données projet'!$A$140&gt;35,CT122+CS123-DB122,IF(A123&lt;'Données projet'!$A$140,$CQ$205^A123,IF(A123='Données projet'!$A$140,'Données projet'!$B$140,CT122+CS123-DB122)))</f>
        <v>306.00000000000057</v>
      </c>
      <c r="CU123" s="17">
        <f>CT123*VLOOKUP('Données projet'!$B$13,Paramètres!$A$1:$I$89,3,0)*VLOOKUP('Données projet'!$B$13,Paramètres!$A$1:$I$89,5,0)</f>
        <v>257.77440000000053</v>
      </c>
      <c r="CV123" s="13">
        <f t="shared" si="95"/>
        <v>62.247732872134407</v>
      </c>
      <c r="CW123" s="20">
        <f t="shared" si="67"/>
        <v>557.37188141896831</v>
      </c>
      <c r="CX123" s="59">
        <f t="shared" si="68"/>
        <v>850.70521475230157</v>
      </c>
      <c r="CY123" s="59">
        <f ca="1">AVERAGE(OFFSET($CX$3,0,0,'Données projet'!$E$13+1,1))-AVERAGE(OFFSET($H$3,0,0,'Données projet'!$E$13+1,1))</f>
        <v>247.67539667223065</v>
      </c>
      <c r="CZ123" s="59">
        <f t="shared" si="96"/>
        <v>174.54442616983778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31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0.21557915771078678</v>
      </c>
      <c r="DG123" s="21">
        <f>EXP(-LN(2)/25)*DG122+(1-EXP(-LN(2)/25))/(LN(2)/25)*Calculateur!DB123*Calculateur!DD123*VLOOKUP('Données projet'!$B$13,Paramètres!$A$1:$I$89,3,0)*0.475*44/12</f>
        <v>0.54222319649811779</v>
      </c>
      <c r="DH123" s="21">
        <f>EXP(-LN(2)/2)*DH122+(1-EXP(-LN(2)/2))/(LN(2)/2)*DB123*DE123*VLOOKUP('Données projet'!$B$13,Paramètres!$A$1:$I$89,3,0)*0.475*44/12</f>
        <v>3.2724231291495457E-13</v>
      </c>
      <c r="DI123" s="22">
        <f t="shared" si="69"/>
        <v>0.75780235420923181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5.3066239316239274</v>
      </c>
      <c r="DO123" s="12">
        <f>IF('Données projet'!$A$166&gt;35,DO122+DN123-DW122,IF(A123&lt;'Données projet'!$A$166,$DL$205^A123,IF(A123='Données projet'!$A$166,'Données projet'!$B$166,DO122+DN123-DW122)))</f>
        <v>251.7617521367518</v>
      </c>
      <c r="DP123" s="17">
        <f>DO123*VLOOKUP('Données projet'!$B$14,Paramètres!$A$1:$I$89,3,0)*VLOOKUP('Données projet'!$B$14,Paramètres!$A$1:$I$89,5,0)</f>
        <v>251.358933333333</v>
      </c>
      <c r="DQ123" s="13">
        <f t="shared" si="97"/>
        <v>60.876844099407862</v>
      </c>
      <c r="DR123" s="20">
        <f t="shared" si="70"/>
        <v>543.81064569535704</v>
      </c>
      <c r="DS123" s="59">
        <f t="shared" si="71"/>
        <v>837.14397902869041</v>
      </c>
      <c r="DT123" s="59">
        <f ca="1">AVERAGE(OFFSET($DS$3,0,0,'Données projet'!$E$14+1,1))-AVERAGE(OFFSET($H$3,0,0,'Données projet'!$E$14+1,1))</f>
        <v>245.06609107649069</v>
      </c>
      <c r="DU123" s="59">
        <f t="shared" si="98"/>
        <v>156.24531945456499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-2.5579538487363607E-13</v>
      </c>
      <c r="EK123" s="17">
        <f>EJ123*VLOOKUP('Données projet'!$B$15,Paramètres!$A$1:$I$89,3,0)*VLOOKUP('Données projet'!$B$15,Paramètres!$A$1:$I$89,5,0)</f>
        <v>-2.7932856028201057E-13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173.63857221119594</v>
      </c>
      <c r="EP123" s="59">
        <f t="shared" si="100"/>
        <v>52.373745617370105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199.58634493109349</v>
      </c>
      <c r="T124" s="59">
        <f t="shared" si="88"/>
        <v>288.66487031729008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0.82422473534636365</v>
      </c>
      <c r="AA124" s="21">
        <f>EXP(-LN(2)/25)*AA123+(1-EXP(-LN(2)/25))/(LN(2)/25)*Calculateur!V124*Calculateur!X124*VLOOKUP('Données projet'!$B$9,Paramètres!$A$1:$I$89,3,0)*0.475*44/12</f>
        <v>1.3740536584735994</v>
      </c>
      <c r="AB124" s="21">
        <f>EXP(-LN(2)/2)*AB123+(1-EXP(-LN(2)/2))/(LN(2)/2)*V124*Y124*VLOOKUP('Données projet'!$B$9,Paramètres!$A$1:$I$89,3,0)*0.475*44/12</f>
        <v>5.9284718769835155E-14</v>
      </c>
      <c r="AC124" s="22">
        <f t="shared" si="57"/>
        <v>2.1982783938200221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606.99999999999989</v>
      </c>
      <c r="AJ124" s="13">
        <f>AI124*VLOOKUP('Données projet'!$B$10,Paramètres!$A$1:$I$89,3,0)*VLOOKUP('Données projet'!$B$10,Paramètres!$A$1:$I$89,5,0)</f>
        <v>362.98599999999999</v>
      </c>
      <c r="AK124" s="13">
        <f t="shared" si="89"/>
        <v>84.230767602863935</v>
      </c>
      <c r="AL124" s="20">
        <f t="shared" si="58"/>
        <v>778.90253690832139</v>
      </c>
      <c r="AM124" s="59">
        <f t="shared" si="59"/>
        <v>1072.2358702416548</v>
      </c>
      <c r="AN124" s="59">
        <f ca="1">AVERAGE(OFFSET($AM$3,0,0,'Données projet'!$E$10+1,1))-AVERAGE(OFFSET($H$3,0,0,'Données projet'!$E$10+1,1))</f>
        <v>395.40396173178527</v>
      </c>
      <c r="AO124" s="59">
        <f t="shared" si="90"/>
        <v>304.68075128568756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0.49458774547760675</v>
      </c>
      <c r="AV124" s="21">
        <f>EXP(-LN(2)/25)*AV123+(1-EXP(-LN(2)/25))/(LN(2)/25)*Calculateur!AQ124*Calculateur!AS124*VLOOKUP('Données projet'!$B$10,Paramètres!$A$1:$I$89,3,0)*0.475*44/12</f>
        <v>1.49963486093146</v>
      </c>
      <c r="AW124" s="21">
        <f>EXP(-LN(2)/2)*AW123+(1-EXP(-LN(2)/2))/(LN(2)/2)*AQ124*AT124*VLOOKUP('Données projet'!$B$10,Paramètres!$A$1:$I$89,3,0)*0.475*44/12</f>
        <v>5.2264784114716762E-13</v>
      </c>
      <c r="AX124" s="21">
        <f t="shared" si="60"/>
        <v>1.9942226064095894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36.10000000000008</v>
      </c>
      <c r="BE124" s="13">
        <f>BD124*VLOOKUP('Données projet'!$B$11,Paramètres!$A$1:$I$89,3,0)*VLOOKUP('Données projet'!$B$11,Paramètres!$A$1:$I$89,5,0)</f>
        <v>31.536960000000075</v>
      </c>
      <c r="BF124" s="13">
        <f t="shared" si="91"/>
        <v>9.725440120377133</v>
      </c>
      <c r="BG124" s="20">
        <f t="shared" si="61"/>
        <v>71.865346876323642</v>
      </c>
      <c r="BH124" s="59">
        <f t="shared" si="62"/>
        <v>365.19868020965697</v>
      </c>
      <c r="BI124" s="59">
        <f ca="1">AVERAGE(OFFSET($BH$3,0,0,'Données projet'!$E$11+1,1))-AVERAGE(OFFSET($H$3,0,0,'Données projet'!$E$11+1,1))</f>
        <v>249.21292089724221</v>
      </c>
      <c r="BJ124" s="59">
        <f t="shared" si="92"/>
        <v>640.80644476065254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18.600627276459882</v>
      </c>
      <c r="BQ124" s="21">
        <f>EXP(-LN(2)/25)*BQ123+(1-EXP(-LN(2)/25))/(LN(2)/25)*Calculateur!BL124*Calculateur!BN124*VLOOKUP('Données projet'!$B$11,Paramètres!$A$1:$I$89,3,0)*0.475*44/12</f>
        <v>8.597205125771433</v>
      </c>
      <c r="BR124" s="21">
        <f>EXP(-LN(2)/2)*BR123+(1-EXP(-LN(2)/2))/(LN(2)/2)*BL124*BO124*VLOOKUP('Données projet'!$B$11,Paramètres!$A$1:$I$89,3,0)*0.475*44/12</f>
        <v>1.6588123158482306E-12</v>
      </c>
      <c r="BS124" s="22">
        <f t="shared" si="63"/>
        <v>27.197832402232972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234.00000000000045</v>
      </c>
      <c r="BZ124" s="13">
        <f>BY124*VLOOKUP('Données projet'!$B$12,Paramètres!$A$1:$I$89,3,0)*VLOOKUP('Données projet'!$B$12,Paramètres!$A$1:$I$89,5,0)</f>
        <v>189.82080000000036</v>
      </c>
      <c r="CA124" s="13">
        <f t="shared" si="93"/>
        <v>47.500332100049881</v>
      </c>
      <c r="CB124" s="20">
        <f t="shared" si="64"/>
        <v>413.33430507425419</v>
      </c>
      <c r="CC124" s="59">
        <f t="shared" si="65"/>
        <v>706.66763840758745</v>
      </c>
      <c r="CD124" s="59">
        <f ca="1">AVERAGE(OFFSET($CC$3,0,0,'Données projet'!$E$12+1,1))-AVERAGE(OFFSET($H$3,0,0,'Données projet'!$E$12+1,1))</f>
        <v>192.4785660463869</v>
      </c>
      <c r="CE124" s="59">
        <f t="shared" si="94"/>
        <v>165.11095806515362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0.13356258440675456</v>
      </c>
      <c r="CL124" s="21">
        <f>EXP(-LN(2)/25)*CL123+(1-EXP(-LN(2)/25))/(LN(2)/25)*Calculateur!CG124*Calculateur!CI124*VLOOKUP('Données projet'!$B$12,Paramètres!$A$1:$I$89,3,0)*0.475*44/12</f>
        <v>0.37870619232038111</v>
      </c>
      <c r="CM124" s="21">
        <f>EXP(-LN(2)/2)*CM123+(1-EXP(-LN(2)/2))/(LN(2)/2)*CG124*CJ124*VLOOKUP('Données projet'!$B$12,Paramètres!$A$1:$I$89,3,0)*0.475*44/12</f>
        <v>1.4716404547503272E-13</v>
      </c>
      <c r="CN124" s="22">
        <f t="shared" si="66"/>
        <v>0.51226877672728288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275.00000000000057</v>
      </c>
      <c r="CU124" s="17">
        <f>CT124*VLOOKUP('Données projet'!$B$13,Paramètres!$A$1:$I$89,3,0)*VLOOKUP('Données projet'!$B$13,Paramètres!$A$1:$I$89,5,0)</f>
        <v>231.66000000000051</v>
      </c>
      <c r="CV124" s="13">
        <f t="shared" si="95"/>
        <v>56.641461975682923</v>
      </c>
      <c r="CW124" s="20">
        <f t="shared" si="67"/>
        <v>502.12504627431525</v>
      </c>
      <c r="CX124" s="59">
        <f t="shared" si="68"/>
        <v>795.45837960764857</v>
      </c>
      <c r="CY124" s="59">
        <f ca="1">AVERAGE(OFFSET($CX$3,0,0,'Données projet'!$E$13+1,1))-AVERAGE(OFFSET($H$3,0,0,'Données projet'!$E$13+1,1))</f>
        <v>247.67539667223065</v>
      </c>
      <c r="CZ124" s="59">
        <f t="shared" si="96"/>
        <v>174.54442616983778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0.21135178191838086</v>
      </c>
      <c r="DG124" s="21">
        <f>EXP(-LN(2)/25)*DG123+(1-EXP(-LN(2)/25))/(LN(2)/25)*Calculateur!DB124*Calculateur!DD124*VLOOKUP('Données projet'!$B$13,Paramètres!$A$1:$I$89,3,0)*0.475*44/12</f>
        <v>0.52739607467559813</v>
      </c>
      <c r="DH124" s="21">
        <f>EXP(-LN(2)/2)*DH123+(1-EXP(-LN(2)/2))/(LN(2)/2)*DB124*DE124*VLOOKUP('Données projet'!$B$13,Paramètres!$A$1:$I$89,3,0)*0.475*44/12</f>
        <v>2.3139525855333449E-13</v>
      </c>
      <c r="DI124" s="22">
        <f t="shared" si="69"/>
        <v>0.73874785659421038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5.3066239316239274</v>
      </c>
      <c r="DO124" s="12">
        <f>IF('Données projet'!$A$166&gt;35,DO123+DN124-DW123,IF(A124&lt;'Données projet'!$A$166,$DL$205^A124,IF(A124='Données projet'!$A$166,'Données projet'!$B$166,DO123+DN124-DW123)))</f>
        <v>257.0683760683757</v>
      </c>
      <c r="DP124" s="17">
        <f>DO124*VLOOKUP('Données projet'!$B$14,Paramètres!$A$1:$I$89,3,0)*VLOOKUP('Données projet'!$B$14,Paramètres!$A$1:$I$89,5,0)</f>
        <v>256.65706666666631</v>
      </c>
      <c r="DQ124" s="13">
        <f t="shared" si="97"/>
        <v>62.009263867374706</v>
      </c>
      <c r="DR124" s="20">
        <f t="shared" si="70"/>
        <v>555.01052568012142</v>
      </c>
      <c r="DS124" s="59">
        <f t="shared" si="71"/>
        <v>848.34385901345468</v>
      </c>
      <c r="DT124" s="59">
        <f ca="1">AVERAGE(OFFSET($DS$3,0,0,'Données projet'!$E$14+1,1))-AVERAGE(OFFSET($H$3,0,0,'Données projet'!$E$14+1,1))</f>
        <v>245.06609107649069</v>
      </c>
      <c r="DU124" s="59">
        <f t="shared" si="98"/>
        <v>156.24531945456499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-2.5579538487363607E-13</v>
      </c>
      <c r="EK124" s="17">
        <f>EJ124*VLOOKUP('Données projet'!$B$15,Paramètres!$A$1:$I$89,3,0)*VLOOKUP('Données projet'!$B$15,Paramètres!$A$1:$I$89,5,0)</f>
        <v>-2.7932856028201057E-13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173.63857221119594</v>
      </c>
      <c r="EP124" s="59">
        <f t="shared" si="100"/>
        <v>52.373745617370105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199.58634493109349</v>
      </c>
      <c r="T125" s="59">
        <f t="shared" si="88"/>
        <v>288.66487031729008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0.80806219101366983</v>
      </c>
      <c r="AA125" s="21">
        <f>EXP(-LN(2)/25)*AA124+(1-EXP(-LN(2)/25))/(LN(2)/25)*Calculateur!V125*Calculateur!X125*VLOOKUP('Données projet'!$B$9,Paramètres!$A$1:$I$89,3,0)*0.475*44/12</f>
        <v>1.3364800889242974</v>
      </c>
      <c r="AB125" s="21">
        <f>EXP(-LN(2)/2)*AB124+(1-EXP(-LN(2)/2))/(LN(2)/2)*V125*Y125*VLOOKUP('Données projet'!$B$9,Paramètres!$A$1:$I$89,3,0)*0.475*44/12</f>
        <v>4.1920626662887834E-14</v>
      </c>
      <c r="AC125" s="22">
        <f t="shared" si="57"/>
        <v>2.1445422799380092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606.99999999999989</v>
      </c>
      <c r="AJ125" s="13">
        <f>AI125*VLOOKUP('Données projet'!$B$10,Paramètres!$A$1:$I$89,3,0)*VLOOKUP('Données projet'!$B$10,Paramètres!$A$1:$I$89,5,0)</f>
        <v>362.98599999999999</v>
      </c>
      <c r="AK125" s="13">
        <f t="shared" si="89"/>
        <v>84.230767602863935</v>
      </c>
      <c r="AL125" s="20">
        <f t="shared" si="58"/>
        <v>778.90253690832139</v>
      </c>
      <c r="AM125" s="59">
        <f t="shared" si="59"/>
        <v>1072.2358702416548</v>
      </c>
      <c r="AN125" s="59">
        <f ca="1">AVERAGE(OFFSET($AM$3,0,0,'Données projet'!$E$10+1,1))-AVERAGE(OFFSET($H$3,0,0,'Données projet'!$E$10+1,1))</f>
        <v>395.40396173178527</v>
      </c>
      <c r="AO125" s="59">
        <f t="shared" si="90"/>
        <v>304.68075128568756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0.4848891814575283</v>
      </c>
      <c r="AV125" s="21">
        <f>EXP(-LN(2)/25)*AV124+(1-EXP(-LN(2)/25))/(LN(2)/25)*Calculateur!AQ125*Calculateur!AS125*VLOOKUP('Données projet'!$B$10,Paramètres!$A$1:$I$89,3,0)*0.475*44/12</f>
        <v>1.4586272667969193</v>
      </c>
      <c r="AW125" s="21">
        <f>EXP(-LN(2)/2)*AW124+(1-EXP(-LN(2)/2))/(LN(2)/2)*AQ125*AT125*VLOOKUP('Données projet'!$B$10,Paramètres!$A$1:$I$89,3,0)*0.475*44/12</f>
        <v>3.6956783264767171E-13</v>
      </c>
      <c r="AX125" s="21">
        <f t="shared" si="60"/>
        <v>1.9435164482548171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36.10000000000008</v>
      </c>
      <c r="BE125" s="13">
        <f>BD125*VLOOKUP('Données projet'!$B$11,Paramètres!$A$1:$I$89,3,0)*VLOOKUP('Données projet'!$B$11,Paramètres!$A$1:$I$89,5,0)</f>
        <v>31.536960000000075</v>
      </c>
      <c r="BF125" s="13">
        <f t="shared" si="91"/>
        <v>9.725440120377133</v>
      </c>
      <c r="BG125" s="20">
        <f t="shared" si="61"/>
        <v>71.865346876323642</v>
      </c>
      <c r="BH125" s="59">
        <f t="shared" si="62"/>
        <v>365.19868020965697</v>
      </c>
      <c r="BI125" s="59">
        <f ca="1">AVERAGE(OFFSET($BH$3,0,0,'Données projet'!$E$11+1,1))-AVERAGE(OFFSET($H$3,0,0,'Données projet'!$E$11+1,1))</f>
        <v>249.21292089724221</v>
      </c>
      <c r="BJ125" s="59">
        <f t="shared" si="92"/>
        <v>640.80644476065254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18.235880320830891</v>
      </c>
      <c r="BQ125" s="21">
        <f>EXP(-LN(2)/25)*BQ124+(1-EXP(-LN(2)/25))/(LN(2)/25)*Calculateur!BL125*Calculateur!BN125*VLOOKUP('Données projet'!$B$11,Paramètres!$A$1:$I$89,3,0)*0.475*44/12</f>
        <v>8.3621140994998449</v>
      </c>
      <c r="BR125" s="21">
        <f>EXP(-LN(2)/2)*BR124+(1-EXP(-LN(2)/2))/(LN(2)/2)*BL125*BO125*VLOOKUP('Données projet'!$B$11,Paramètres!$A$1:$I$89,3,0)*0.475*44/12</f>
        <v>1.172957437252045E-12</v>
      </c>
      <c r="BS125" s="22">
        <f t="shared" si="63"/>
        <v>26.597994420331908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234.00000000000045</v>
      </c>
      <c r="BZ125" s="13">
        <f>BY125*VLOOKUP('Données projet'!$B$12,Paramètres!$A$1:$I$89,3,0)*VLOOKUP('Données projet'!$B$12,Paramètres!$A$1:$I$89,5,0)</f>
        <v>189.82080000000036</v>
      </c>
      <c r="CA125" s="13">
        <f t="shared" si="93"/>
        <v>47.500332100049881</v>
      </c>
      <c r="CB125" s="20">
        <f t="shared" si="64"/>
        <v>413.33430507425419</v>
      </c>
      <c r="CC125" s="59">
        <f t="shared" si="65"/>
        <v>706.66763840758745</v>
      </c>
      <c r="CD125" s="59">
        <f ca="1">AVERAGE(OFFSET($CC$3,0,0,'Données projet'!$E$12+1,1))-AVERAGE(OFFSET($H$3,0,0,'Données projet'!$E$12+1,1))</f>
        <v>192.4785660463869</v>
      </c>
      <c r="CE125" s="59">
        <f t="shared" si="94"/>
        <v>165.11095806515362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0.13094350359167056</v>
      </c>
      <c r="CL125" s="21">
        <f>EXP(-LN(2)/25)*CL124+(1-EXP(-LN(2)/25))/(LN(2)/25)*Calculateur!CG125*Calculateur!CI125*VLOOKUP('Données projet'!$B$12,Paramètres!$A$1:$I$89,3,0)*0.475*44/12</f>
        <v>0.3683504515760872</v>
      </c>
      <c r="CM125" s="21">
        <f>EXP(-LN(2)/2)*CM124+(1-EXP(-LN(2)/2))/(LN(2)/2)*CG125*CJ125*VLOOKUP('Données projet'!$B$12,Paramètres!$A$1:$I$89,3,0)*0.475*44/12</f>
        <v>1.040606945022411E-13</v>
      </c>
      <c r="CN125" s="22">
        <f t="shared" si="66"/>
        <v>0.49929395516786185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275.00000000000057</v>
      </c>
      <c r="CU125" s="17">
        <f>CT125*VLOOKUP('Données projet'!$B$13,Paramètres!$A$1:$I$89,3,0)*VLOOKUP('Données projet'!$B$13,Paramètres!$A$1:$I$89,5,0)</f>
        <v>231.66000000000051</v>
      </c>
      <c r="CV125" s="13">
        <f t="shared" si="95"/>
        <v>56.641461975682923</v>
      </c>
      <c r="CW125" s="20">
        <f t="shared" si="67"/>
        <v>502.12504627431525</v>
      </c>
      <c r="CX125" s="59">
        <f t="shared" si="68"/>
        <v>795.45837960764857</v>
      </c>
      <c r="CY125" s="59">
        <f ca="1">AVERAGE(OFFSET($CX$3,0,0,'Données projet'!$E$13+1,1))-AVERAGE(OFFSET($H$3,0,0,'Données projet'!$E$13+1,1))</f>
        <v>247.67539667223065</v>
      </c>
      <c r="CZ125" s="59">
        <f t="shared" si="96"/>
        <v>174.54442616983778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0.20720730238681939</v>
      </c>
      <c r="DG125" s="21">
        <f>EXP(-LN(2)/25)*DG124+(1-EXP(-LN(2)/25))/(LN(2)/25)*Calculateur!DB125*Calculateur!DD125*VLOOKUP('Données projet'!$B$13,Paramètres!$A$1:$I$89,3,0)*0.475*44/12</f>
        <v>0.5129744012790397</v>
      </c>
      <c r="DH125" s="21">
        <f>EXP(-LN(2)/2)*DH124+(1-EXP(-LN(2)/2))/(LN(2)/2)*DB125*DE125*VLOOKUP('Données projet'!$B$13,Paramètres!$A$1:$I$89,3,0)*0.475*44/12</f>
        <v>1.6362115645747728E-13</v>
      </c>
      <c r="DI125" s="22">
        <f t="shared" si="69"/>
        <v>0.72018170366602274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5.3066239316239274</v>
      </c>
      <c r="DO125" s="12">
        <f>IF('Données projet'!$A$166&gt;35,DO124+DN125-DW124,IF(A125&lt;'Données projet'!$A$166,$DL$205^A125,IF(A125='Données projet'!$A$166,'Données projet'!$B$166,DO124+DN125-DW124)))</f>
        <v>262.3749999999996</v>
      </c>
      <c r="DP125" s="17">
        <f>DO125*VLOOKUP('Données projet'!$B$14,Paramètres!$A$1:$I$89,3,0)*VLOOKUP('Données projet'!$B$14,Paramètres!$A$1:$I$89,5,0)</f>
        <v>261.95519999999965</v>
      </c>
      <c r="DQ125" s="13">
        <f t="shared" si="97"/>
        <v>63.138965688107206</v>
      </c>
      <c r="DR125" s="20">
        <f t="shared" si="70"/>
        <v>566.20567190678605</v>
      </c>
      <c r="DS125" s="59">
        <f t="shared" si="71"/>
        <v>859.53900524011942</v>
      </c>
      <c r="DT125" s="59">
        <f ca="1">AVERAGE(OFFSET($DS$3,0,0,'Données projet'!$E$14+1,1))-AVERAGE(OFFSET($H$3,0,0,'Données projet'!$E$14+1,1))</f>
        <v>245.06609107649069</v>
      </c>
      <c r="DU125" s="59">
        <f t="shared" si="98"/>
        <v>156.24531945456499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-2.5579538487363607E-13</v>
      </c>
      <c r="EK125" s="17">
        <f>EJ125*VLOOKUP('Données projet'!$B$15,Paramètres!$A$1:$I$89,3,0)*VLOOKUP('Données projet'!$B$15,Paramètres!$A$1:$I$89,5,0)</f>
        <v>-2.7932856028201057E-13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173.63857221119594</v>
      </c>
      <c r="EP125" s="59">
        <f t="shared" si="100"/>
        <v>52.373745617370105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199.58634493109349</v>
      </c>
      <c r="T126" s="59">
        <f t="shared" si="88"/>
        <v>288.66487031729008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0.79221658431716147</v>
      </c>
      <c r="AA126" s="21">
        <f>EXP(-LN(2)/25)*AA125+(1-EXP(-LN(2)/25))/(LN(2)/25)*Calculateur!V126*Calculateur!X126*VLOOKUP('Données projet'!$B$9,Paramètres!$A$1:$I$89,3,0)*0.475*44/12</f>
        <v>1.2999339706102291</v>
      </c>
      <c r="AB126" s="21">
        <f>EXP(-LN(2)/2)*AB125+(1-EXP(-LN(2)/2))/(LN(2)/2)*V126*Y126*VLOOKUP('Données projet'!$B$9,Paramètres!$A$1:$I$89,3,0)*0.475*44/12</f>
        <v>2.9642359384917577E-14</v>
      </c>
      <c r="AC126" s="22">
        <f t="shared" si="57"/>
        <v>2.0921505549274202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606.99999999999989</v>
      </c>
      <c r="AJ126" s="13">
        <f>AI126*VLOOKUP('Données projet'!$B$10,Paramètres!$A$1:$I$89,3,0)*VLOOKUP('Données projet'!$B$10,Paramètres!$A$1:$I$89,5,0)</f>
        <v>362.98599999999999</v>
      </c>
      <c r="AK126" s="13">
        <f t="shared" si="89"/>
        <v>84.230767602863935</v>
      </c>
      <c r="AL126" s="20">
        <f t="shared" si="58"/>
        <v>778.90253690832139</v>
      </c>
      <c r="AM126" s="59">
        <f t="shared" si="59"/>
        <v>1072.2358702416548</v>
      </c>
      <c r="AN126" s="59">
        <f ca="1">AVERAGE(OFFSET($AM$3,0,0,'Données projet'!$E$10+1,1))-AVERAGE(OFFSET($H$3,0,0,'Données projet'!$E$10+1,1))</f>
        <v>395.40396173178527</v>
      </c>
      <c r="AO126" s="59">
        <f t="shared" si="90"/>
        <v>304.68075128568756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0.47538080036234365</v>
      </c>
      <c r="AV126" s="21">
        <f>EXP(-LN(2)/25)*AV125+(1-EXP(-LN(2)/25))/(LN(2)/25)*Calculateur!AQ126*Calculateur!AS126*VLOOKUP('Données projet'!$B$10,Paramètres!$A$1:$I$89,3,0)*0.475*44/12</f>
        <v>1.4187410274804833</v>
      </c>
      <c r="AW126" s="21">
        <f>EXP(-LN(2)/2)*AW125+(1-EXP(-LN(2)/2))/(LN(2)/2)*AQ126*AT126*VLOOKUP('Données projet'!$B$10,Paramètres!$A$1:$I$89,3,0)*0.475*44/12</f>
        <v>2.6132392057358381E-13</v>
      </c>
      <c r="AX126" s="21">
        <f t="shared" si="60"/>
        <v>1.8941218278430882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36.10000000000008</v>
      </c>
      <c r="BE126" s="13">
        <f>BD126*VLOOKUP('Données projet'!$B$11,Paramètres!$A$1:$I$89,3,0)*VLOOKUP('Données projet'!$B$11,Paramètres!$A$1:$I$89,5,0)</f>
        <v>31.536960000000075</v>
      </c>
      <c r="BF126" s="13">
        <f t="shared" si="91"/>
        <v>9.725440120377133</v>
      </c>
      <c r="BG126" s="20">
        <f t="shared" si="61"/>
        <v>71.865346876323642</v>
      </c>
      <c r="BH126" s="59">
        <f t="shared" si="62"/>
        <v>365.19868020965697</v>
      </c>
      <c r="BI126" s="59">
        <f ca="1">AVERAGE(OFFSET($BH$3,0,0,'Données projet'!$E$11+1,1))-AVERAGE(OFFSET($H$3,0,0,'Données projet'!$E$11+1,1))</f>
        <v>249.21292089724221</v>
      </c>
      <c r="BJ126" s="59">
        <f t="shared" si="92"/>
        <v>640.80644476065254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17.878285830528107</v>
      </c>
      <c r="BQ126" s="21">
        <f>EXP(-LN(2)/25)*BQ125+(1-EXP(-LN(2)/25))/(LN(2)/25)*Calculateur!BL126*Calculateur!BN126*VLOOKUP('Données projet'!$B$11,Paramètres!$A$1:$I$89,3,0)*0.475*44/12</f>
        <v>8.1334516497045524</v>
      </c>
      <c r="BR126" s="21">
        <f>EXP(-LN(2)/2)*BR125+(1-EXP(-LN(2)/2))/(LN(2)/2)*BL126*BO126*VLOOKUP('Données projet'!$B$11,Paramètres!$A$1:$I$89,3,0)*0.475*44/12</f>
        <v>8.2940615792411531E-13</v>
      </c>
      <c r="BS126" s="22">
        <f t="shared" si="63"/>
        <v>26.011737480233489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234.00000000000045</v>
      </c>
      <c r="BZ126" s="13">
        <f>BY126*VLOOKUP('Données projet'!$B$12,Paramètres!$A$1:$I$89,3,0)*VLOOKUP('Données projet'!$B$12,Paramètres!$A$1:$I$89,5,0)</f>
        <v>189.82080000000036</v>
      </c>
      <c r="CA126" s="13">
        <f t="shared" si="93"/>
        <v>47.500332100049881</v>
      </c>
      <c r="CB126" s="20">
        <f t="shared" si="64"/>
        <v>413.33430507425419</v>
      </c>
      <c r="CC126" s="59">
        <f t="shared" si="65"/>
        <v>706.66763840758745</v>
      </c>
      <c r="CD126" s="59">
        <f ca="1">AVERAGE(OFFSET($CC$3,0,0,'Données projet'!$E$12+1,1))-AVERAGE(OFFSET($H$3,0,0,'Données projet'!$E$12+1,1))</f>
        <v>192.4785660463869</v>
      </c>
      <c r="CE126" s="59">
        <f t="shared" si="94"/>
        <v>165.11095806515362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0.12837578135388883</v>
      </c>
      <c r="CL126" s="21">
        <f>EXP(-LN(2)/25)*CL125+(1-EXP(-LN(2)/25))/(LN(2)/25)*Calculateur!CG126*Calculateur!CI126*VLOOKUP('Données projet'!$B$12,Paramètres!$A$1:$I$89,3,0)*0.475*44/12</f>
        <v>0.35827788910703073</v>
      </c>
      <c r="CM126" s="21">
        <f>EXP(-LN(2)/2)*CM125+(1-EXP(-LN(2)/2))/(LN(2)/2)*CG126*CJ126*VLOOKUP('Données projet'!$B$12,Paramètres!$A$1:$I$89,3,0)*0.475*44/12</f>
        <v>7.3582022737516362E-14</v>
      </c>
      <c r="CN126" s="22">
        <f t="shared" si="66"/>
        <v>0.48665367046099317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275.00000000000057</v>
      </c>
      <c r="CU126" s="17">
        <f>CT126*VLOOKUP('Données projet'!$B$13,Paramètres!$A$1:$I$89,3,0)*VLOOKUP('Données projet'!$B$13,Paramètres!$A$1:$I$89,5,0)</f>
        <v>231.66000000000051</v>
      </c>
      <c r="CV126" s="13">
        <f t="shared" si="95"/>
        <v>56.641461975682923</v>
      </c>
      <c r="CW126" s="20">
        <f t="shared" si="67"/>
        <v>502.12504627431525</v>
      </c>
      <c r="CX126" s="59">
        <f t="shared" si="68"/>
        <v>795.45837960764857</v>
      </c>
      <c r="CY126" s="59">
        <f ca="1">AVERAGE(OFFSET($CX$3,0,0,'Données projet'!$E$13+1,1))-AVERAGE(OFFSET($H$3,0,0,'Données projet'!$E$13+1,1))</f>
        <v>247.67539667223065</v>
      </c>
      <c r="CZ126" s="59">
        <f t="shared" si="96"/>
        <v>174.54442616983778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0.20314409357098895</v>
      </c>
      <c r="DG126" s="21">
        <f>EXP(-LN(2)/25)*DG125+(1-EXP(-LN(2)/25))/(LN(2)/25)*Calculateur!DB126*Calculateur!DD126*VLOOKUP('Données projet'!$B$13,Paramètres!$A$1:$I$89,3,0)*0.475*44/12</f>
        <v>0.49894708929991299</v>
      </c>
      <c r="DH126" s="21">
        <f>EXP(-LN(2)/2)*DH125+(1-EXP(-LN(2)/2))/(LN(2)/2)*DB126*DE126*VLOOKUP('Données projet'!$B$13,Paramètres!$A$1:$I$89,3,0)*0.475*44/12</f>
        <v>1.1569762927666725E-13</v>
      </c>
      <c r="DI126" s="22">
        <f t="shared" si="69"/>
        <v>0.70209118287101768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5.3066239316239274</v>
      </c>
      <c r="DO126" s="12">
        <f>IF('Données projet'!$A$166&gt;35,DO125+DN126-DW125,IF(A126&lt;'Données projet'!$A$166,$DL$205^A126,IF(A126='Données projet'!$A$166,'Données projet'!$B$166,DO125+DN126-DW125)))</f>
        <v>267.68162393162351</v>
      </c>
      <c r="DP126" s="17">
        <f>DO126*VLOOKUP('Données projet'!$B$14,Paramètres!$A$1:$I$89,3,0)*VLOOKUP('Données projet'!$B$14,Paramètres!$A$1:$I$89,5,0)</f>
        <v>267.25333333333288</v>
      </c>
      <c r="DQ126" s="13">
        <f t="shared" si="97"/>
        <v>64.266010867941603</v>
      </c>
      <c r="DR126" s="20">
        <f t="shared" si="70"/>
        <v>577.39619115055291</v>
      </c>
      <c r="DS126" s="59">
        <f t="shared" si="71"/>
        <v>870.72952448388628</v>
      </c>
      <c r="DT126" s="59">
        <f ca="1">AVERAGE(OFFSET($DS$3,0,0,'Données projet'!$E$14+1,1))-AVERAGE(OFFSET($H$3,0,0,'Données projet'!$E$14+1,1))</f>
        <v>245.06609107649069</v>
      </c>
      <c r="DU126" s="59">
        <f t="shared" si="98"/>
        <v>156.24531945456499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-2.5579538487363607E-13</v>
      </c>
      <c r="EK126" s="17">
        <f>EJ126*VLOOKUP('Données projet'!$B$15,Paramètres!$A$1:$I$89,3,0)*VLOOKUP('Données projet'!$B$15,Paramètres!$A$1:$I$89,5,0)</f>
        <v>-2.7932856028201057E-13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173.63857221119594</v>
      </c>
      <c r="EP126" s="59">
        <f t="shared" si="100"/>
        <v>52.373745617370105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199.58634493109349</v>
      </c>
      <c r="T127" s="59">
        <f t="shared" si="88"/>
        <v>288.66487031729008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0.7766817003031059</v>
      </c>
      <c r="AA127" s="21">
        <f>EXP(-LN(2)/25)*AA126+(1-EXP(-LN(2)/25))/(LN(2)/25)*Calculateur!V127*Calculateur!X127*VLOOKUP('Données projet'!$B$9,Paramètres!$A$1:$I$89,3,0)*0.475*44/12</f>
        <v>1.2643872078233358</v>
      </c>
      <c r="AB127" s="21">
        <f>EXP(-LN(2)/2)*AB126+(1-EXP(-LN(2)/2))/(LN(2)/2)*V127*Y127*VLOOKUP('Données projet'!$B$9,Paramètres!$A$1:$I$89,3,0)*0.475*44/12</f>
        <v>2.0960313331443917E-14</v>
      </c>
      <c r="AC127" s="22">
        <f t="shared" si="57"/>
        <v>2.0410689081264626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606.99999999999989</v>
      </c>
      <c r="AJ127" s="13">
        <f>AI127*VLOOKUP('Données projet'!$B$10,Paramètres!$A$1:$I$89,3,0)*VLOOKUP('Données projet'!$B$10,Paramètres!$A$1:$I$89,5,0)</f>
        <v>362.98599999999999</v>
      </c>
      <c r="AK127" s="13">
        <f t="shared" si="89"/>
        <v>84.230767602863935</v>
      </c>
      <c r="AL127" s="20">
        <f t="shared" si="58"/>
        <v>778.90253690832139</v>
      </c>
      <c r="AM127" s="59">
        <f t="shared" si="59"/>
        <v>1072.2358702416548</v>
      </c>
      <c r="AN127" s="59">
        <f ca="1">AVERAGE(OFFSET($AM$3,0,0,'Données projet'!$E$10+1,1))-AVERAGE(OFFSET($H$3,0,0,'Données projet'!$E$10+1,1))</f>
        <v>395.40396173178527</v>
      </c>
      <c r="AO127" s="59">
        <f t="shared" si="90"/>
        <v>304.68075128568756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0.46605887282089575</v>
      </c>
      <c r="AV127" s="21">
        <f>EXP(-LN(2)/25)*AV126+(1-EXP(-LN(2)/25))/(LN(2)/25)*Calculateur!AQ127*Calculateur!AS127*VLOOKUP('Données projet'!$B$10,Paramètres!$A$1:$I$89,3,0)*0.475*44/12</f>
        <v>1.3799454794756814</v>
      </c>
      <c r="AW127" s="21">
        <f>EXP(-LN(2)/2)*AW126+(1-EXP(-LN(2)/2))/(LN(2)/2)*AQ127*AT127*VLOOKUP('Données projet'!$B$10,Paramètres!$A$1:$I$89,3,0)*0.475*44/12</f>
        <v>1.8478391632383586E-13</v>
      </c>
      <c r="AX127" s="21">
        <f t="shared" si="60"/>
        <v>1.8460043522967617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36.10000000000008</v>
      </c>
      <c r="BE127" s="13">
        <f>BD127*VLOOKUP('Données projet'!$B$11,Paramètres!$A$1:$I$89,3,0)*VLOOKUP('Données projet'!$B$11,Paramètres!$A$1:$I$89,5,0)</f>
        <v>31.536960000000075</v>
      </c>
      <c r="BF127" s="13">
        <f t="shared" si="91"/>
        <v>9.725440120377133</v>
      </c>
      <c r="BG127" s="20">
        <f t="shared" si="61"/>
        <v>71.865346876323642</v>
      </c>
      <c r="BH127" s="59">
        <f t="shared" si="62"/>
        <v>365.19868020965697</v>
      </c>
      <c r="BI127" s="59">
        <f ca="1">AVERAGE(OFFSET($BH$3,0,0,'Données projet'!$E$11+1,1))-AVERAGE(OFFSET($H$3,0,0,'Données projet'!$E$11+1,1))</f>
        <v>249.21292089724221</v>
      </c>
      <c r="BJ127" s="59">
        <f t="shared" si="92"/>
        <v>640.80644476065254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17.527703550069059</v>
      </c>
      <c r="BQ127" s="21">
        <f>EXP(-LN(2)/25)*BQ126+(1-EXP(-LN(2)/25))/(LN(2)/25)*Calculateur!BL127*Calculateur!BN127*VLOOKUP('Données projet'!$B$11,Paramètres!$A$1:$I$89,3,0)*0.475*44/12</f>
        <v>7.911041986623748</v>
      </c>
      <c r="BR127" s="21">
        <f>EXP(-LN(2)/2)*BR126+(1-EXP(-LN(2)/2))/(LN(2)/2)*BL127*BO127*VLOOKUP('Données projet'!$B$11,Paramètres!$A$1:$I$89,3,0)*0.475*44/12</f>
        <v>5.8647871862602248E-13</v>
      </c>
      <c r="BS127" s="22">
        <f t="shared" si="63"/>
        <v>25.438745536693393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234.00000000000045</v>
      </c>
      <c r="BZ127" s="13">
        <f>BY127*VLOOKUP('Données projet'!$B$12,Paramètres!$A$1:$I$89,3,0)*VLOOKUP('Données projet'!$B$12,Paramètres!$A$1:$I$89,5,0)</f>
        <v>189.82080000000036</v>
      </c>
      <c r="CA127" s="13">
        <f t="shared" si="93"/>
        <v>47.500332100049881</v>
      </c>
      <c r="CB127" s="20">
        <f t="shared" si="64"/>
        <v>413.33430507425419</v>
      </c>
      <c r="CC127" s="59">
        <f t="shared" si="65"/>
        <v>706.66763840758745</v>
      </c>
      <c r="CD127" s="59">
        <f ca="1">AVERAGE(OFFSET($CC$3,0,0,'Données projet'!$E$12+1,1))-AVERAGE(OFFSET($H$3,0,0,'Données projet'!$E$12+1,1))</f>
        <v>192.4785660463869</v>
      </c>
      <c r="CE127" s="59">
        <f t="shared" si="94"/>
        <v>165.11095806515362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0.12585841058303407</v>
      </c>
      <c r="CL127" s="21">
        <f>EXP(-LN(2)/25)*CL126+(1-EXP(-LN(2)/25))/(LN(2)/25)*Calculateur!CG127*Calculateur!CI127*VLOOKUP('Données projet'!$B$12,Paramètres!$A$1:$I$89,3,0)*0.475*44/12</f>
        <v>0.34848076138838363</v>
      </c>
      <c r="CM127" s="21">
        <f>EXP(-LN(2)/2)*CM126+(1-EXP(-LN(2)/2))/(LN(2)/2)*CG127*CJ127*VLOOKUP('Données projet'!$B$12,Paramètres!$A$1:$I$89,3,0)*0.475*44/12</f>
        <v>5.2030347251120548E-14</v>
      </c>
      <c r="CN127" s="22">
        <f t="shared" si="66"/>
        <v>0.47433917197146974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275.00000000000057</v>
      </c>
      <c r="CU127" s="17">
        <f>CT127*VLOOKUP('Données projet'!$B$13,Paramètres!$A$1:$I$89,3,0)*VLOOKUP('Données projet'!$B$13,Paramètres!$A$1:$I$89,5,0)</f>
        <v>231.66000000000051</v>
      </c>
      <c r="CV127" s="13">
        <f t="shared" si="95"/>
        <v>56.641461975682923</v>
      </c>
      <c r="CW127" s="20">
        <f t="shared" si="67"/>
        <v>502.12504627431525</v>
      </c>
      <c r="CX127" s="59">
        <f t="shared" si="68"/>
        <v>795.45837960764857</v>
      </c>
      <c r="CY127" s="59">
        <f ca="1">AVERAGE(OFFSET($CX$3,0,0,'Données projet'!$E$13+1,1))-AVERAGE(OFFSET($H$3,0,0,'Données projet'!$E$13+1,1))</f>
        <v>247.67539667223065</v>
      </c>
      <c r="CZ127" s="59">
        <f t="shared" si="96"/>
        <v>174.54442616983778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0.19916056180172426</v>
      </c>
      <c r="DG127" s="21">
        <f>EXP(-LN(2)/25)*DG126+(1-EXP(-LN(2)/25))/(LN(2)/25)*Calculateur!DB127*Calculateur!DD127*VLOOKUP('Données projet'!$B$13,Paramètres!$A$1:$I$89,3,0)*0.475*44/12</f>
        <v>0.48530335490451981</v>
      </c>
      <c r="DH127" s="21">
        <f>EXP(-LN(2)/2)*DH126+(1-EXP(-LN(2)/2))/(LN(2)/2)*DB127*DE127*VLOOKUP('Données projet'!$B$13,Paramètres!$A$1:$I$89,3,0)*0.475*44/12</f>
        <v>8.1810578228738642E-14</v>
      </c>
      <c r="DI127" s="22">
        <f t="shared" si="69"/>
        <v>0.68446391670632589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5.3066239316239274</v>
      </c>
      <c r="DO127" s="12">
        <f>IF('Données projet'!$A$166&gt;35,DO126+DN127-DW126,IF(A127&lt;'Données projet'!$A$166,$DL$205^A127,IF(A127='Données projet'!$A$166,'Données projet'!$B$166,DO126+DN127-DW126)))</f>
        <v>272.98824786324741</v>
      </c>
      <c r="DP127" s="17">
        <f>DO127*VLOOKUP('Données projet'!$B$14,Paramètres!$A$1:$I$89,3,0)*VLOOKUP('Données projet'!$B$14,Paramètres!$A$1:$I$89,5,0)</f>
        <v>272.55146666666622</v>
      </c>
      <c r="DQ127" s="13">
        <f t="shared" si="97"/>
        <v>65.390458143486015</v>
      </c>
      <c r="DR127" s="20">
        <f t="shared" si="70"/>
        <v>588.58218571101509</v>
      </c>
      <c r="DS127" s="59">
        <f t="shared" si="71"/>
        <v>881.91551904434846</v>
      </c>
      <c r="DT127" s="59">
        <f ca="1">AVERAGE(OFFSET($DS$3,0,0,'Données projet'!$E$14+1,1))-AVERAGE(OFFSET($H$3,0,0,'Données projet'!$E$14+1,1))</f>
        <v>245.06609107649069</v>
      </c>
      <c r="DU127" s="59">
        <f t="shared" si="98"/>
        <v>156.24531945456499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-2.5579538487363607E-13</v>
      </c>
      <c r="EK127" s="17">
        <f>EJ127*VLOOKUP('Données projet'!$B$15,Paramètres!$A$1:$I$89,3,0)*VLOOKUP('Données projet'!$B$15,Paramètres!$A$1:$I$89,5,0)</f>
        <v>-2.7932856028201057E-13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173.63857221119594</v>
      </c>
      <c r="EP127" s="59">
        <f t="shared" si="100"/>
        <v>52.373745617370105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199.58634493109349</v>
      </c>
      <c r="T128" s="59">
        <f t="shared" si="88"/>
        <v>288.66487031729008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0.76145144588922231</v>
      </c>
      <c r="AA128" s="21">
        <f>EXP(-LN(2)/25)*AA127+(1-EXP(-LN(2)/25))/(LN(2)/25)*Calculateur!V128*Calculateur!X128*VLOOKUP('Données projet'!$B$9,Paramètres!$A$1:$I$89,3,0)*0.475*44/12</f>
        <v>1.2298124731341733</v>
      </c>
      <c r="AB128" s="21">
        <f>EXP(-LN(2)/2)*AB127+(1-EXP(-LN(2)/2))/(LN(2)/2)*V128*Y128*VLOOKUP('Données projet'!$B$9,Paramètres!$A$1:$I$89,3,0)*0.475*44/12</f>
        <v>1.4821179692458789E-14</v>
      </c>
      <c r="AC128" s="22">
        <f t="shared" si="57"/>
        <v>1.9912639190234105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606.99999999999989</v>
      </c>
      <c r="AJ128" s="13">
        <f>AI128*VLOOKUP('Données projet'!$B$10,Paramètres!$A$1:$I$89,3,0)*VLOOKUP('Données projet'!$B$10,Paramètres!$A$1:$I$89,5,0)</f>
        <v>362.98599999999999</v>
      </c>
      <c r="AK128" s="13">
        <f t="shared" si="89"/>
        <v>84.230767602863935</v>
      </c>
      <c r="AL128" s="20">
        <f t="shared" si="58"/>
        <v>778.90253690832139</v>
      </c>
      <c r="AM128" s="59">
        <f t="shared" si="59"/>
        <v>1072.2358702416548</v>
      </c>
      <c r="AN128" s="59">
        <f ca="1">AVERAGE(OFFSET($AM$3,0,0,'Données projet'!$E$10+1,1))-AVERAGE(OFFSET($H$3,0,0,'Données projet'!$E$10+1,1))</f>
        <v>395.40396173178527</v>
      </c>
      <c r="AO128" s="59">
        <f t="shared" si="90"/>
        <v>304.68075128568756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0.45691974259272128</v>
      </c>
      <c r="AV128" s="21">
        <f>EXP(-LN(2)/25)*AV127+(1-EXP(-LN(2)/25))/(LN(2)/25)*Calculateur!AQ128*Calculateur!AS128*VLOOKUP('Données projet'!$B$10,Paramètres!$A$1:$I$89,3,0)*0.475*44/12</f>
        <v>1.3422107977712401</v>
      </c>
      <c r="AW128" s="21">
        <f>EXP(-LN(2)/2)*AW127+(1-EXP(-LN(2)/2))/(LN(2)/2)*AQ128*AT128*VLOOKUP('Données projet'!$B$10,Paramètres!$A$1:$I$89,3,0)*0.475*44/12</f>
        <v>1.3066196028679191E-13</v>
      </c>
      <c r="AX128" s="21">
        <f t="shared" si="60"/>
        <v>1.799130540364092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36.10000000000008</v>
      </c>
      <c r="BE128" s="13">
        <f>BD128*VLOOKUP('Données projet'!$B$11,Paramètres!$A$1:$I$89,3,0)*VLOOKUP('Données projet'!$B$11,Paramètres!$A$1:$I$89,5,0)</f>
        <v>31.536960000000075</v>
      </c>
      <c r="BF128" s="13">
        <f t="shared" si="91"/>
        <v>9.725440120377133</v>
      </c>
      <c r="BG128" s="20">
        <f t="shared" si="61"/>
        <v>71.865346876323642</v>
      </c>
      <c r="BH128" s="59">
        <f t="shared" si="62"/>
        <v>365.19868020965697</v>
      </c>
      <c r="BI128" s="59">
        <f ca="1">AVERAGE(OFFSET($BH$3,0,0,'Données projet'!$E$11+1,1))-AVERAGE(OFFSET($H$3,0,0,'Données projet'!$E$11+1,1))</f>
        <v>249.21292089724221</v>
      </c>
      <c r="BJ128" s="59">
        <f t="shared" si="92"/>
        <v>640.80644476065254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17.183995974295737</v>
      </c>
      <c r="BQ128" s="21">
        <f>EXP(-LN(2)/25)*BQ127+(1-EXP(-LN(2)/25))/(LN(2)/25)*Calculateur!BL128*Calculateur!BN128*VLOOKUP('Données projet'!$B$11,Paramètres!$A$1:$I$89,3,0)*0.475*44/12</f>
        <v>7.6947141274759048</v>
      </c>
      <c r="BR128" s="21">
        <f>EXP(-LN(2)/2)*BR127+(1-EXP(-LN(2)/2))/(LN(2)/2)*BL128*BO128*VLOOKUP('Données projet'!$B$11,Paramètres!$A$1:$I$89,3,0)*0.475*44/12</f>
        <v>4.1470307896205766E-13</v>
      </c>
      <c r="BS128" s="22">
        <f t="shared" si="63"/>
        <v>24.878710101772057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234.00000000000045</v>
      </c>
      <c r="BZ128" s="13">
        <f>BY128*VLOOKUP('Données projet'!$B$12,Paramètres!$A$1:$I$89,3,0)*VLOOKUP('Données projet'!$B$12,Paramètres!$A$1:$I$89,5,0)</f>
        <v>189.82080000000036</v>
      </c>
      <c r="CA128" s="13">
        <f t="shared" si="93"/>
        <v>47.500332100049881</v>
      </c>
      <c r="CB128" s="20">
        <f t="shared" si="64"/>
        <v>413.33430507425419</v>
      </c>
      <c r="CC128" s="59">
        <f t="shared" si="65"/>
        <v>706.66763840758745</v>
      </c>
      <c r="CD128" s="59">
        <f ca="1">AVERAGE(OFFSET($CC$3,0,0,'Données projet'!$E$12+1,1))-AVERAGE(OFFSET($H$3,0,0,'Données projet'!$E$12+1,1))</f>
        <v>192.4785660463869</v>
      </c>
      <c r="CE128" s="59">
        <f t="shared" si="94"/>
        <v>165.11095806515362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0.12339040391755121</v>
      </c>
      <c r="CL128" s="21">
        <f>EXP(-LN(2)/25)*CL127+(1-EXP(-LN(2)/25))/(LN(2)/25)*Calculateur!CG128*Calculateur!CI128*VLOOKUP('Données projet'!$B$12,Paramètres!$A$1:$I$89,3,0)*0.475*44/12</f>
        <v>0.33895153664241151</v>
      </c>
      <c r="CM128" s="21">
        <f>EXP(-LN(2)/2)*CM127+(1-EXP(-LN(2)/2))/(LN(2)/2)*CG128*CJ128*VLOOKUP('Données projet'!$B$12,Paramètres!$A$1:$I$89,3,0)*0.475*44/12</f>
        <v>3.6791011368758181E-14</v>
      </c>
      <c r="CN128" s="22">
        <f t="shared" si="66"/>
        <v>0.4623419405599995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275.00000000000057</v>
      </c>
      <c r="CU128" s="17">
        <f>CT128*VLOOKUP('Données projet'!$B$13,Paramètres!$A$1:$I$89,3,0)*VLOOKUP('Données projet'!$B$13,Paramètres!$A$1:$I$89,5,0)</f>
        <v>231.66000000000051</v>
      </c>
      <c r="CV128" s="13">
        <f t="shared" si="95"/>
        <v>56.641461975682923</v>
      </c>
      <c r="CW128" s="20">
        <f t="shared" si="67"/>
        <v>502.12504627431525</v>
      </c>
      <c r="CX128" s="59">
        <f t="shared" si="68"/>
        <v>795.45837960764857</v>
      </c>
      <c r="CY128" s="59">
        <f ca="1">AVERAGE(OFFSET($CX$3,0,0,'Données projet'!$E$13+1,1))-AVERAGE(OFFSET($H$3,0,0,'Données projet'!$E$13+1,1))</f>
        <v>247.67539667223065</v>
      </c>
      <c r="CZ128" s="59">
        <f t="shared" si="96"/>
        <v>174.54442616983778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0.1952551446607404</v>
      </c>
      <c r="DG128" s="21">
        <f>EXP(-LN(2)/25)*DG127+(1-EXP(-LN(2)/25))/(LN(2)/25)*Calculateur!DB128*Calculateur!DD128*VLOOKUP('Données projet'!$B$13,Paramètres!$A$1:$I$89,3,0)*0.475*44/12</f>
        <v>0.47203270914366147</v>
      </c>
      <c r="DH128" s="21">
        <f>EXP(-LN(2)/2)*DH127+(1-EXP(-LN(2)/2))/(LN(2)/2)*DB128*DE128*VLOOKUP('Données projet'!$B$13,Paramètres!$A$1:$I$89,3,0)*0.475*44/12</f>
        <v>5.7848814638333623E-14</v>
      </c>
      <c r="DI128" s="22">
        <f t="shared" si="69"/>
        <v>0.66728785380445965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278.29487179487177</v>
      </c>
      <c r="DM128" s="12">
        <f>VLOOKUP(A128,'Données projet'!$A$165:$I$185,9,0)</f>
        <v>5.3066239316239274</v>
      </c>
      <c r="DN128" s="12">
        <f t="array" ref="DN128">INDEX(DM:DM,MIN(IF(ISNUMBER(DM128:DM324),ROW(DM128:DM324),"")))</f>
        <v>5.3066239316239274</v>
      </c>
      <c r="DO128" s="12">
        <f>IF('Données projet'!$A$166&gt;35,DO127+DN128-DW127,IF(A128&lt;'Données projet'!$A$166,$DL$205^A128,IF(A128='Données projet'!$A$166,'Données projet'!$B$166,DO127+DN128-DW127)))</f>
        <v>278.29487179487131</v>
      </c>
      <c r="DP128" s="17">
        <f>DO128*VLOOKUP('Données projet'!$B$14,Paramètres!$A$1:$I$89,3,0)*VLOOKUP('Données projet'!$B$14,Paramètres!$A$1:$I$89,5,0)</f>
        <v>277.84959999999955</v>
      </c>
      <c r="DQ128" s="13">
        <f t="shared" si="97"/>
        <v>66.512363837156869</v>
      </c>
      <c r="DR128" s="20">
        <f t="shared" si="70"/>
        <v>599.76375368304741</v>
      </c>
      <c r="DS128" s="59">
        <f t="shared" si="71"/>
        <v>893.09708701638078</v>
      </c>
      <c r="DT128" s="59">
        <f ca="1">AVERAGE(OFFSET($DS$3,0,0,'Données projet'!$E$14+1,1))-AVERAGE(OFFSET($H$3,0,0,'Données projet'!$E$14+1,1))</f>
        <v>245.06609107649069</v>
      </c>
      <c r="DU128" s="59">
        <f t="shared" si="98"/>
        <v>156.24531945456499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48.160256410256409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-2.5579538487363607E-13</v>
      </c>
      <c r="EK128" s="17">
        <f>EJ128*VLOOKUP('Données projet'!$B$15,Paramètres!$A$1:$I$89,3,0)*VLOOKUP('Données projet'!$B$15,Paramètres!$A$1:$I$89,5,0)</f>
        <v>-2.7932856028201057E-13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173.63857221119594</v>
      </c>
      <c r="EP128" s="59">
        <f t="shared" si="100"/>
        <v>52.373745617370105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199.58634493109349</v>
      </c>
      <c r="T129" s="59">
        <f t="shared" si="88"/>
        <v>288.66487031729008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0.74651984747485711</v>
      </c>
      <c r="AA129" s="21">
        <f>EXP(-LN(2)/25)*AA128+(1-EXP(-LN(2)/25))/(LN(2)/25)*Calculateur!V129*Calculateur!X129*VLOOKUP('Données projet'!$B$9,Paramètres!$A$1:$I$89,3,0)*0.475*44/12</f>
        <v>1.1961831863832921</v>
      </c>
      <c r="AB129" s="21">
        <f>EXP(-LN(2)/2)*AB128+(1-EXP(-LN(2)/2))/(LN(2)/2)*V129*Y129*VLOOKUP('Données projet'!$B$9,Paramètres!$A$1:$I$89,3,0)*0.475*44/12</f>
        <v>1.0480156665721958E-14</v>
      </c>
      <c r="AC129" s="22">
        <f t="shared" si="57"/>
        <v>1.9427030338581597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606.99999999999989</v>
      </c>
      <c r="AJ129" s="13">
        <f>AI129*VLOOKUP('Données projet'!$B$10,Paramètres!$A$1:$I$89,3,0)*VLOOKUP('Données projet'!$B$10,Paramètres!$A$1:$I$89,5,0)</f>
        <v>362.98599999999999</v>
      </c>
      <c r="AK129" s="13">
        <f t="shared" si="89"/>
        <v>84.230767602863935</v>
      </c>
      <c r="AL129" s="20">
        <f t="shared" si="58"/>
        <v>778.90253690832139</v>
      </c>
      <c r="AM129" s="59">
        <f t="shared" si="59"/>
        <v>1072.2358702416548</v>
      </c>
      <c r="AN129" s="59">
        <f ca="1">AVERAGE(OFFSET($AM$3,0,0,'Données projet'!$E$10+1,1))-AVERAGE(OFFSET($H$3,0,0,'Données projet'!$E$10+1,1))</f>
        <v>395.40396173178527</v>
      </c>
      <c r="AO129" s="59">
        <f t="shared" si="90"/>
        <v>304.68075128568756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0.44795982513400229</v>
      </c>
      <c r="AV129" s="21">
        <f>EXP(-LN(2)/25)*AV128+(1-EXP(-LN(2)/25))/(LN(2)/25)*Calculateur!AQ129*Calculateur!AS129*VLOOKUP('Données projet'!$B$10,Paramètres!$A$1:$I$89,3,0)*0.475*44/12</f>
        <v>1.3055079729223873</v>
      </c>
      <c r="AW129" s="21">
        <f>EXP(-LN(2)/2)*AW128+(1-EXP(-LN(2)/2))/(LN(2)/2)*AQ129*AT129*VLOOKUP('Données projet'!$B$10,Paramètres!$A$1:$I$89,3,0)*0.475*44/12</f>
        <v>9.2391958161917928E-14</v>
      </c>
      <c r="AX129" s="21">
        <f t="shared" si="60"/>
        <v>1.7534677980564819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36.10000000000008</v>
      </c>
      <c r="BE129" s="13">
        <f>BD129*VLOOKUP('Données projet'!$B$11,Paramètres!$A$1:$I$89,3,0)*VLOOKUP('Données projet'!$B$11,Paramètres!$A$1:$I$89,5,0)</f>
        <v>31.536960000000075</v>
      </c>
      <c r="BF129" s="13">
        <f t="shared" si="91"/>
        <v>9.725440120377133</v>
      </c>
      <c r="BG129" s="20">
        <f t="shared" si="61"/>
        <v>71.865346876323642</v>
      </c>
      <c r="BH129" s="59">
        <f t="shared" si="62"/>
        <v>365.19868020965697</v>
      </c>
      <c r="BI129" s="59">
        <f ca="1">AVERAGE(OFFSET($BH$3,0,0,'Données projet'!$E$11+1,1))-AVERAGE(OFFSET($H$3,0,0,'Données projet'!$E$11+1,1))</f>
        <v>249.21292089724221</v>
      </c>
      <c r="BJ129" s="59">
        <f t="shared" si="92"/>
        <v>640.80644476065254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16.84702829444241</v>
      </c>
      <c r="BQ129" s="21">
        <f>EXP(-LN(2)/25)*BQ128+(1-EXP(-LN(2)/25))/(LN(2)/25)*Calculateur!BL129*Calculateur!BN129*VLOOKUP('Données projet'!$B$11,Paramètres!$A$1:$I$89,3,0)*0.475*44/12</f>
        <v>7.4843017650126464</v>
      </c>
      <c r="BR129" s="21">
        <f>EXP(-LN(2)/2)*BR128+(1-EXP(-LN(2)/2))/(LN(2)/2)*BL129*BO129*VLOOKUP('Données projet'!$B$11,Paramètres!$A$1:$I$89,3,0)*0.475*44/12</f>
        <v>2.9323935931301124E-13</v>
      </c>
      <c r="BS129" s="22">
        <f t="shared" si="63"/>
        <v>24.33133005945535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234.00000000000045</v>
      </c>
      <c r="BZ129" s="13">
        <f>BY129*VLOOKUP('Données projet'!$B$12,Paramètres!$A$1:$I$89,3,0)*VLOOKUP('Données projet'!$B$12,Paramètres!$A$1:$I$89,5,0)</f>
        <v>189.82080000000036</v>
      </c>
      <c r="CA129" s="13">
        <f t="shared" si="93"/>
        <v>47.500332100049881</v>
      </c>
      <c r="CB129" s="20">
        <f t="shared" si="64"/>
        <v>413.33430507425419</v>
      </c>
      <c r="CC129" s="59">
        <f t="shared" si="65"/>
        <v>706.66763840758745</v>
      </c>
      <c r="CD129" s="59">
        <f ca="1">AVERAGE(OFFSET($CC$3,0,0,'Données projet'!$E$12+1,1))-AVERAGE(OFFSET($H$3,0,0,'Données projet'!$E$12+1,1))</f>
        <v>192.4785660463869</v>
      </c>
      <c r="CE129" s="59">
        <f t="shared" si="94"/>
        <v>165.11095806515362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0.12097079335744304</v>
      </c>
      <c r="CL129" s="21">
        <f>EXP(-LN(2)/25)*CL128+(1-EXP(-LN(2)/25))/(LN(2)/25)*Calculateur!CG129*Calculateur!CI129*VLOOKUP('Données projet'!$B$12,Paramètres!$A$1:$I$89,3,0)*0.475*44/12</f>
        <v>0.32968288904823811</v>
      </c>
      <c r="CM129" s="21">
        <f>EXP(-LN(2)/2)*CM128+(1-EXP(-LN(2)/2))/(LN(2)/2)*CG129*CJ129*VLOOKUP('Données projet'!$B$12,Paramètres!$A$1:$I$89,3,0)*0.475*44/12</f>
        <v>2.6015173625560274E-14</v>
      </c>
      <c r="CN129" s="22">
        <f t="shared" si="66"/>
        <v>0.45065368240570719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275.00000000000057</v>
      </c>
      <c r="CU129" s="17">
        <f>CT129*VLOOKUP('Données projet'!$B$13,Paramètres!$A$1:$I$89,3,0)*VLOOKUP('Données projet'!$B$13,Paramètres!$A$1:$I$89,5,0)</f>
        <v>231.66000000000051</v>
      </c>
      <c r="CV129" s="13">
        <f t="shared" si="95"/>
        <v>56.641461975682923</v>
      </c>
      <c r="CW129" s="20">
        <f t="shared" si="67"/>
        <v>502.12504627431525</v>
      </c>
      <c r="CX129" s="59">
        <f t="shared" si="68"/>
        <v>795.45837960764857</v>
      </c>
      <c r="CY129" s="59">
        <f ca="1">AVERAGE(OFFSET($CX$3,0,0,'Données projet'!$E$13+1,1))-AVERAGE(OFFSET($H$3,0,0,'Données projet'!$E$13+1,1))</f>
        <v>247.67539667223065</v>
      </c>
      <c r="CZ129" s="59">
        <f t="shared" si="96"/>
        <v>174.54442616983778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0.19142631036782198</v>
      </c>
      <c r="DG129" s="21">
        <f>EXP(-LN(2)/25)*DG128+(1-EXP(-LN(2)/25))/(LN(2)/25)*Calculateur!DB129*Calculateur!DD129*VLOOKUP('Données projet'!$B$13,Paramètres!$A$1:$I$89,3,0)*0.475*44/12</f>
        <v>0.45912494988900671</v>
      </c>
      <c r="DH129" s="21">
        <f>EXP(-LN(2)/2)*DH128+(1-EXP(-LN(2)/2))/(LN(2)/2)*DB129*DE129*VLOOKUP('Données projet'!$B$13,Paramètres!$A$1:$I$89,3,0)*0.475*44/12</f>
        <v>4.0905289114369321E-14</v>
      </c>
      <c r="DI129" s="22">
        <f t="shared" si="69"/>
        <v>0.65055126025686949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5.2446581196581219</v>
      </c>
      <c r="DO129" s="12">
        <f>IF('Données projet'!$A$166&gt;35,DO128+DN129-DW128,IF(A129&lt;'Données projet'!$A$166,$DL$205^A129,IF(A129='Données projet'!$A$166,'Données projet'!$B$166,DO128+DN129-DW128)))</f>
        <v>235.37927350427304</v>
      </c>
      <c r="DP129" s="17">
        <f>DO129*VLOOKUP('Données projet'!$B$14,Paramètres!$A$1:$I$89,3,0)*VLOOKUP('Données projet'!$B$14,Paramètres!$A$1:$I$89,5,0)</f>
        <v>235.00266666666622</v>
      </c>
      <c r="DQ129" s="13">
        <f t="shared" si="97"/>
        <v>57.363016677068437</v>
      </c>
      <c r="DR129" s="20">
        <f t="shared" si="70"/>
        <v>509.2035651570045</v>
      </c>
      <c r="DS129" s="59">
        <f t="shared" si="71"/>
        <v>802.53689849033776</v>
      </c>
      <c r="DT129" s="59">
        <f ca="1">AVERAGE(OFFSET($DS$3,0,0,'Données projet'!$E$14+1,1))-AVERAGE(OFFSET($H$3,0,0,'Données projet'!$E$14+1,1))</f>
        <v>245.06609107649069</v>
      </c>
      <c r="DU129" s="59">
        <f t="shared" si="98"/>
        <v>156.24531945456499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-2.5579538487363607E-13</v>
      </c>
      <c r="EK129" s="17">
        <f>EJ129*VLOOKUP('Données projet'!$B$15,Paramètres!$A$1:$I$89,3,0)*VLOOKUP('Données projet'!$B$15,Paramètres!$A$1:$I$89,5,0)</f>
        <v>-2.7932856028201057E-13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173.63857221119594</v>
      </c>
      <c r="EP129" s="59">
        <f t="shared" si="100"/>
        <v>52.373745617370105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199.58634493109349</v>
      </c>
      <c r="T130" s="59">
        <f t="shared" si="88"/>
        <v>288.66487031729008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0.73188104859802183</v>
      </c>
      <c r="AA130" s="21">
        <f>EXP(-LN(2)/25)*AA129+(1-EXP(-LN(2)/25))/(LN(2)/25)*Calculateur!V130*Calculateur!X130*VLOOKUP('Données projet'!$B$9,Paramètres!$A$1:$I$89,3,0)*0.475*44/12</f>
        <v>1.1634734942471012</v>
      </c>
      <c r="AB130" s="21">
        <f>EXP(-LN(2)/2)*AB129+(1-EXP(-LN(2)/2))/(LN(2)/2)*V130*Y130*VLOOKUP('Données projet'!$B$9,Paramètres!$A$1:$I$89,3,0)*0.475*44/12</f>
        <v>7.4105898462293944E-15</v>
      </c>
      <c r="AC130" s="22">
        <f t="shared" si="57"/>
        <v>1.8953545428451304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606.99999999999989</v>
      </c>
      <c r="AJ130" s="13">
        <f>AI130*VLOOKUP('Données projet'!$B$10,Paramètres!$A$1:$I$89,3,0)*VLOOKUP('Données projet'!$B$10,Paramètres!$A$1:$I$89,5,0)</f>
        <v>362.98599999999999</v>
      </c>
      <c r="AK130" s="13">
        <f t="shared" si="89"/>
        <v>84.230767602863935</v>
      </c>
      <c r="AL130" s="20">
        <f t="shared" si="58"/>
        <v>778.90253690832139</v>
      </c>
      <c r="AM130" s="59">
        <f t="shared" si="59"/>
        <v>1072.2358702416548</v>
      </c>
      <c r="AN130" s="59">
        <f ca="1">AVERAGE(OFFSET($AM$3,0,0,'Données projet'!$E$10+1,1))-AVERAGE(OFFSET($H$3,0,0,'Données projet'!$E$10+1,1))</f>
        <v>395.40396173178527</v>
      </c>
      <c r="AO130" s="59">
        <f t="shared" si="90"/>
        <v>304.68075128568756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0.43917560619163876</v>
      </c>
      <c r="AV130" s="21">
        <f>EXP(-LN(2)/25)*AV129+(1-EXP(-LN(2)/25))/(LN(2)/25)*Calculateur!AQ130*Calculateur!AS130*VLOOKUP('Données projet'!$B$10,Paramètres!$A$1:$I$89,3,0)*0.475*44/12</f>
        <v>1.269808788749144</v>
      </c>
      <c r="AW130" s="21">
        <f>EXP(-LN(2)/2)*AW129+(1-EXP(-LN(2)/2))/(LN(2)/2)*AQ130*AT130*VLOOKUP('Données projet'!$B$10,Paramètres!$A$1:$I$89,3,0)*0.475*44/12</f>
        <v>6.5330980143395953E-14</v>
      </c>
      <c r="AX130" s="21">
        <f t="shared" si="60"/>
        <v>1.7089843949408481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36.10000000000008</v>
      </c>
      <c r="BE130" s="13">
        <f>BD130*VLOOKUP('Données projet'!$B$11,Paramètres!$A$1:$I$89,3,0)*VLOOKUP('Données projet'!$B$11,Paramètres!$A$1:$I$89,5,0)</f>
        <v>31.536960000000075</v>
      </c>
      <c r="BF130" s="13">
        <f t="shared" si="91"/>
        <v>9.725440120377133</v>
      </c>
      <c r="BG130" s="20">
        <f t="shared" si="61"/>
        <v>71.865346876323642</v>
      </c>
      <c r="BH130" s="59">
        <f t="shared" si="62"/>
        <v>365.19868020965697</v>
      </c>
      <c r="BI130" s="59">
        <f ca="1">AVERAGE(OFFSET($BH$3,0,0,'Données projet'!$E$11+1,1))-AVERAGE(OFFSET($H$3,0,0,'Données projet'!$E$11+1,1))</f>
        <v>249.21292089724221</v>
      </c>
      <c r="BJ130" s="59">
        <f t="shared" si="92"/>
        <v>640.80644476065254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16.516668345261014</v>
      </c>
      <c r="BQ130" s="21">
        <f>EXP(-LN(2)/25)*BQ129+(1-EXP(-LN(2)/25))/(LN(2)/25)*Calculateur!BL130*Calculateur!BN130*VLOOKUP('Données projet'!$B$11,Paramètres!$A$1:$I$89,3,0)*0.475*44/12</f>
        <v>7.2796431396660513</v>
      </c>
      <c r="BR130" s="21">
        <f>EXP(-LN(2)/2)*BR129+(1-EXP(-LN(2)/2))/(LN(2)/2)*BL130*BO130*VLOOKUP('Données projet'!$B$11,Paramètres!$A$1:$I$89,3,0)*0.475*44/12</f>
        <v>2.0735153948102883E-13</v>
      </c>
      <c r="BS130" s="22">
        <f t="shared" si="63"/>
        <v>23.796311484927273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234.00000000000045</v>
      </c>
      <c r="BZ130" s="13">
        <f>BY130*VLOOKUP('Données projet'!$B$12,Paramètres!$A$1:$I$89,3,0)*VLOOKUP('Données projet'!$B$12,Paramètres!$A$1:$I$89,5,0)</f>
        <v>189.82080000000036</v>
      </c>
      <c r="CA130" s="13">
        <f t="shared" si="93"/>
        <v>47.500332100049881</v>
      </c>
      <c r="CB130" s="20">
        <f t="shared" si="64"/>
        <v>413.33430507425419</v>
      </c>
      <c r="CC130" s="59">
        <f t="shared" si="65"/>
        <v>706.66763840758745</v>
      </c>
      <c r="CD130" s="59">
        <f ca="1">AVERAGE(OFFSET($CC$3,0,0,'Données projet'!$E$12+1,1))-AVERAGE(OFFSET($H$3,0,0,'Données projet'!$E$12+1,1))</f>
        <v>192.4785660463869</v>
      </c>
      <c r="CE130" s="59">
        <f t="shared" si="94"/>
        <v>165.11095806515362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0.11859862988460187</v>
      </c>
      <c r="CL130" s="21">
        <f>EXP(-LN(2)/25)*CL129+(1-EXP(-LN(2)/25))/(LN(2)/25)*Calculateur!CG130*Calculateur!CI130*VLOOKUP('Données projet'!$B$12,Paramètres!$A$1:$I$89,3,0)*0.475*44/12</f>
        <v>0.32066769310994442</v>
      </c>
      <c r="CM130" s="21">
        <f>EXP(-LN(2)/2)*CM129+(1-EXP(-LN(2)/2))/(LN(2)/2)*CG130*CJ130*VLOOKUP('Données projet'!$B$12,Paramètres!$A$1:$I$89,3,0)*0.475*44/12</f>
        <v>1.8395505684379091E-14</v>
      </c>
      <c r="CN130" s="22">
        <f t="shared" si="66"/>
        <v>0.43926632299456464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275.00000000000057</v>
      </c>
      <c r="CU130" s="17">
        <f>CT130*VLOOKUP('Données projet'!$B$13,Paramètres!$A$1:$I$89,3,0)*VLOOKUP('Données projet'!$B$13,Paramètres!$A$1:$I$89,5,0)</f>
        <v>231.66000000000051</v>
      </c>
      <c r="CV130" s="13">
        <f t="shared" si="95"/>
        <v>56.641461975682923</v>
      </c>
      <c r="CW130" s="20">
        <f t="shared" si="67"/>
        <v>502.12504627431525</v>
      </c>
      <c r="CX130" s="59">
        <f t="shared" si="68"/>
        <v>795.45837960764857</v>
      </c>
      <c r="CY130" s="59">
        <f ca="1">AVERAGE(OFFSET($CX$3,0,0,'Données projet'!$E$13+1,1))-AVERAGE(OFFSET($H$3,0,0,'Données projet'!$E$13+1,1))</f>
        <v>247.67539667223065</v>
      </c>
      <c r="CZ130" s="59">
        <f t="shared" si="96"/>
        <v>174.54442616983778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0.18767255718002937</v>
      </c>
      <c r="DG130" s="21">
        <f>EXP(-LN(2)/25)*DG129+(1-EXP(-LN(2)/25))/(LN(2)/25)*Calculateur!DB130*Calculateur!DD130*VLOOKUP('Données projet'!$B$13,Paramètres!$A$1:$I$89,3,0)*0.475*44/12</f>
        <v>0.44657015398996003</v>
      </c>
      <c r="DH130" s="21">
        <f>EXP(-LN(2)/2)*DH129+(1-EXP(-LN(2)/2))/(LN(2)/2)*DB130*DE130*VLOOKUP('Données projet'!$B$13,Paramètres!$A$1:$I$89,3,0)*0.475*44/12</f>
        <v>2.8924407319166811E-14</v>
      </c>
      <c r="DI130" s="22">
        <f t="shared" si="69"/>
        <v>0.6342427111700184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5.2446581196581219</v>
      </c>
      <c r="DO130" s="12">
        <f>IF('Données projet'!$A$166&gt;35,DO129+DN130-DW129,IF(A130&lt;'Données projet'!$A$166,$DL$205^A130,IF(A130='Données projet'!$A$166,'Données projet'!$B$166,DO129+DN130-DW129)))</f>
        <v>240.62393162393116</v>
      </c>
      <c r="DP130" s="17">
        <f>DO130*VLOOKUP('Données projet'!$B$14,Paramètres!$A$1:$I$89,3,0)*VLOOKUP('Données projet'!$B$14,Paramètres!$A$1:$I$89,5,0)</f>
        <v>240.23893333333285</v>
      </c>
      <c r="DQ130" s="13">
        <f t="shared" si="97"/>
        <v>58.490935175292989</v>
      </c>
      <c r="DR130" s="20">
        <f t="shared" si="70"/>
        <v>520.28785431918993</v>
      </c>
      <c r="DS130" s="59">
        <f t="shared" si="71"/>
        <v>813.6211876525233</v>
      </c>
      <c r="DT130" s="59">
        <f ca="1">AVERAGE(OFFSET($DS$3,0,0,'Données projet'!$E$14+1,1))-AVERAGE(OFFSET($H$3,0,0,'Données projet'!$E$14+1,1))</f>
        <v>245.06609107649069</v>
      </c>
      <c r="DU130" s="59">
        <f t="shared" si="98"/>
        <v>156.24531945456499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-2.5579538487363607E-13</v>
      </c>
      <c r="EK130" s="17">
        <f>EJ130*VLOOKUP('Données projet'!$B$15,Paramètres!$A$1:$I$89,3,0)*VLOOKUP('Données projet'!$B$15,Paramètres!$A$1:$I$89,5,0)</f>
        <v>-2.7932856028201057E-13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173.63857221119594</v>
      </c>
      <c r="EP130" s="59">
        <f t="shared" si="100"/>
        <v>52.373745617370105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199.58634493109349</v>
      </c>
      <c r="T131" s="59">
        <f t="shared" si="88"/>
        <v>288.66487031729008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0.71752930763837564</v>
      </c>
      <c r="AA131" s="21">
        <f>EXP(-LN(2)/25)*AA130+(1-EXP(-LN(2)/25))/(LN(2)/25)*Calculateur!V131*Calculateur!X131*VLOOKUP('Données projet'!$B$9,Paramètres!$A$1:$I$89,3,0)*0.475*44/12</f>
        <v>1.1316582503625023</v>
      </c>
      <c r="AB131" s="21">
        <f>EXP(-LN(2)/2)*AB130+(1-EXP(-LN(2)/2))/(LN(2)/2)*V131*Y131*VLOOKUP('Données projet'!$B$9,Paramètres!$A$1:$I$89,3,0)*0.475*44/12</f>
        <v>5.2400783328609792E-15</v>
      </c>
      <c r="AC131" s="22">
        <f t="shared" si="57"/>
        <v>1.8491875580008834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606.99999999999989</v>
      </c>
      <c r="AJ131" s="13">
        <f>AI131*VLOOKUP('Données projet'!$B$10,Paramètres!$A$1:$I$89,3,0)*VLOOKUP('Données projet'!$B$10,Paramètres!$A$1:$I$89,5,0)</f>
        <v>362.98599999999999</v>
      </c>
      <c r="AK131" s="13">
        <f t="shared" si="89"/>
        <v>84.230767602863935</v>
      </c>
      <c r="AL131" s="20">
        <f t="shared" si="58"/>
        <v>778.90253690832139</v>
      </c>
      <c r="AM131" s="59">
        <f t="shared" si="59"/>
        <v>1072.2358702416548</v>
      </c>
      <c r="AN131" s="59">
        <f ca="1">AVERAGE(OFFSET($AM$3,0,0,'Données projet'!$E$10+1,1))-AVERAGE(OFFSET($H$3,0,0,'Données projet'!$E$10+1,1))</f>
        <v>395.40396173178527</v>
      </c>
      <c r="AO131" s="59">
        <f t="shared" si="90"/>
        <v>304.68075128568756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0.43056364042489048</v>
      </c>
      <c r="AV131" s="21">
        <f>EXP(-LN(2)/25)*AV130+(1-EXP(-LN(2)/25))/(LN(2)/25)*Calculateur!AQ131*Calculateur!AS131*VLOOKUP('Données projet'!$B$10,Paramètres!$A$1:$I$89,3,0)*0.475*44/12</f>
        <v>1.2350858006444567</v>
      </c>
      <c r="AW131" s="21">
        <f>EXP(-LN(2)/2)*AW130+(1-EXP(-LN(2)/2))/(LN(2)/2)*AQ131*AT131*VLOOKUP('Données projet'!$B$10,Paramètres!$A$1:$I$89,3,0)*0.475*44/12</f>
        <v>4.6195979080958964E-14</v>
      </c>
      <c r="AX131" s="21">
        <f t="shared" si="60"/>
        <v>1.6656494410693934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36.10000000000008</v>
      </c>
      <c r="BE131" s="13">
        <f>BD131*VLOOKUP('Données projet'!$B$11,Paramètres!$A$1:$I$89,3,0)*VLOOKUP('Données projet'!$B$11,Paramètres!$A$1:$I$89,5,0)</f>
        <v>31.536960000000075</v>
      </c>
      <c r="BF131" s="13">
        <f t="shared" si="91"/>
        <v>9.725440120377133</v>
      </c>
      <c r="BG131" s="20">
        <f t="shared" si="61"/>
        <v>71.865346876323642</v>
      </c>
      <c r="BH131" s="59">
        <f t="shared" si="62"/>
        <v>365.19868020965697</v>
      </c>
      <c r="BI131" s="59">
        <f ca="1">AVERAGE(OFFSET($BH$3,0,0,'Données projet'!$E$11+1,1))-AVERAGE(OFFSET($H$3,0,0,'Données projet'!$E$11+1,1))</f>
        <v>249.21292089724221</v>
      </c>
      <c r="BJ131" s="59">
        <f t="shared" si="92"/>
        <v>640.80644476065254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16.192786553183392</v>
      </c>
      <c r="BQ131" s="21">
        <f>EXP(-LN(2)/25)*BQ130+(1-EXP(-LN(2)/25))/(LN(2)/25)*Calculateur!BL131*Calculateur!BN131*VLOOKUP('Données projet'!$B$11,Paramètres!$A$1:$I$89,3,0)*0.475*44/12</f>
        <v>7.0805809151920887</v>
      </c>
      <c r="BR131" s="21">
        <f>EXP(-LN(2)/2)*BR130+(1-EXP(-LN(2)/2))/(LN(2)/2)*BL131*BO131*VLOOKUP('Données projet'!$B$11,Paramètres!$A$1:$I$89,3,0)*0.475*44/12</f>
        <v>1.4661967965650562E-13</v>
      </c>
      <c r="BS131" s="22">
        <f t="shared" si="63"/>
        <v>23.273367468375628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234.00000000000045</v>
      </c>
      <c r="BZ131" s="13">
        <f>BY131*VLOOKUP('Données projet'!$B$12,Paramètres!$A$1:$I$89,3,0)*VLOOKUP('Données projet'!$B$12,Paramètres!$A$1:$I$89,5,0)</f>
        <v>189.82080000000036</v>
      </c>
      <c r="CA131" s="13">
        <f t="shared" si="93"/>
        <v>47.500332100049881</v>
      </c>
      <c r="CB131" s="20">
        <f t="shared" si="64"/>
        <v>413.33430507425419</v>
      </c>
      <c r="CC131" s="59">
        <f t="shared" si="65"/>
        <v>706.66763840758745</v>
      </c>
      <c r="CD131" s="59">
        <f ca="1">AVERAGE(OFFSET($CC$3,0,0,'Données projet'!$E$12+1,1))-AVERAGE(OFFSET($H$3,0,0,'Données projet'!$E$12+1,1))</f>
        <v>192.4785660463869</v>
      </c>
      <c r="CE131" s="59">
        <f t="shared" si="94"/>
        <v>165.11095806515362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0.11627298309058627</v>
      </c>
      <c r="CL131" s="21">
        <f>EXP(-LN(2)/25)*CL130+(1-EXP(-LN(2)/25))/(LN(2)/25)*Calculateur!CG131*Calculateur!CI131*VLOOKUP('Données projet'!$B$12,Paramètres!$A$1:$I$89,3,0)*0.475*44/12</f>
        <v>0.31189901817867188</v>
      </c>
      <c r="CM131" s="21">
        <f>EXP(-LN(2)/2)*CM130+(1-EXP(-LN(2)/2))/(LN(2)/2)*CG131*CJ131*VLOOKUP('Données projet'!$B$12,Paramètres!$A$1:$I$89,3,0)*0.475*44/12</f>
        <v>1.3007586812780137E-14</v>
      </c>
      <c r="CN131" s="22">
        <f t="shared" si="66"/>
        <v>0.42817200126927113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275.00000000000057</v>
      </c>
      <c r="CU131" s="17">
        <f>CT131*VLOOKUP('Données projet'!$B$13,Paramètres!$A$1:$I$89,3,0)*VLOOKUP('Données projet'!$B$13,Paramètres!$A$1:$I$89,5,0)</f>
        <v>231.66000000000051</v>
      </c>
      <c r="CV131" s="13">
        <f t="shared" si="95"/>
        <v>56.641461975682923</v>
      </c>
      <c r="CW131" s="20">
        <f t="shared" si="67"/>
        <v>502.12504627431525</v>
      </c>
      <c r="CX131" s="59">
        <f t="shared" si="68"/>
        <v>795.45837960764857</v>
      </c>
      <c r="CY131" s="59">
        <f ca="1">AVERAGE(OFFSET($CX$3,0,0,'Données projet'!$E$13+1,1))-AVERAGE(OFFSET($H$3,0,0,'Données projet'!$E$13+1,1))</f>
        <v>247.67539667223065</v>
      </c>
      <c r="CZ131" s="59">
        <f t="shared" si="96"/>
        <v>174.54442616983778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0.183992412802686</v>
      </c>
      <c r="DG131" s="21">
        <f>EXP(-LN(2)/25)*DG130+(1-EXP(-LN(2)/25))/(LN(2)/25)*Calculateur!DB131*Calculateur!DD131*VLOOKUP('Données projet'!$B$13,Paramètres!$A$1:$I$89,3,0)*0.475*44/12</f>
        <v>0.43435866964500081</v>
      </c>
      <c r="DH131" s="21">
        <f>EXP(-LN(2)/2)*DH130+(1-EXP(-LN(2)/2))/(LN(2)/2)*DB131*DE131*VLOOKUP('Données projet'!$B$13,Paramètres!$A$1:$I$89,3,0)*0.475*44/12</f>
        <v>2.045264455718466E-14</v>
      </c>
      <c r="DI131" s="22">
        <f t="shared" si="69"/>
        <v>0.6183510824477072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5.2446581196581219</v>
      </c>
      <c r="DO131" s="12">
        <f>IF('Données projet'!$A$166&gt;35,DO130+DN131-DW130,IF(A131&lt;'Données projet'!$A$166,$DL$205^A131,IF(A131='Données projet'!$A$166,'Données projet'!$B$166,DO130+DN131-DW130)))</f>
        <v>245.86858974358927</v>
      </c>
      <c r="DP131" s="17">
        <f>DO131*VLOOKUP('Données projet'!$B$14,Paramètres!$A$1:$I$89,3,0)*VLOOKUP('Données projet'!$B$14,Paramètres!$A$1:$I$89,5,0)</f>
        <v>245.47519999999955</v>
      </c>
      <c r="DQ131" s="13">
        <f t="shared" si="97"/>
        <v>59.615995460373888</v>
      </c>
      <c r="DR131" s="20">
        <f t="shared" si="70"/>
        <v>531.36716542681711</v>
      </c>
      <c r="DS131" s="59">
        <f t="shared" si="71"/>
        <v>824.70049876015037</v>
      </c>
      <c r="DT131" s="59">
        <f ca="1">AVERAGE(OFFSET($DS$3,0,0,'Données projet'!$E$14+1,1))-AVERAGE(OFFSET($H$3,0,0,'Données projet'!$E$14+1,1))</f>
        <v>245.06609107649069</v>
      </c>
      <c r="DU131" s="59">
        <f t="shared" si="98"/>
        <v>156.24531945456499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-2.5579538487363607E-13</v>
      </c>
      <c r="EK131" s="17">
        <f>EJ131*VLOOKUP('Données projet'!$B$15,Paramètres!$A$1:$I$89,3,0)*VLOOKUP('Données projet'!$B$15,Paramètres!$A$1:$I$89,5,0)</f>
        <v>-2.7932856028201057E-13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173.63857221119594</v>
      </c>
      <c r="EP131" s="59">
        <f t="shared" si="100"/>
        <v>52.373745617370105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199.58634493109349</v>
      </c>
      <c r="T132" s="59">
        <f t="shared" si="88"/>
        <v>288.66487031729008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0.70345899556525049</v>
      </c>
      <c r="AA132" s="21">
        <f>EXP(-LN(2)/25)*AA131+(1-EXP(-LN(2)/25))/(LN(2)/25)*Calculateur!V132*Calculateur!X132*VLOOKUP('Données projet'!$B$9,Paramètres!$A$1:$I$89,3,0)*0.475*44/12</f>
        <v>1.1007129959950188</v>
      </c>
      <c r="AB132" s="21">
        <f>EXP(-LN(2)/2)*AB131+(1-EXP(-LN(2)/2))/(LN(2)/2)*V132*Y132*VLOOKUP('Données projet'!$B$9,Paramètres!$A$1:$I$89,3,0)*0.475*44/12</f>
        <v>3.7052949231146972E-15</v>
      </c>
      <c r="AC132" s="22">
        <f t="shared" ref="AC132:AC153" si="111">SUM(Z132:AB132)</f>
        <v>1.804171991560273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606.99999999999989</v>
      </c>
      <c r="AJ132" s="13">
        <f>AI132*VLOOKUP('Données projet'!$B$10,Paramètres!$A$1:$I$89,3,0)*VLOOKUP('Données projet'!$B$10,Paramètres!$A$1:$I$89,5,0)</f>
        <v>362.98599999999999</v>
      </c>
      <c r="AK132" s="13">
        <f t="shared" si="89"/>
        <v>84.230767602863935</v>
      </c>
      <c r="AL132" s="20">
        <f t="shared" ref="AL132:AL153" si="112">(AJ132+AK132)*0.475*44/12</f>
        <v>778.90253690832139</v>
      </c>
      <c r="AM132" s="59">
        <f t="shared" ref="AM132:AM195" si="113">AL132+(AD132+AE132)*44/12</f>
        <v>1072.2358702416548</v>
      </c>
      <c r="AN132" s="59">
        <f ca="1">AVERAGE(OFFSET($AM$3,0,0,'Données projet'!$E$10+1,1))-AVERAGE(OFFSET($H$3,0,0,'Données projet'!$E$10+1,1))</f>
        <v>395.40396173178527</v>
      </c>
      <c r="AO132" s="59">
        <f t="shared" si="90"/>
        <v>304.68075128568756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0.42212055005404769</v>
      </c>
      <c r="AV132" s="21">
        <f>EXP(-LN(2)/25)*AV131+(1-EXP(-LN(2)/25))/(LN(2)/25)*Calculateur!AQ132*Calculateur!AS132*VLOOKUP('Données projet'!$B$10,Paramètres!$A$1:$I$89,3,0)*0.475*44/12</f>
        <v>1.2013123144754947</v>
      </c>
      <c r="AW132" s="21">
        <f>EXP(-LN(2)/2)*AW131+(1-EXP(-LN(2)/2))/(LN(2)/2)*AQ132*AT132*VLOOKUP('Données projet'!$B$10,Paramètres!$A$1:$I$89,3,0)*0.475*44/12</f>
        <v>3.2665490071697976E-14</v>
      </c>
      <c r="AX132" s="21">
        <f t="shared" ref="AX132:AX153" si="114">SUM(AU132:AW132)</f>
        <v>1.623432864529575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36.10000000000008</v>
      </c>
      <c r="BE132" s="13">
        <f>BD132*VLOOKUP('Données projet'!$B$11,Paramètres!$A$1:$I$89,3,0)*VLOOKUP('Données projet'!$B$11,Paramètres!$A$1:$I$89,5,0)</f>
        <v>31.536960000000075</v>
      </c>
      <c r="BF132" s="13">
        <f t="shared" si="91"/>
        <v>9.725440120377133</v>
      </c>
      <c r="BG132" s="20">
        <f t="shared" ref="BG132:BG153" si="115">(BE132+BF132)*0.475*44/12</f>
        <v>71.865346876323642</v>
      </c>
      <c r="BH132" s="59">
        <f t="shared" ref="BH132:BH195" si="116">BG132+(AY132+AZ132)*44/12</f>
        <v>365.19868020965697</v>
      </c>
      <c r="BI132" s="59">
        <f ca="1">AVERAGE(OFFSET($BH$3,0,0,'Données projet'!$E$11+1,1))-AVERAGE(OFFSET($H$3,0,0,'Données projet'!$E$11+1,1))</f>
        <v>249.21292089724221</v>
      </c>
      <c r="BJ132" s="59">
        <f t="shared" si="92"/>
        <v>640.80644476065254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15.875255885500028</v>
      </c>
      <c r="BQ132" s="21">
        <f>EXP(-LN(2)/25)*BQ131+(1-EXP(-LN(2)/25))/(LN(2)/25)*Calculateur!BL132*Calculateur!BN132*VLOOKUP('Données projet'!$B$11,Paramètres!$A$1:$I$89,3,0)*0.475*44/12</f>
        <v>6.8869620577145936</v>
      </c>
      <c r="BR132" s="21">
        <f>EXP(-LN(2)/2)*BR131+(1-EXP(-LN(2)/2))/(LN(2)/2)*BL132*BO132*VLOOKUP('Données projet'!$B$11,Paramètres!$A$1:$I$89,3,0)*0.475*44/12</f>
        <v>1.0367576974051441E-13</v>
      </c>
      <c r="BS132" s="22">
        <f t="shared" ref="BS132:BS153" si="117">SUM(BP132:BR132)</f>
        <v>22.762217943214726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234.00000000000045</v>
      </c>
      <c r="BZ132" s="13">
        <f>BY132*VLOOKUP('Données projet'!$B$12,Paramètres!$A$1:$I$89,3,0)*VLOOKUP('Données projet'!$B$12,Paramètres!$A$1:$I$89,5,0)</f>
        <v>189.82080000000036</v>
      </c>
      <c r="CA132" s="13">
        <f t="shared" si="93"/>
        <v>47.500332100049881</v>
      </c>
      <c r="CB132" s="20">
        <f t="shared" ref="CB132:CB153" si="118">(BZ132+CA132)*0.475*44/12</f>
        <v>413.33430507425419</v>
      </c>
      <c r="CC132" s="59">
        <f t="shared" ref="CC132:CC195" si="119">CB132+(BT132+BU132)*44/12</f>
        <v>706.66763840758745</v>
      </c>
      <c r="CD132" s="59">
        <f ca="1">AVERAGE(OFFSET($CC$3,0,0,'Données projet'!$E$12+1,1))-AVERAGE(OFFSET($H$3,0,0,'Données projet'!$E$12+1,1))</f>
        <v>192.4785660463869</v>
      </c>
      <c r="CE132" s="59">
        <f t="shared" si="94"/>
        <v>165.11095806515362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0.11399294081169684</v>
      </c>
      <c r="CL132" s="21">
        <f>EXP(-LN(2)/25)*CL131+(1-EXP(-LN(2)/25))/(LN(2)/25)*Calculateur!CG132*Calculateur!CI132*VLOOKUP('Données projet'!$B$12,Paramètres!$A$1:$I$89,3,0)*0.475*44/12</f>
        <v>0.30337012312451961</v>
      </c>
      <c r="CM132" s="21">
        <f>EXP(-LN(2)/2)*CM131+(1-EXP(-LN(2)/2))/(LN(2)/2)*CG132*CJ132*VLOOKUP('Données projet'!$B$12,Paramètres!$A$1:$I$89,3,0)*0.475*44/12</f>
        <v>9.1977528421895453E-15</v>
      </c>
      <c r="CN132" s="22">
        <f t="shared" ref="CN132:CN153" si="120">SUM(CK132:CM132)</f>
        <v>0.41736306393622569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275.00000000000057</v>
      </c>
      <c r="CU132" s="17">
        <f>CT132*VLOOKUP('Données projet'!$B$13,Paramètres!$A$1:$I$89,3,0)*VLOOKUP('Données projet'!$B$13,Paramètres!$A$1:$I$89,5,0)</f>
        <v>231.66000000000051</v>
      </c>
      <c r="CV132" s="13">
        <f t="shared" si="95"/>
        <v>56.641461975682923</v>
      </c>
      <c r="CW132" s="20">
        <f t="shared" ref="CW132:CW153" si="121">(CU132+CV132)*0.475*44/12</f>
        <v>502.12504627431525</v>
      </c>
      <c r="CX132" s="59">
        <f t="shared" ref="CX132:CX195" si="122">CW132+(CO132+CP132)*44/12</f>
        <v>795.45837960764857</v>
      </c>
      <c r="CY132" s="59">
        <f ca="1">AVERAGE(OFFSET($CX$3,0,0,'Données projet'!$E$13+1,1))-AVERAGE(OFFSET($H$3,0,0,'Données projet'!$E$13+1,1))</f>
        <v>247.67539667223065</v>
      </c>
      <c r="CZ132" s="59">
        <f t="shared" si="96"/>
        <v>174.54442616983778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0.18038443381191591</v>
      </c>
      <c r="DG132" s="21">
        <f>EXP(-LN(2)/25)*DG131+(1-EXP(-LN(2)/25))/(LN(2)/25)*Calculateur!DB132*Calculateur!DD132*VLOOKUP('Données projet'!$B$13,Paramètres!$A$1:$I$89,3,0)*0.475*44/12</f>
        <v>0.42248110898162855</v>
      </c>
      <c r="DH132" s="21">
        <f>EXP(-LN(2)/2)*DH131+(1-EXP(-LN(2)/2))/(LN(2)/2)*DB132*DE132*VLOOKUP('Données projet'!$B$13,Paramètres!$A$1:$I$89,3,0)*0.475*44/12</f>
        <v>1.4462203659583406E-14</v>
      </c>
      <c r="DI132" s="22">
        <f t="shared" ref="DI132:DI153" si="123">SUM(DF132:DH132)</f>
        <v>0.60286554279355886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5.2446581196581219</v>
      </c>
      <c r="DO132" s="12">
        <f>IF('Données projet'!$A$166&gt;35,DO131+DN132-DW131,IF(A132&lt;'Données projet'!$A$166,$DL$205^A132,IF(A132='Données projet'!$A$166,'Données projet'!$B$166,DO131+DN132-DW131)))</f>
        <v>251.11324786324738</v>
      </c>
      <c r="DP132" s="17">
        <f>DO132*VLOOKUP('Données projet'!$B$14,Paramètres!$A$1:$I$89,3,0)*VLOOKUP('Données projet'!$B$14,Paramètres!$A$1:$I$89,5,0)</f>
        <v>250.71146666666621</v>
      </c>
      <c r="DQ132" s="13">
        <f t="shared" si="97"/>
        <v>60.738265524032691</v>
      </c>
      <c r="DR132" s="20">
        <f t="shared" ref="DR132:DR153" si="124">(DP132+DQ132)*0.475*44/12</f>
        <v>542.44161689880059</v>
      </c>
      <c r="DS132" s="59">
        <f t="shared" ref="DS132:DS195" si="125">DR132+(DJ132+DK132)*44/12</f>
        <v>835.77495023213396</v>
      </c>
      <c r="DT132" s="59">
        <f ca="1">AVERAGE(OFFSET($DS$3,0,0,'Données projet'!$E$14+1,1))-AVERAGE(OFFSET($H$3,0,0,'Données projet'!$E$14+1,1))</f>
        <v>245.06609107649069</v>
      </c>
      <c r="DU132" s="59">
        <f t="shared" si="98"/>
        <v>156.24531945456499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-2.5579538487363607E-13</v>
      </c>
      <c r="EK132" s="17">
        <f>EJ132*VLOOKUP('Données projet'!$B$15,Paramètres!$A$1:$I$89,3,0)*VLOOKUP('Données projet'!$B$15,Paramètres!$A$1:$I$89,5,0)</f>
        <v>-2.7932856028201057E-13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173.63857221119594</v>
      </c>
      <c r="EP132" s="59">
        <f t="shared" si="100"/>
        <v>52.373745617370105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199.58634493109349</v>
      </c>
      <c r="T133" s="59">
        <f t="shared" ref="T133:T196" si="142">$T$3</f>
        <v>288.66487031729008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0.68966459372983635</v>
      </c>
      <c r="AA133" s="21">
        <f>EXP(-LN(2)/25)*AA132+(1-EXP(-LN(2)/25))/(LN(2)/25)*Calculateur!V133*Calculateur!X133*VLOOKUP('Données projet'!$B$9,Paramètres!$A$1:$I$89,3,0)*0.475*44/12</f>
        <v>1.0706139412355542</v>
      </c>
      <c r="AB133" s="21">
        <f>EXP(-LN(2)/2)*AB132+(1-EXP(-LN(2)/2))/(LN(2)/2)*V133*Y133*VLOOKUP('Données projet'!$B$9,Paramètres!$A$1:$I$89,3,0)*0.475*44/12</f>
        <v>2.6200391664304896E-15</v>
      </c>
      <c r="AC133" s="22">
        <f t="shared" si="111"/>
        <v>1.7602785349653933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606.99999999999989</v>
      </c>
      <c r="AJ133" s="13">
        <f>AI133*VLOOKUP('Données projet'!$B$10,Paramètres!$A$1:$I$89,3,0)*VLOOKUP('Données projet'!$B$10,Paramètres!$A$1:$I$89,5,0)</f>
        <v>362.98599999999999</v>
      </c>
      <c r="AK133" s="13">
        <f t="shared" ref="AK133:AK153" si="143">EXP(-1.0587+0.8836*LN(AJ133)+0.284)</f>
        <v>84.230767602863935</v>
      </c>
      <c r="AL133" s="20">
        <f t="shared" si="112"/>
        <v>778.90253690832139</v>
      </c>
      <c r="AM133" s="59">
        <f t="shared" si="113"/>
        <v>1072.2358702416548</v>
      </c>
      <c r="AN133" s="59">
        <f ca="1">AVERAGE(OFFSET($AM$3,0,0,'Données projet'!$E$10+1,1))-AVERAGE(OFFSET($H$3,0,0,'Données projet'!$E$10+1,1))</f>
        <v>395.40396173178527</v>
      </c>
      <c r="AO133" s="59">
        <f t="shared" ref="AO133:AO196" si="144">$AO$3</f>
        <v>304.68075128568756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0.41384302353560048</v>
      </c>
      <c r="AV133" s="21">
        <f>EXP(-LN(2)/25)*AV132+(1-EXP(-LN(2)/25))/(LN(2)/25)*Calculateur!AQ133*Calculateur!AS133*VLOOKUP('Données projet'!$B$10,Paramètres!$A$1:$I$89,3,0)*0.475*44/12</f>
        <v>1.1684623660618934</v>
      </c>
      <c r="AW133" s="21">
        <f>EXP(-LN(2)/2)*AW132+(1-EXP(-LN(2)/2))/(LN(2)/2)*AQ133*AT133*VLOOKUP('Données projet'!$B$10,Paramètres!$A$1:$I$89,3,0)*0.475*44/12</f>
        <v>2.3097989540479482E-14</v>
      </c>
      <c r="AX133" s="21">
        <f t="shared" si="114"/>
        <v>1.582305389597517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36.10000000000008</v>
      </c>
      <c r="BE133" s="13">
        <f>BD133*VLOOKUP('Données projet'!$B$11,Paramètres!$A$1:$I$89,3,0)*VLOOKUP('Données projet'!$B$11,Paramètres!$A$1:$I$89,5,0)</f>
        <v>31.536960000000075</v>
      </c>
      <c r="BF133" s="13">
        <f t="shared" ref="BF133:BF153" si="145">EXP(-1.0587+0.8836*LN(BE133)+0.284)</f>
        <v>9.725440120377133</v>
      </c>
      <c r="BG133" s="20">
        <f t="shared" si="115"/>
        <v>71.865346876323642</v>
      </c>
      <c r="BH133" s="59">
        <f t="shared" si="116"/>
        <v>365.19868020965697</v>
      </c>
      <c r="BI133" s="59">
        <f ca="1">AVERAGE(OFFSET($BH$3,0,0,'Données projet'!$E$11+1,1))-AVERAGE(OFFSET($H$3,0,0,'Données projet'!$E$11+1,1))</f>
        <v>249.21292089724221</v>
      </c>
      <c r="BJ133" s="59">
        <f t="shared" ref="BJ133:BJ196" si="146">$BJ$3</f>
        <v>640.80644476065254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15.563951800535351</v>
      </c>
      <c r="BQ133" s="21">
        <f>EXP(-LN(2)/25)*BQ132+(1-EXP(-LN(2)/25))/(LN(2)/25)*Calculateur!BL133*Calculateur!BN133*VLOOKUP('Données projet'!$B$11,Paramètres!$A$1:$I$89,3,0)*0.475*44/12</f>
        <v>6.6986377180767942</v>
      </c>
      <c r="BR133" s="21">
        <f>EXP(-LN(2)/2)*BR132+(1-EXP(-LN(2)/2))/(LN(2)/2)*BL133*BO133*VLOOKUP('Données projet'!$B$11,Paramètres!$A$1:$I$89,3,0)*0.475*44/12</f>
        <v>7.330983982825281E-14</v>
      </c>
      <c r="BS133" s="22">
        <f t="shared" si="117"/>
        <v>22.26258951861222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234.00000000000045</v>
      </c>
      <c r="BZ133" s="13">
        <f>BY133*VLOOKUP('Données projet'!$B$12,Paramètres!$A$1:$I$89,3,0)*VLOOKUP('Données projet'!$B$12,Paramètres!$A$1:$I$89,5,0)</f>
        <v>189.82080000000036</v>
      </c>
      <c r="CA133" s="13">
        <f t="shared" ref="CA133:CA153" si="147">EXP(-1.0587+0.8836*LN(BZ133)+0.284)</f>
        <v>47.500332100049881</v>
      </c>
      <c r="CB133" s="20">
        <f t="shared" si="118"/>
        <v>413.33430507425419</v>
      </c>
      <c r="CC133" s="59">
        <f t="shared" si="119"/>
        <v>706.66763840758745</v>
      </c>
      <c r="CD133" s="59">
        <f ca="1">AVERAGE(OFFSET($CC$3,0,0,'Données projet'!$E$12+1,1))-AVERAGE(OFFSET($H$3,0,0,'Données projet'!$E$12+1,1))</f>
        <v>192.4785660463869</v>
      </c>
      <c r="CE133" s="59">
        <f t="shared" ref="CE133:CE196" si="148">$CE$3</f>
        <v>165.11095806515362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0.11175760877120795</v>
      </c>
      <c r="CL133" s="21">
        <f>EXP(-LN(2)/25)*CL132+(1-EXP(-LN(2)/25))/(LN(2)/25)*Calculateur!CG133*Calculateur!CI133*VLOOKUP('Données projet'!$B$12,Paramètres!$A$1:$I$89,3,0)*0.475*44/12</f>
        <v>0.29507445115413822</v>
      </c>
      <c r="CM133" s="21">
        <f>EXP(-LN(2)/2)*CM132+(1-EXP(-LN(2)/2))/(LN(2)/2)*CG133*CJ133*VLOOKUP('Données projet'!$B$12,Paramètres!$A$1:$I$89,3,0)*0.475*44/12</f>
        <v>6.5037934063900685E-15</v>
      </c>
      <c r="CN133" s="22">
        <f t="shared" si="120"/>
        <v>0.40683205992535265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275.00000000000057</v>
      </c>
      <c r="CU133" s="17">
        <f>CT133*VLOOKUP('Données projet'!$B$13,Paramètres!$A$1:$I$89,3,0)*VLOOKUP('Données projet'!$B$13,Paramètres!$A$1:$I$89,5,0)</f>
        <v>231.66000000000051</v>
      </c>
      <c r="CV133" s="13">
        <f t="shared" ref="CV133:CV153" si="149">EXP(-1.0587+0.8836*LN(CU133)+0.284)</f>
        <v>56.641461975682923</v>
      </c>
      <c r="CW133" s="20">
        <f t="shared" si="121"/>
        <v>502.12504627431525</v>
      </c>
      <c r="CX133" s="59">
        <f t="shared" si="122"/>
        <v>795.45837960764857</v>
      </c>
      <c r="CY133" s="59">
        <f ca="1">AVERAGE(OFFSET($CX$3,0,0,'Données projet'!$E$13+1,1))-AVERAGE(OFFSET($H$3,0,0,'Données projet'!$E$13+1,1))</f>
        <v>247.67539667223065</v>
      </c>
      <c r="CZ133" s="59">
        <f t="shared" ref="CZ133:CZ196" si="150">$CZ$3</f>
        <v>174.54442616983778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0.17684720508850493</v>
      </c>
      <c r="DG133" s="21">
        <f>EXP(-LN(2)/25)*DG132+(1-EXP(-LN(2)/25))/(LN(2)/25)*Calculateur!DB133*Calculateur!DD133*VLOOKUP('Données projet'!$B$13,Paramètres!$A$1:$I$89,3,0)*0.475*44/12</f>
        <v>0.41092834083920998</v>
      </c>
      <c r="DH133" s="21">
        <f>EXP(-LN(2)/2)*DH132+(1-EXP(-LN(2)/2))/(LN(2)/2)*DB133*DE133*VLOOKUP('Données projet'!$B$13,Paramètres!$A$1:$I$89,3,0)*0.475*44/12</f>
        <v>1.022632227859233E-14</v>
      </c>
      <c r="DI133" s="22">
        <f t="shared" si="123"/>
        <v>0.58777554592772518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5.2446581196581219</v>
      </c>
      <c r="DO133" s="12">
        <f>IF('Données projet'!$A$166&gt;35,DO132+DN133-DW132,IF(A133&lt;'Données projet'!$A$166,$DL$205^A133,IF(A133='Données projet'!$A$166,'Données projet'!$B$166,DO132+DN133-DW132)))</f>
        <v>256.35790598290549</v>
      </c>
      <c r="DP133" s="17">
        <f>DO133*VLOOKUP('Données projet'!$B$14,Paramètres!$A$1:$I$89,3,0)*VLOOKUP('Données projet'!$B$14,Paramètres!$A$1:$I$89,5,0)</f>
        <v>255.94773333333285</v>
      </c>
      <c r="DQ133" s="13">
        <f t="shared" ref="DQ133:DQ153" si="151">EXP(-1.0587+0.8836*LN(DP133)+0.284)</f>
        <v>61.857810355592548</v>
      </c>
      <c r="DR133" s="20">
        <f t="shared" si="124"/>
        <v>553.51132192487842</v>
      </c>
      <c r="DS133" s="59">
        <f t="shared" si="125"/>
        <v>846.84465525821179</v>
      </c>
      <c r="DT133" s="59">
        <f ca="1">AVERAGE(OFFSET($DS$3,0,0,'Données projet'!$E$14+1,1))-AVERAGE(OFFSET($H$3,0,0,'Données projet'!$E$14+1,1))</f>
        <v>245.06609107649069</v>
      </c>
      <c r="DU133" s="59">
        <f t="shared" ref="DU133:DU196" si="152">$DU$3</f>
        <v>156.24531945456499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-2.5579538487363607E-13</v>
      </c>
      <c r="EK133" s="17">
        <f>EJ133*VLOOKUP('Données projet'!$B$15,Paramètres!$A$1:$I$89,3,0)*VLOOKUP('Données projet'!$B$15,Paramètres!$A$1:$I$89,5,0)</f>
        <v>-2.7932856028201057E-13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173.63857221119594</v>
      </c>
      <c r="EP133" s="59">
        <f t="shared" ref="EP133:EP196" si="154">$EP$3</f>
        <v>52.373745617370105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199.58634493109349</v>
      </c>
      <c r="T134" s="59">
        <f t="shared" si="142"/>
        <v>288.66487031729008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0.67614069170066027</v>
      </c>
      <c r="AA134" s="21">
        <f>EXP(-LN(2)/25)*AA133+(1-EXP(-LN(2)/25))/(LN(2)/25)*Calculateur!V134*Calculateur!X134*VLOOKUP('Données projet'!$B$9,Paramètres!$A$1:$I$89,3,0)*0.475*44/12</f>
        <v>1.0413379467113277</v>
      </c>
      <c r="AB134" s="21">
        <f>EXP(-LN(2)/2)*AB133+(1-EXP(-LN(2)/2))/(LN(2)/2)*V134*Y134*VLOOKUP('Données projet'!$B$9,Paramètres!$A$1:$I$89,3,0)*0.475*44/12</f>
        <v>1.8526474615573486E-15</v>
      </c>
      <c r="AC134" s="22">
        <f t="shared" si="111"/>
        <v>1.7174786384119898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606.99999999999989</v>
      </c>
      <c r="AJ134" s="13">
        <f>AI134*VLOOKUP('Données projet'!$B$10,Paramètres!$A$1:$I$89,3,0)*VLOOKUP('Données projet'!$B$10,Paramètres!$A$1:$I$89,5,0)</f>
        <v>362.98599999999999</v>
      </c>
      <c r="AK134" s="13">
        <f t="shared" si="143"/>
        <v>84.230767602863935</v>
      </c>
      <c r="AL134" s="20">
        <f t="shared" si="112"/>
        <v>778.90253690832139</v>
      </c>
      <c r="AM134" s="59">
        <f t="shared" si="113"/>
        <v>1072.2358702416548</v>
      </c>
      <c r="AN134" s="59">
        <f ca="1">AVERAGE(OFFSET($AM$3,0,0,'Données projet'!$E$10+1,1))-AVERAGE(OFFSET($H$3,0,0,'Données projet'!$E$10+1,1))</f>
        <v>395.40396173178527</v>
      </c>
      <c r="AO134" s="59">
        <f t="shared" si="144"/>
        <v>304.68075128568756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0.40572781426338739</v>
      </c>
      <c r="AV134" s="21">
        <f>EXP(-LN(2)/25)*AV133+(1-EXP(-LN(2)/25))/(LN(2)/25)*Calculateur!AQ134*Calculateur!AS134*VLOOKUP('Données projet'!$B$10,Paramètres!$A$1:$I$89,3,0)*0.475*44/12</f>
        <v>1.1365107012151656</v>
      </c>
      <c r="AW134" s="21">
        <f>EXP(-LN(2)/2)*AW133+(1-EXP(-LN(2)/2))/(LN(2)/2)*AQ134*AT134*VLOOKUP('Données projet'!$B$10,Paramètres!$A$1:$I$89,3,0)*0.475*44/12</f>
        <v>1.6332745035848988E-14</v>
      </c>
      <c r="AX134" s="21">
        <f t="shared" si="114"/>
        <v>1.5422385154785694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36.10000000000008</v>
      </c>
      <c r="BE134" s="13">
        <f>BD134*VLOOKUP('Données projet'!$B$11,Paramètres!$A$1:$I$89,3,0)*VLOOKUP('Données projet'!$B$11,Paramètres!$A$1:$I$89,5,0)</f>
        <v>31.536960000000075</v>
      </c>
      <c r="BF134" s="13">
        <f t="shared" si="145"/>
        <v>9.725440120377133</v>
      </c>
      <c r="BG134" s="20">
        <f t="shared" si="115"/>
        <v>71.865346876323642</v>
      </c>
      <c r="BH134" s="59">
        <f t="shared" si="116"/>
        <v>365.19868020965697</v>
      </c>
      <c r="BI134" s="59">
        <f ca="1">AVERAGE(OFFSET($BH$3,0,0,'Données projet'!$E$11+1,1))-AVERAGE(OFFSET($H$3,0,0,'Données projet'!$E$11+1,1))</f>
        <v>249.21292089724221</v>
      </c>
      <c r="BJ134" s="59">
        <f t="shared" si="146"/>
        <v>640.80644476065254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15.258752198800089</v>
      </c>
      <c r="BQ134" s="21">
        <f>EXP(-LN(2)/25)*BQ133+(1-EXP(-LN(2)/25))/(LN(2)/25)*Calculateur!BL134*Calculateur!BN134*VLOOKUP('Données projet'!$B$11,Paramètres!$A$1:$I$89,3,0)*0.475*44/12</f>
        <v>6.5154631174099364</v>
      </c>
      <c r="BR134" s="21">
        <f>EXP(-LN(2)/2)*BR133+(1-EXP(-LN(2)/2))/(LN(2)/2)*BL134*BO134*VLOOKUP('Données projet'!$B$11,Paramètres!$A$1:$I$89,3,0)*0.475*44/12</f>
        <v>5.1837884870257207E-14</v>
      </c>
      <c r="BS134" s="22">
        <f t="shared" si="117"/>
        <v>21.774215316210078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234.00000000000045</v>
      </c>
      <c r="BZ134" s="13">
        <f>BY134*VLOOKUP('Données projet'!$B$12,Paramètres!$A$1:$I$89,3,0)*VLOOKUP('Données projet'!$B$12,Paramètres!$A$1:$I$89,5,0)</f>
        <v>189.82080000000036</v>
      </c>
      <c r="CA134" s="13">
        <f t="shared" si="147"/>
        <v>47.500332100049881</v>
      </c>
      <c r="CB134" s="20">
        <f t="shared" si="118"/>
        <v>413.33430507425419</v>
      </c>
      <c r="CC134" s="59">
        <f t="shared" si="119"/>
        <v>706.66763840758745</v>
      </c>
      <c r="CD134" s="59">
        <f ca="1">AVERAGE(OFFSET($CC$3,0,0,'Données projet'!$E$12+1,1))-AVERAGE(OFFSET($H$3,0,0,'Données projet'!$E$12+1,1))</f>
        <v>192.4785660463869</v>
      </c>
      <c r="CE134" s="59">
        <f t="shared" si="148"/>
        <v>165.11095806515362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0.10956611022861514</v>
      </c>
      <c r="CL134" s="21">
        <f>EXP(-LN(2)/25)*CL133+(1-EXP(-LN(2)/25))/(LN(2)/25)*Calculateur!CG134*Calculateur!CI134*VLOOKUP('Données projet'!$B$12,Paramètres!$A$1:$I$89,3,0)*0.475*44/12</f>
        <v>0.28700562477003733</v>
      </c>
      <c r="CM134" s="21">
        <f>EXP(-LN(2)/2)*CM133+(1-EXP(-LN(2)/2))/(LN(2)/2)*CG134*CJ134*VLOOKUP('Données projet'!$B$12,Paramètres!$A$1:$I$89,3,0)*0.475*44/12</f>
        <v>4.5988764210947726E-15</v>
      </c>
      <c r="CN134" s="22">
        <f t="shared" si="120"/>
        <v>0.39657173499865706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275.00000000000057</v>
      </c>
      <c r="CU134" s="17">
        <f>CT134*VLOOKUP('Données projet'!$B$13,Paramètres!$A$1:$I$89,3,0)*VLOOKUP('Données projet'!$B$13,Paramètres!$A$1:$I$89,5,0)</f>
        <v>231.66000000000051</v>
      </c>
      <c r="CV134" s="13">
        <f t="shared" si="149"/>
        <v>56.641461975682923</v>
      </c>
      <c r="CW134" s="20">
        <f t="shared" si="121"/>
        <v>502.12504627431525</v>
      </c>
      <c r="CX134" s="59">
        <f t="shared" si="122"/>
        <v>795.45837960764857</v>
      </c>
      <c r="CY134" s="59">
        <f ca="1">AVERAGE(OFFSET($CX$3,0,0,'Données projet'!$E$13+1,1))-AVERAGE(OFFSET($H$3,0,0,'Données projet'!$E$13+1,1))</f>
        <v>247.67539667223065</v>
      </c>
      <c r="CZ134" s="59">
        <f t="shared" si="150"/>
        <v>174.54442616983778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0.17337933926286356</v>
      </c>
      <c r="DG134" s="21">
        <f>EXP(-LN(2)/25)*DG133+(1-EXP(-LN(2)/25))/(LN(2)/25)*Calculateur!DB134*Calculateur!DD134*VLOOKUP('Données projet'!$B$13,Paramètres!$A$1:$I$89,3,0)*0.475*44/12</f>
        <v>0.39969148374917951</v>
      </c>
      <c r="DH134" s="21">
        <f>EXP(-LN(2)/2)*DH133+(1-EXP(-LN(2)/2))/(LN(2)/2)*DB134*DE134*VLOOKUP('Données projet'!$B$13,Paramètres!$A$1:$I$89,3,0)*0.475*44/12</f>
        <v>7.2311018297917028E-15</v>
      </c>
      <c r="DI134" s="22">
        <f t="shared" si="123"/>
        <v>0.57307082301205026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5.2446581196581219</v>
      </c>
      <c r="DO134" s="12">
        <f>IF('Données projet'!$A$166&gt;35,DO133+DN134-DW133,IF(A134&lt;'Données projet'!$A$166,$DL$205^A134,IF(A134='Données projet'!$A$166,'Données projet'!$B$166,DO133+DN134-DW133)))</f>
        <v>261.60256410256363</v>
      </c>
      <c r="DP134" s="17">
        <f>DO134*VLOOKUP('Données projet'!$B$14,Paramètres!$A$1:$I$89,3,0)*VLOOKUP('Données projet'!$B$14,Paramètres!$A$1:$I$89,5,0)</f>
        <v>261.18399999999951</v>
      </c>
      <c r="DQ134" s="13">
        <f t="shared" si="151"/>
        <v>62.974692133225417</v>
      </c>
      <c r="DR134" s="20">
        <f t="shared" si="124"/>
        <v>564.57638879870012</v>
      </c>
      <c r="DS134" s="59">
        <f t="shared" si="125"/>
        <v>857.90972213203349</v>
      </c>
      <c r="DT134" s="59">
        <f ca="1">AVERAGE(OFFSET($DS$3,0,0,'Données projet'!$E$14+1,1))-AVERAGE(OFFSET($H$3,0,0,'Données projet'!$E$14+1,1))</f>
        <v>245.06609107649069</v>
      </c>
      <c r="DU134" s="59">
        <f t="shared" si="152"/>
        <v>156.24531945456499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-2.5579538487363607E-13</v>
      </c>
      <c r="EK134" s="17">
        <f>EJ134*VLOOKUP('Données projet'!$B$15,Paramètres!$A$1:$I$89,3,0)*VLOOKUP('Données projet'!$B$15,Paramètres!$A$1:$I$89,5,0)</f>
        <v>-2.7932856028201057E-13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173.63857221119594</v>
      </c>
      <c r="EP134" s="59">
        <f t="shared" si="154"/>
        <v>52.373745617370105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199.58634493109349</v>
      </c>
      <c r="T135" s="59">
        <f t="shared" si="142"/>
        <v>288.66487031729008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0.66288198514151064</v>
      </c>
      <c r="AA135" s="21">
        <f>EXP(-LN(2)/25)*AA134+(1-EXP(-LN(2)/25))/(LN(2)/25)*Calculateur!V135*Calculateur!X135*VLOOKUP('Données projet'!$B$9,Paramètres!$A$1:$I$89,3,0)*0.475*44/12</f>
        <v>1.0128625057969238</v>
      </c>
      <c r="AB135" s="21">
        <f>EXP(-LN(2)/2)*AB134+(1-EXP(-LN(2)/2))/(LN(2)/2)*V135*Y135*VLOOKUP('Données projet'!$B$9,Paramètres!$A$1:$I$89,3,0)*0.475*44/12</f>
        <v>1.3100195832152448E-15</v>
      </c>
      <c r="AC135" s="22">
        <f t="shared" si="111"/>
        <v>1.6757444909384358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606.99999999999989</v>
      </c>
      <c r="AJ135" s="13">
        <f>AI135*VLOOKUP('Données projet'!$B$10,Paramètres!$A$1:$I$89,3,0)*VLOOKUP('Données projet'!$B$10,Paramètres!$A$1:$I$89,5,0)</f>
        <v>362.98599999999999</v>
      </c>
      <c r="AK135" s="13">
        <f t="shared" si="143"/>
        <v>84.230767602863935</v>
      </c>
      <c r="AL135" s="20">
        <f t="shared" si="112"/>
        <v>778.90253690832139</v>
      </c>
      <c r="AM135" s="59">
        <f t="shared" si="113"/>
        <v>1072.2358702416548</v>
      </c>
      <c r="AN135" s="59">
        <f ca="1">AVERAGE(OFFSET($AM$3,0,0,'Données projet'!$E$10+1,1))-AVERAGE(OFFSET($H$3,0,0,'Données projet'!$E$10+1,1))</f>
        <v>395.40396173178527</v>
      </c>
      <c r="AO135" s="59">
        <f t="shared" si="144"/>
        <v>304.68075128568756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0.39777173929521348</v>
      </c>
      <c r="AV135" s="21">
        <f>EXP(-LN(2)/25)*AV134+(1-EXP(-LN(2)/25))/(LN(2)/25)*Calculateur!AQ135*Calculateur!AS135*VLOOKUP('Données projet'!$B$10,Paramètres!$A$1:$I$89,3,0)*0.475*44/12</f>
        <v>1.1054327563239366</v>
      </c>
      <c r="AW135" s="21">
        <f>EXP(-LN(2)/2)*AW134+(1-EXP(-LN(2)/2))/(LN(2)/2)*AQ135*AT135*VLOOKUP('Données projet'!$B$10,Paramètres!$A$1:$I$89,3,0)*0.475*44/12</f>
        <v>1.1548994770239741E-14</v>
      </c>
      <c r="AX135" s="21">
        <f t="shared" si="114"/>
        <v>1.5032044956191615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36.10000000000008</v>
      </c>
      <c r="BE135" s="13">
        <f>BD135*VLOOKUP('Données projet'!$B$11,Paramètres!$A$1:$I$89,3,0)*VLOOKUP('Données projet'!$B$11,Paramètres!$A$1:$I$89,5,0)</f>
        <v>31.536960000000075</v>
      </c>
      <c r="BF135" s="13">
        <f t="shared" si="145"/>
        <v>9.725440120377133</v>
      </c>
      <c r="BG135" s="20">
        <f t="shared" si="115"/>
        <v>71.865346876323642</v>
      </c>
      <c r="BH135" s="59">
        <f t="shared" si="116"/>
        <v>365.19868020965697</v>
      </c>
      <c r="BI135" s="59">
        <f ca="1">AVERAGE(OFFSET($BH$3,0,0,'Données projet'!$E$11+1,1))-AVERAGE(OFFSET($H$3,0,0,'Données projet'!$E$11+1,1))</f>
        <v>249.21292089724221</v>
      </c>
      <c r="BJ135" s="59">
        <f t="shared" si="146"/>
        <v>640.80644476065254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14.959537375101478</v>
      </c>
      <c r="BQ135" s="21">
        <f>EXP(-LN(2)/25)*BQ134+(1-EXP(-LN(2)/25))/(LN(2)/25)*Calculateur!BL135*Calculateur!BN135*VLOOKUP('Données projet'!$B$11,Paramètres!$A$1:$I$89,3,0)*0.475*44/12</f>
        <v>6.3372974358310481</v>
      </c>
      <c r="BR135" s="21">
        <f>EXP(-LN(2)/2)*BR134+(1-EXP(-LN(2)/2))/(LN(2)/2)*BL135*BO135*VLOOKUP('Données projet'!$B$11,Paramètres!$A$1:$I$89,3,0)*0.475*44/12</f>
        <v>3.6654919914126405E-14</v>
      </c>
      <c r="BS135" s="22">
        <f t="shared" si="117"/>
        <v>21.296834810932562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234.00000000000045</v>
      </c>
      <c r="BZ135" s="13">
        <f>BY135*VLOOKUP('Données projet'!$B$12,Paramètres!$A$1:$I$89,3,0)*VLOOKUP('Données projet'!$B$12,Paramètres!$A$1:$I$89,5,0)</f>
        <v>189.82080000000036</v>
      </c>
      <c r="CA135" s="13">
        <f t="shared" si="147"/>
        <v>47.500332100049881</v>
      </c>
      <c r="CB135" s="20">
        <f t="shared" si="118"/>
        <v>413.33430507425419</v>
      </c>
      <c r="CC135" s="59">
        <f t="shared" si="119"/>
        <v>706.66763840758745</v>
      </c>
      <c r="CD135" s="59">
        <f ca="1">AVERAGE(OFFSET($CC$3,0,0,'Données projet'!$E$12+1,1))-AVERAGE(OFFSET($H$3,0,0,'Données projet'!$E$12+1,1))</f>
        <v>192.4785660463869</v>
      </c>
      <c r="CE135" s="59">
        <f t="shared" si="148"/>
        <v>165.11095806515362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0.10741758563576044</v>
      </c>
      <c r="CL135" s="21">
        <f>EXP(-LN(2)/25)*CL134+(1-EXP(-LN(2)/25))/(LN(2)/25)*Calculateur!CG135*Calculateur!CI135*VLOOKUP('Données projet'!$B$12,Paramètres!$A$1:$I$89,3,0)*0.475*44/12</f>
        <v>0.27915744086773081</v>
      </c>
      <c r="CM135" s="21">
        <f>EXP(-LN(2)/2)*CM134+(1-EXP(-LN(2)/2))/(LN(2)/2)*CG135*CJ135*VLOOKUP('Données projet'!$B$12,Paramètres!$A$1:$I$89,3,0)*0.475*44/12</f>
        <v>3.2518967031950342E-15</v>
      </c>
      <c r="CN135" s="22">
        <f t="shared" si="120"/>
        <v>0.38657502650349451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275.00000000000057</v>
      </c>
      <c r="CU135" s="17">
        <f>CT135*VLOOKUP('Données projet'!$B$13,Paramètres!$A$1:$I$89,3,0)*VLOOKUP('Données projet'!$B$13,Paramètres!$A$1:$I$89,5,0)</f>
        <v>231.66000000000051</v>
      </c>
      <c r="CV135" s="13">
        <f t="shared" si="149"/>
        <v>56.641461975682923</v>
      </c>
      <c r="CW135" s="20">
        <f t="shared" si="121"/>
        <v>502.12504627431525</v>
      </c>
      <c r="CX135" s="59">
        <f t="shared" si="122"/>
        <v>795.45837960764857</v>
      </c>
      <c r="CY135" s="59">
        <f ca="1">AVERAGE(OFFSET($CX$3,0,0,'Données projet'!$E$13+1,1))-AVERAGE(OFFSET($H$3,0,0,'Données projet'!$E$13+1,1))</f>
        <v>247.67539667223065</v>
      </c>
      <c r="CZ135" s="59">
        <f t="shared" si="150"/>
        <v>174.54442616983778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0.16997947617087372</v>
      </c>
      <c r="DG135" s="21">
        <f>EXP(-LN(2)/25)*DG134+(1-EXP(-LN(2)/25))/(LN(2)/25)*Calculateur!DB135*Calculateur!DD135*VLOOKUP('Données projet'!$B$13,Paramètres!$A$1:$I$89,3,0)*0.475*44/12</f>
        <v>0.38876189910719655</v>
      </c>
      <c r="DH135" s="21">
        <f>EXP(-LN(2)/2)*DH134+(1-EXP(-LN(2)/2))/(LN(2)/2)*DB135*DE135*VLOOKUP('Données projet'!$B$13,Paramètres!$A$1:$I$89,3,0)*0.475*44/12</f>
        <v>5.1131611392961651E-15</v>
      </c>
      <c r="DI135" s="22">
        <f t="shared" si="123"/>
        <v>0.55874137527807544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5.2446581196581219</v>
      </c>
      <c r="DO135" s="12">
        <f>IF('Données projet'!$A$166&gt;35,DO134+DN135-DW134,IF(A135&lt;'Données projet'!$A$166,$DL$205^A135,IF(A135='Données projet'!$A$166,'Données projet'!$B$166,DO134+DN135-DW134)))</f>
        <v>266.84722222222177</v>
      </c>
      <c r="DP135" s="17">
        <f>DO135*VLOOKUP('Données projet'!$B$14,Paramètres!$A$1:$I$89,3,0)*VLOOKUP('Données projet'!$B$14,Paramètres!$A$1:$I$89,5,0)</f>
        <v>266.42026666666624</v>
      </c>
      <c r="DQ135" s="13">
        <f t="shared" si="151"/>
        <v>64.08897039943048</v>
      </c>
      <c r="DR135" s="20">
        <f t="shared" si="124"/>
        <v>575.63692122345174</v>
      </c>
      <c r="DS135" s="59">
        <f t="shared" si="125"/>
        <v>868.97025455678499</v>
      </c>
      <c r="DT135" s="59">
        <f ca="1">AVERAGE(OFFSET($DS$3,0,0,'Données projet'!$E$14+1,1))-AVERAGE(OFFSET($H$3,0,0,'Données projet'!$E$14+1,1))</f>
        <v>245.06609107649069</v>
      </c>
      <c r="DU135" s="59">
        <f t="shared" si="152"/>
        <v>156.24531945456499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-2.5579538487363607E-13</v>
      </c>
      <c r="EK135" s="17">
        <f>EJ135*VLOOKUP('Données projet'!$B$15,Paramètres!$A$1:$I$89,3,0)*VLOOKUP('Données projet'!$B$15,Paramètres!$A$1:$I$89,5,0)</f>
        <v>-2.7932856028201057E-13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173.63857221119594</v>
      </c>
      <c r="EP135" s="59">
        <f t="shared" si="154"/>
        <v>52.373745617370105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199.58634493109349</v>
      </c>
      <c r="T136" s="59">
        <f t="shared" si="142"/>
        <v>288.66487031729008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0.64988327373097343</v>
      </c>
      <c r="AA136" s="21">
        <f>EXP(-LN(2)/25)*AA135+(1-EXP(-LN(2)/25))/(LN(2)/25)*Calculateur!V136*Calculateur!X136*VLOOKUP('Données projet'!$B$9,Paramètres!$A$1:$I$89,3,0)*0.475*44/12</f>
        <v>0.98516572731178265</v>
      </c>
      <c r="AB136" s="21">
        <f>EXP(-LN(2)/2)*AB135+(1-EXP(-LN(2)/2))/(LN(2)/2)*V136*Y136*VLOOKUP('Données projet'!$B$9,Paramètres!$A$1:$I$89,3,0)*0.475*44/12</f>
        <v>9.263237307786743E-16</v>
      </c>
      <c r="AC136" s="22">
        <f t="shared" si="111"/>
        <v>1.635049001042757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606.99999999999989</v>
      </c>
      <c r="AJ136" s="13">
        <f>AI136*VLOOKUP('Données projet'!$B$10,Paramètres!$A$1:$I$89,3,0)*VLOOKUP('Données projet'!$B$10,Paramètres!$A$1:$I$89,5,0)</f>
        <v>362.98599999999999</v>
      </c>
      <c r="AK136" s="13">
        <f t="shared" si="143"/>
        <v>84.230767602863935</v>
      </c>
      <c r="AL136" s="20">
        <f t="shared" si="112"/>
        <v>778.90253690832139</v>
      </c>
      <c r="AM136" s="59">
        <f t="shared" si="113"/>
        <v>1072.2358702416548</v>
      </c>
      <c r="AN136" s="59">
        <f ca="1">AVERAGE(OFFSET($AM$3,0,0,'Données projet'!$E$10+1,1))-AVERAGE(OFFSET($H$3,0,0,'Données projet'!$E$10+1,1))</f>
        <v>395.40396173178527</v>
      </c>
      <c r="AO136" s="59">
        <f t="shared" si="144"/>
        <v>304.68075128568756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0.38997167810443889</v>
      </c>
      <c r="AV136" s="21">
        <f>EXP(-LN(2)/25)*AV135+(1-EXP(-LN(2)/25))/(LN(2)/25)*Calculateur!AQ136*Calculateur!AS136*VLOOKUP('Données projet'!$B$10,Paramètres!$A$1:$I$89,3,0)*0.475*44/12</f>
        <v>1.0752046394700763</v>
      </c>
      <c r="AW136" s="21">
        <f>EXP(-LN(2)/2)*AW135+(1-EXP(-LN(2)/2))/(LN(2)/2)*AQ136*AT136*VLOOKUP('Données projet'!$B$10,Paramètres!$A$1:$I$89,3,0)*0.475*44/12</f>
        <v>8.1663725179244941E-15</v>
      </c>
      <c r="AX136" s="21">
        <f t="shared" si="114"/>
        <v>1.4651763175745234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36.10000000000008</v>
      </c>
      <c r="BE136" s="13">
        <f>BD136*VLOOKUP('Données projet'!$B$11,Paramètres!$A$1:$I$89,3,0)*VLOOKUP('Données projet'!$B$11,Paramètres!$A$1:$I$89,5,0)</f>
        <v>31.536960000000075</v>
      </c>
      <c r="BF136" s="13">
        <f t="shared" si="145"/>
        <v>9.725440120377133</v>
      </c>
      <c r="BG136" s="20">
        <f t="shared" si="115"/>
        <v>71.865346876323642</v>
      </c>
      <c r="BH136" s="59">
        <f t="shared" si="116"/>
        <v>365.19868020965697</v>
      </c>
      <c r="BI136" s="59">
        <f ca="1">AVERAGE(OFFSET($BH$3,0,0,'Données projet'!$E$11+1,1))-AVERAGE(OFFSET($H$3,0,0,'Données projet'!$E$11+1,1))</f>
        <v>249.21292089724221</v>
      </c>
      <c r="BJ136" s="59">
        <f t="shared" si="146"/>
        <v>640.80644476065254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14.666189971592576</v>
      </c>
      <c r="BQ136" s="21">
        <f>EXP(-LN(2)/25)*BQ135+(1-EXP(-LN(2)/25))/(LN(2)/25)*Calculateur!BL136*Calculateur!BN136*VLOOKUP('Données projet'!$B$11,Paramètres!$A$1:$I$89,3,0)*0.475*44/12</f>
        <v>6.1640037041842604</v>
      </c>
      <c r="BR136" s="21">
        <f>EXP(-LN(2)/2)*BR135+(1-EXP(-LN(2)/2))/(LN(2)/2)*BL136*BO136*VLOOKUP('Données projet'!$B$11,Paramètres!$A$1:$I$89,3,0)*0.475*44/12</f>
        <v>2.5918942435128603E-14</v>
      </c>
      <c r="BS136" s="22">
        <f t="shared" si="117"/>
        <v>20.830193675776862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234.00000000000045</v>
      </c>
      <c r="BZ136" s="13">
        <f>BY136*VLOOKUP('Données projet'!$B$12,Paramètres!$A$1:$I$89,3,0)*VLOOKUP('Données projet'!$B$12,Paramètres!$A$1:$I$89,5,0)</f>
        <v>189.82080000000036</v>
      </c>
      <c r="CA136" s="13">
        <f t="shared" si="147"/>
        <v>47.500332100049881</v>
      </c>
      <c r="CB136" s="20">
        <f t="shared" si="118"/>
        <v>413.33430507425419</v>
      </c>
      <c r="CC136" s="59">
        <f t="shared" si="119"/>
        <v>706.66763840758745</v>
      </c>
      <c r="CD136" s="59">
        <f ca="1">AVERAGE(OFFSET($CC$3,0,0,'Données projet'!$E$12+1,1))-AVERAGE(OFFSET($H$3,0,0,'Données projet'!$E$12+1,1))</f>
        <v>192.4785660463869</v>
      </c>
      <c r="CE136" s="59">
        <f t="shared" si="148"/>
        <v>165.11095806515362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0.10531119229970103</v>
      </c>
      <c r="CL136" s="21">
        <f>EXP(-LN(2)/25)*CL135+(1-EXP(-LN(2)/25))/(LN(2)/25)*Calculateur!CG136*Calculateur!CI136*VLOOKUP('Données projet'!$B$12,Paramètres!$A$1:$I$89,3,0)*0.475*44/12</f>
        <v>0.27152386596695094</v>
      </c>
      <c r="CM136" s="21">
        <f>EXP(-LN(2)/2)*CM135+(1-EXP(-LN(2)/2))/(LN(2)/2)*CG136*CJ136*VLOOKUP('Données projet'!$B$12,Paramètres!$A$1:$I$89,3,0)*0.475*44/12</f>
        <v>2.2994382105473863E-15</v>
      </c>
      <c r="CN136" s="22">
        <f t="shared" si="120"/>
        <v>0.37683505826665425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275.00000000000057</v>
      </c>
      <c r="CU136" s="17">
        <f>CT136*VLOOKUP('Données projet'!$B$13,Paramètres!$A$1:$I$89,3,0)*VLOOKUP('Données projet'!$B$13,Paramètres!$A$1:$I$89,5,0)</f>
        <v>231.66000000000051</v>
      </c>
      <c r="CV136" s="13">
        <f t="shared" si="149"/>
        <v>56.641461975682923</v>
      </c>
      <c r="CW136" s="20">
        <f t="shared" si="121"/>
        <v>502.12504627431525</v>
      </c>
      <c r="CX136" s="59">
        <f t="shared" si="122"/>
        <v>795.45837960764857</v>
      </c>
      <c r="CY136" s="59">
        <f ca="1">AVERAGE(OFFSET($CX$3,0,0,'Données projet'!$E$13+1,1))-AVERAGE(OFFSET($H$3,0,0,'Données projet'!$E$13+1,1))</f>
        <v>247.67539667223065</v>
      </c>
      <c r="CZ136" s="59">
        <f t="shared" si="150"/>
        <v>174.54442616983778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0.16664628232040607</v>
      </c>
      <c r="DG136" s="21">
        <f>EXP(-LN(2)/25)*DG135+(1-EXP(-LN(2)/25))/(LN(2)/25)*Calculateur!DB136*Calculateur!DD136*VLOOKUP('Données projet'!$B$13,Paramètres!$A$1:$I$89,3,0)*0.475*44/12</f>
        <v>0.3781311845320105</v>
      </c>
      <c r="DH136" s="21">
        <f>EXP(-LN(2)/2)*DH135+(1-EXP(-LN(2)/2))/(LN(2)/2)*DB136*DE136*VLOOKUP('Données projet'!$B$13,Paramètres!$A$1:$I$89,3,0)*0.475*44/12</f>
        <v>3.6155509148958514E-15</v>
      </c>
      <c r="DI136" s="22">
        <f t="shared" si="123"/>
        <v>0.54477746685242023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5.2446581196581219</v>
      </c>
      <c r="DO136" s="12">
        <f>IF('Données projet'!$A$166&gt;35,DO135+DN136-DW135,IF(A136&lt;'Données projet'!$A$166,$DL$205^A136,IF(A136='Données projet'!$A$166,'Données projet'!$B$166,DO135+DN136-DW135)))</f>
        <v>272.09188034187991</v>
      </c>
      <c r="DP136" s="17">
        <f>DO136*VLOOKUP('Données projet'!$B$14,Paramètres!$A$1:$I$89,3,0)*VLOOKUP('Données projet'!$B$14,Paramètres!$A$1:$I$89,5,0)</f>
        <v>271.6565333333329</v>
      </c>
      <c r="DQ136" s="13">
        <f t="shared" si="151"/>
        <v>65.200702222326498</v>
      </c>
      <c r="DR136" s="20">
        <f t="shared" si="124"/>
        <v>586.69301859277346</v>
      </c>
      <c r="DS136" s="59">
        <f t="shared" si="125"/>
        <v>880.02635192610683</v>
      </c>
      <c r="DT136" s="59">
        <f ca="1">AVERAGE(OFFSET($DS$3,0,0,'Données projet'!$E$14+1,1))-AVERAGE(OFFSET($H$3,0,0,'Données projet'!$E$14+1,1))</f>
        <v>245.06609107649069</v>
      </c>
      <c r="DU136" s="59">
        <f t="shared" si="152"/>
        <v>156.24531945456499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-2.5579538487363607E-13</v>
      </c>
      <c r="EK136" s="17">
        <f>EJ136*VLOOKUP('Données projet'!$B$15,Paramètres!$A$1:$I$89,3,0)*VLOOKUP('Données projet'!$B$15,Paramètres!$A$1:$I$89,5,0)</f>
        <v>-2.7932856028201057E-13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173.63857221119594</v>
      </c>
      <c r="EP136" s="59">
        <f t="shared" si="154"/>
        <v>52.373745617370105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199.58634493109349</v>
      </c>
      <c r="T137" s="59">
        <f t="shared" si="142"/>
        <v>288.66487031729008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0.63713945912276582</v>
      </c>
      <c r="AA137" s="21">
        <f>EXP(-LN(2)/25)*AA136+(1-EXP(-LN(2)/25))/(LN(2)/25)*Calculateur!V137*Calculateur!X137*VLOOKUP('Données projet'!$B$9,Paramètres!$A$1:$I$89,3,0)*0.475*44/12</f>
        <v>0.95822631869082797</v>
      </c>
      <c r="AB137" s="21">
        <f>EXP(-LN(2)/2)*AB136+(1-EXP(-LN(2)/2))/(LN(2)/2)*V137*Y137*VLOOKUP('Données projet'!$B$9,Paramètres!$A$1:$I$89,3,0)*0.475*44/12</f>
        <v>6.5500979160762241E-16</v>
      </c>
      <c r="AC137" s="22">
        <f t="shared" si="111"/>
        <v>1.5953657778135943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606.99999999999989</v>
      </c>
      <c r="AJ137" s="13">
        <f>AI137*VLOOKUP('Données projet'!$B$10,Paramètres!$A$1:$I$89,3,0)*VLOOKUP('Données projet'!$B$10,Paramètres!$A$1:$I$89,5,0)</f>
        <v>362.98599999999999</v>
      </c>
      <c r="AK137" s="13">
        <f t="shared" si="143"/>
        <v>84.230767602863935</v>
      </c>
      <c r="AL137" s="20">
        <f t="shared" si="112"/>
        <v>778.90253690832139</v>
      </c>
      <c r="AM137" s="59">
        <f t="shared" si="113"/>
        <v>1072.2358702416548</v>
      </c>
      <c r="AN137" s="59">
        <f ca="1">AVERAGE(OFFSET($AM$3,0,0,'Données projet'!$E$10+1,1))-AVERAGE(OFFSET($H$3,0,0,'Données projet'!$E$10+1,1))</f>
        <v>395.40396173178527</v>
      </c>
      <c r="AO137" s="59">
        <f t="shared" si="144"/>
        <v>304.68075128568756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0.38232457135604786</v>
      </c>
      <c r="AV137" s="21">
        <f>EXP(-LN(2)/25)*AV136+(1-EXP(-LN(2)/25))/(LN(2)/25)*Calculateur!AQ137*Calculateur!AS137*VLOOKUP('Données projet'!$B$10,Paramètres!$A$1:$I$89,3,0)*0.475*44/12</f>
        <v>1.0458031120612126</v>
      </c>
      <c r="AW137" s="21">
        <f>EXP(-LN(2)/2)*AW136+(1-EXP(-LN(2)/2))/(LN(2)/2)*AQ137*AT137*VLOOKUP('Données projet'!$B$10,Paramètres!$A$1:$I$89,3,0)*0.475*44/12</f>
        <v>5.7744973851198705E-15</v>
      </c>
      <c r="AX137" s="21">
        <f t="shared" si="114"/>
        <v>1.4281276834172663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36.10000000000008</v>
      </c>
      <c r="BE137" s="13">
        <f>BD137*VLOOKUP('Données projet'!$B$11,Paramètres!$A$1:$I$89,3,0)*VLOOKUP('Données projet'!$B$11,Paramètres!$A$1:$I$89,5,0)</f>
        <v>31.536960000000075</v>
      </c>
      <c r="BF137" s="13">
        <f t="shared" si="145"/>
        <v>9.725440120377133</v>
      </c>
      <c r="BG137" s="20">
        <f t="shared" si="115"/>
        <v>71.865346876323642</v>
      </c>
      <c r="BH137" s="59">
        <f t="shared" si="116"/>
        <v>365.19868020965697</v>
      </c>
      <c r="BI137" s="59">
        <f ca="1">AVERAGE(OFFSET($BH$3,0,0,'Données projet'!$E$11+1,1))-AVERAGE(OFFSET($H$3,0,0,'Données projet'!$E$11+1,1))</f>
        <v>249.21292089724221</v>
      </c>
      <c r="BJ137" s="59">
        <f t="shared" si="146"/>
        <v>640.80644476065254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14.378594931742235</v>
      </c>
      <c r="BQ137" s="21">
        <f>EXP(-LN(2)/25)*BQ136+(1-EXP(-LN(2)/25))/(LN(2)/25)*Calculateur!BL137*Calculateur!BN137*VLOOKUP('Données projet'!$B$11,Paramètres!$A$1:$I$89,3,0)*0.475*44/12</f>
        <v>5.9954486987424751</v>
      </c>
      <c r="BR137" s="21">
        <f>EXP(-LN(2)/2)*BR136+(1-EXP(-LN(2)/2))/(LN(2)/2)*BL137*BO137*VLOOKUP('Données projet'!$B$11,Paramètres!$A$1:$I$89,3,0)*0.475*44/12</f>
        <v>1.8327459957063202E-14</v>
      </c>
      <c r="BS137" s="22">
        <f t="shared" si="117"/>
        <v>20.374043630484728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234.00000000000045</v>
      </c>
      <c r="BZ137" s="13">
        <f>BY137*VLOOKUP('Données projet'!$B$12,Paramètres!$A$1:$I$89,3,0)*VLOOKUP('Données projet'!$B$12,Paramètres!$A$1:$I$89,5,0)</f>
        <v>189.82080000000036</v>
      </c>
      <c r="CA137" s="13">
        <f t="shared" si="147"/>
        <v>47.500332100049881</v>
      </c>
      <c r="CB137" s="20">
        <f t="shared" si="118"/>
        <v>413.33430507425419</v>
      </c>
      <c r="CC137" s="59">
        <f t="shared" si="119"/>
        <v>706.66763840758745</v>
      </c>
      <c r="CD137" s="59">
        <f ca="1">AVERAGE(OFFSET($CC$3,0,0,'Données projet'!$E$12+1,1))-AVERAGE(OFFSET($H$3,0,0,'Données projet'!$E$12+1,1))</f>
        <v>192.4785660463869</v>
      </c>
      <c r="CE137" s="59">
        <f t="shared" si="148"/>
        <v>165.11095806515362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0.10324610405218866</v>
      </c>
      <c r="CL137" s="21">
        <f>EXP(-LN(2)/25)*CL136+(1-EXP(-LN(2)/25))/(LN(2)/25)*Calculateur!CG137*Calculateur!CI137*VLOOKUP('Données projet'!$B$12,Paramètres!$A$1:$I$89,3,0)*0.475*44/12</f>
        <v>0.26409903157326514</v>
      </c>
      <c r="CM137" s="21">
        <f>EXP(-LN(2)/2)*CM136+(1-EXP(-LN(2)/2))/(LN(2)/2)*CG137*CJ137*VLOOKUP('Données projet'!$B$12,Paramètres!$A$1:$I$89,3,0)*0.475*44/12</f>
        <v>1.6259483515975171E-15</v>
      </c>
      <c r="CN137" s="22">
        <f t="shared" si="120"/>
        <v>0.3673451356254554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275.00000000000057</v>
      </c>
      <c r="CU137" s="17">
        <f>CT137*VLOOKUP('Données projet'!$B$13,Paramètres!$A$1:$I$89,3,0)*VLOOKUP('Données projet'!$B$13,Paramètres!$A$1:$I$89,5,0)</f>
        <v>231.66000000000051</v>
      </c>
      <c r="CV137" s="13">
        <f t="shared" si="149"/>
        <v>56.641461975682923</v>
      </c>
      <c r="CW137" s="20">
        <f t="shared" si="121"/>
        <v>502.12504627431525</v>
      </c>
      <c r="CX137" s="59">
        <f t="shared" si="122"/>
        <v>795.45837960764857</v>
      </c>
      <c r="CY137" s="59">
        <f ca="1">AVERAGE(OFFSET($CX$3,0,0,'Données projet'!$E$13+1,1))-AVERAGE(OFFSET($H$3,0,0,'Données projet'!$E$13+1,1))</f>
        <v>247.67539667223065</v>
      </c>
      <c r="CZ137" s="59">
        <f t="shared" si="150"/>
        <v>174.54442616983778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0.16337845036829859</v>
      </c>
      <c r="DG137" s="21">
        <f>EXP(-LN(2)/25)*DG136+(1-EXP(-LN(2)/25))/(LN(2)/25)*Calculateur!DB137*Calculateur!DD137*VLOOKUP('Données projet'!$B$13,Paramètres!$A$1:$I$89,3,0)*0.475*44/12</f>
        <v>0.36779116740592793</v>
      </c>
      <c r="DH137" s="21">
        <f>EXP(-LN(2)/2)*DH136+(1-EXP(-LN(2)/2))/(LN(2)/2)*DB137*DE137*VLOOKUP('Données projet'!$B$13,Paramètres!$A$1:$I$89,3,0)*0.475*44/12</f>
        <v>2.5565805696480826E-15</v>
      </c>
      <c r="DI137" s="22">
        <f t="shared" si="123"/>
        <v>0.53116961777422911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5.2446581196581219</v>
      </c>
      <c r="DO137" s="12">
        <f>IF('Données projet'!$A$166&gt;35,DO136+DN137-DW136,IF(A137&lt;'Données projet'!$A$166,$DL$205^A137,IF(A137='Données projet'!$A$166,'Données projet'!$B$166,DO136+DN137-DW136)))</f>
        <v>277.33653846153805</v>
      </c>
      <c r="DP137" s="17">
        <f>DO137*VLOOKUP('Données projet'!$B$14,Paramètres!$A$1:$I$89,3,0)*VLOOKUP('Données projet'!$B$14,Paramètres!$A$1:$I$89,5,0)</f>
        <v>276.89279999999962</v>
      </c>
      <c r="DQ137" s="13">
        <f t="shared" si="151"/>
        <v>66.309942344156951</v>
      </c>
      <c r="DR137" s="20">
        <f t="shared" si="124"/>
        <v>597.74477624940607</v>
      </c>
      <c r="DS137" s="59">
        <f t="shared" si="125"/>
        <v>891.07810958273944</v>
      </c>
      <c r="DT137" s="59">
        <f ca="1">AVERAGE(OFFSET($DS$3,0,0,'Données projet'!$E$14+1,1))-AVERAGE(OFFSET($H$3,0,0,'Données projet'!$E$14+1,1))</f>
        <v>245.06609107649069</v>
      </c>
      <c r="DU137" s="59">
        <f t="shared" si="152"/>
        <v>156.24531945456499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-2.5579538487363607E-13</v>
      </c>
      <c r="EK137" s="17">
        <f>EJ137*VLOOKUP('Données projet'!$B$15,Paramètres!$A$1:$I$89,3,0)*VLOOKUP('Données projet'!$B$15,Paramètres!$A$1:$I$89,5,0)</f>
        <v>-2.7932856028201057E-13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173.63857221119594</v>
      </c>
      <c r="EP137" s="59">
        <f t="shared" si="154"/>
        <v>52.373745617370105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199.58634493109349</v>
      </c>
      <c r="T138" s="59">
        <f t="shared" si="142"/>
        <v>288.66487031729008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0.62464554294606578</v>
      </c>
      <c r="AA138" s="21">
        <f>EXP(-LN(2)/25)*AA137+(1-EXP(-LN(2)/25))/(LN(2)/25)*Calculateur!V138*Calculateur!X138*VLOOKUP('Données projet'!$B$9,Paramètres!$A$1:$I$89,3,0)*0.475*44/12</f>
        <v>0.9320235696152952</v>
      </c>
      <c r="AB138" s="21">
        <f>EXP(-LN(2)/2)*AB137+(1-EXP(-LN(2)/2))/(LN(2)/2)*V138*Y138*VLOOKUP('Données projet'!$B$9,Paramètres!$A$1:$I$89,3,0)*0.475*44/12</f>
        <v>4.6316186538933715E-16</v>
      </c>
      <c r="AC138" s="22">
        <f t="shared" si="111"/>
        <v>1.5566691125613614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606.99999999999989</v>
      </c>
      <c r="AJ138" s="13">
        <f>AI138*VLOOKUP('Données projet'!$B$10,Paramètres!$A$1:$I$89,3,0)*VLOOKUP('Données projet'!$B$10,Paramètres!$A$1:$I$89,5,0)</f>
        <v>362.98599999999999</v>
      </c>
      <c r="AK138" s="13">
        <f t="shared" si="143"/>
        <v>84.230767602863935</v>
      </c>
      <c r="AL138" s="20">
        <f t="shared" si="112"/>
        <v>778.90253690832139</v>
      </c>
      <c r="AM138" s="59">
        <f t="shared" si="113"/>
        <v>1072.2358702416548</v>
      </c>
      <c r="AN138" s="59">
        <f ca="1">AVERAGE(OFFSET($AM$3,0,0,'Données projet'!$E$10+1,1))-AVERAGE(OFFSET($H$3,0,0,'Données projet'!$E$10+1,1))</f>
        <v>395.40396173178527</v>
      </c>
      <c r="AO138" s="59">
        <f t="shared" si="144"/>
        <v>304.68075128568756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0.37482741970671818</v>
      </c>
      <c r="AV138" s="21">
        <f>EXP(-LN(2)/25)*AV137+(1-EXP(-LN(2)/25))/(LN(2)/25)*Calculateur!AQ138*Calculateur!AS138*VLOOKUP('Données projet'!$B$10,Paramètres!$A$1:$I$89,3,0)*0.475*44/12</f>
        <v>1.0172055709655032</v>
      </c>
      <c r="AW138" s="21">
        <f>EXP(-LN(2)/2)*AW137+(1-EXP(-LN(2)/2))/(LN(2)/2)*AQ138*AT138*VLOOKUP('Données projet'!$B$10,Paramètres!$A$1:$I$89,3,0)*0.475*44/12</f>
        <v>4.083186258962247E-15</v>
      </c>
      <c r="AX138" s="21">
        <f t="shared" si="114"/>
        <v>1.3920329906722255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36.10000000000008</v>
      </c>
      <c r="BE138" s="13">
        <f>BD138*VLOOKUP('Données projet'!$B$11,Paramètres!$A$1:$I$89,3,0)*VLOOKUP('Données projet'!$B$11,Paramètres!$A$1:$I$89,5,0)</f>
        <v>31.536960000000075</v>
      </c>
      <c r="BF138" s="13">
        <f t="shared" si="145"/>
        <v>9.725440120377133</v>
      </c>
      <c r="BG138" s="20">
        <f t="shared" si="115"/>
        <v>71.865346876323642</v>
      </c>
      <c r="BH138" s="59">
        <f t="shared" si="116"/>
        <v>365.19868020965697</v>
      </c>
      <c r="BI138" s="59">
        <f ca="1">AVERAGE(OFFSET($BH$3,0,0,'Données projet'!$E$11+1,1))-AVERAGE(OFFSET($H$3,0,0,'Données projet'!$E$11+1,1))</f>
        <v>249.21292089724221</v>
      </c>
      <c r="BJ138" s="59">
        <f t="shared" si="146"/>
        <v>640.80644476065254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14.096639455207704</v>
      </c>
      <c r="BQ138" s="21">
        <f>EXP(-LN(2)/25)*BQ137+(1-EXP(-LN(2)/25))/(LN(2)/25)*Calculateur!BL138*Calculateur!BN138*VLOOKUP('Données projet'!$B$11,Paramètres!$A$1:$I$89,3,0)*0.475*44/12</f>
        <v>5.8315028387884178</v>
      </c>
      <c r="BR138" s="21">
        <f>EXP(-LN(2)/2)*BR137+(1-EXP(-LN(2)/2))/(LN(2)/2)*BL138*BO138*VLOOKUP('Données projet'!$B$11,Paramètres!$A$1:$I$89,3,0)*0.475*44/12</f>
        <v>1.2959471217564302E-14</v>
      </c>
      <c r="BS138" s="22">
        <f t="shared" si="117"/>
        <v>19.928142293996135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234.00000000000045</v>
      </c>
      <c r="BZ138" s="13">
        <f>BY138*VLOOKUP('Données projet'!$B$12,Paramètres!$A$1:$I$89,3,0)*VLOOKUP('Données projet'!$B$12,Paramètres!$A$1:$I$89,5,0)</f>
        <v>189.82080000000036</v>
      </c>
      <c r="CA138" s="13">
        <f t="shared" si="147"/>
        <v>47.500332100049881</v>
      </c>
      <c r="CB138" s="20">
        <f t="shared" si="118"/>
        <v>413.33430507425419</v>
      </c>
      <c r="CC138" s="59">
        <f t="shared" si="119"/>
        <v>706.66763840758745</v>
      </c>
      <c r="CD138" s="59">
        <f ca="1">AVERAGE(OFFSET($CC$3,0,0,'Données projet'!$E$12+1,1))-AVERAGE(OFFSET($H$3,0,0,'Données projet'!$E$12+1,1))</f>
        <v>192.4785660463869</v>
      </c>
      <c r="CE138" s="59">
        <f t="shared" si="148"/>
        <v>165.11095806515362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0.10122151092563056</v>
      </c>
      <c r="CL138" s="21">
        <f>EXP(-LN(2)/25)*CL137+(1-EXP(-LN(2)/25))/(LN(2)/25)*Calculateur!CG138*Calculateur!CI138*VLOOKUP('Données projet'!$B$12,Paramètres!$A$1:$I$89,3,0)*0.475*44/12</f>
        <v>0.25687722966652976</v>
      </c>
      <c r="CM138" s="21">
        <f>EXP(-LN(2)/2)*CM137+(1-EXP(-LN(2)/2))/(LN(2)/2)*CG138*CJ138*VLOOKUP('Données projet'!$B$12,Paramètres!$A$1:$I$89,3,0)*0.475*44/12</f>
        <v>1.1497191052736932E-15</v>
      </c>
      <c r="CN138" s="22">
        <f t="shared" si="120"/>
        <v>0.35809874059216146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275.00000000000057</v>
      </c>
      <c r="CU138" s="17">
        <f>CT138*VLOOKUP('Données projet'!$B$13,Paramètres!$A$1:$I$89,3,0)*VLOOKUP('Données projet'!$B$13,Paramètres!$A$1:$I$89,5,0)</f>
        <v>231.66000000000051</v>
      </c>
      <c r="CV138" s="13">
        <f t="shared" si="149"/>
        <v>56.641461975682923</v>
      </c>
      <c r="CW138" s="20">
        <f t="shared" si="121"/>
        <v>502.12504627431525</v>
      </c>
      <c r="CX138" s="59">
        <f t="shared" si="122"/>
        <v>795.45837960764857</v>
      </c>
      <c r="CY138" s="59">
        <f ca="1">AVERAGE(OFFSET($CX$3,0,0,'Données projet'!$E$13+1,1))-AVERAGE(OFFSET($H$3,0,0,'Données projet'!$E$13+1,1))</f>
        <v>247.67539667223065</v>
      </c>
      <c r="CZ138" s="59">
        <f t="shared" si="150"/>
        <v>174.54442616983778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0.16017469860759126</v>
      </c>
      <c r="DG138" s="21">
        <f>EXP(-LN(2)/25)*DG137+(1-EXP(-LN(2)/25))/(LN(2)/25)*Calculateur!DB138*Calculateur!DD138*VLOOKUP('Données projet'!$B$13,Paramètres!$A$1:$I$89,3,0)*0.475*44/12</f>
        <v>0.35773389859191596</v>
      </c>
      <c r="DH138" s="21">
        <f>EXP(-LN(2)/2)*DH137+(1-EXP(-LN(2)/2))/(LN(2)/2)*DB138*DE138*VLOOKUP('Données projet'!$B$13,Paramètres!$A$1:$I$89,3,0)*0.475*44/12</f>
        <v>1.8077754574479257E-15</v>
      </c>
      <c r="DI138" s="22">
        <f t="shared" si="123"/>
        <v>0.51790859719950899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5.2446581196581219</v>
      </c>
      <c r="DO138" s="12">
        <f>IF('Données projet'!$A$166&gt;35,DO137+DN138-DW137,IF(A138&lt;'Données projet'!$A$166,$DL$205^A138,IF(A138='Données projet'!$A$166,'Données projet'!$B$166,DO137+DN138-DW137)))</f>
        <v>282.5811965811962</v>
      </c>
      <c r="DP138" s="17">
        <f>DO138*VLOOKUP('Données projet'!$B$14,Paramètres!$A$1:$I$89,3,0)*VLOOKUP('Données projet'!$B$14,Paramètres!$A$1:$I$89,5,0)</f>
        <v>282.12906666666629</v>
      </c>
      <c r="DQ138" s="13">
        <f t="shared" si="151"/>
        <v>67.416743318244173</v>
      </c>
      <c r="DR138" s="20">
        <f t="shared" si="124"/>
        <v>608.79228572371903</v>
      </c>
      <c r="DS138" s="59">
        <f t="shared" si="125"/>
        <v>902.12561905705229</v>
      </c>
      <c r="DT138" s="59">
        <f ca="1">AVERAGE(OFFSET($DS$3,0,0,'Données projet'!$E$14+1,1))-AVERAGE(OFFSET($H$3,0,0,'Données projet'!$E$14+1,1))</f>
        <v>245.06609107649069</v>
      </c>
      <c r="DU138" s="59">
        <f t="shared" si="152"/>
        <v>156.24531945456499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-2.5579538487363607E-13</v>
      </c>
      <c r="EK138" s="17">
        <f>EJ138*VLOOKUP('Données projet'!$B$15,Paramètres!$A$1:$I$89,3,0)*VLOOKUP('Données projet'!$B$15,Paramètres!$A$1:$I$89,5,0)</f>
        <v>-2.7932856028201057E-13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173.63857221119594</v>
      </c>
      <c r="EP138" s="59">
        <f t="shared" si="154"/>
        <v>52.373745617370105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199.58634493109349</v>
      </c>
      <c r="T139" s="59">
        <f t="shared" si="142"/>
        <v>288.66487031729008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0.61239662484505442</v>
      </c>
      <c r="AA139" s="21">
        <f>EXP(-LN(2)/25)*AA138+(1-EXP(-LN(2)/25))/(LN(2)/25)*Calculateur!V139*Calculateur!X139*VLOOKUP('Données projet'!$B$9,Paramètres!$A$1:$I$89,3,0)*0.475*44/12</f>
        <v>0.90653733609117559</v>
      </c>
      <c r="AB139" s="21">
        <f>EXP(-LN(2)/2)*AB138+(1-EXP(-LN(2)/2))/(LN(2)/2)*V139*Y139*VLOOKUP('Données projet'!$B$9,Paramètres!$A$1:$I$89,3,0)*0.475*44/12</f>
        <v>3.275048958038112E-16</v>
      </c>
      <c r="AC139" s="22">
        <f t="shared" si="111"/>
        <v>1.5189339609362302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606.99999999999989</v>
      </c>
      <c r="AJ139" s="13">
        <f>AI139*VLOOKUP('Données projet'!$B$10,Paramètres!$A$1:$I$89,3,0)*VLOOKUP('Données projet'!$B$10,Paramètres!$A$1:$I$89,5,0)</f>
        <v>362.98599999999999</v>
      </c>
      <c r="AK139" s="13">
        <f t="shared" si="143"/>
        <v>84.230767602863935</v>
      </c>
      <c r="AL139" s="20">
        <f t="shared" si="112"/>
        <v>778.90253690832139</v>
      </c>
      <c r="AM139" s="59">
        <f t="shared" si="113"/>
        <v>1072.2358702416548</v>
      </c>
      <c r="AN139" s="59">
        <f ca="1">AVERAGE(OFFSET($AM$3,0,0,'Données projet'!$E$10+1,1))-AVERAGE(OFFSET($H$3,0,0,'Données projet'!$E$10+1,1))</f>
        <v>395.40396173178527</v>
      </c>
      <c r="AO139" s="59">
        <f t="shared" si="144"/>
        <v>304.68075128568756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0.36747728262842089</v>
      </c>
      <c r="AV139" s="21">
        <f>EXP(-LN(2)/25)*AV138+(1-EXP(-LN(2)/25))/(LN(2)/25)*Calculateur!AQ139*Calculateur!AS139*VLOOKUP('Données projet'!$B$10,Paramètres!$A$1:$I$89,3,0)*0.475*44/12</f>
        <v>0.9893900311349354</v>
      </c>
      <c r="AW139" s="21">
        <f>EXP(-LN(2)/2)*AW138+(1-EXP(-LN(2)/2))/(LN(2)/2)*AQ139*AT139*VLOOKUP('Données projet'!$B$10,Paramètres!$A$1:$I$89,3,0)*0.475*44/12</f>
        <v>2.8872486925599353E-15</v>
      </c>
      <c r="AX139" s="21">
        <f t="shared" si="114"/>
        <v>1.3568673137633591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36.10000000000008</v>
      </c>
      <c r="BE139" s="13">
        <f>BD139*VLOOKUP('Données projet'!$B$11,Paramètres!$A$1:$I$89,3,0)*VLOOKUP('Données projet'!$B$11,Paramètres!$A$1:$I$89,5,0)</f>
        <v>31.536960000000075</v>
      </c>
      <c r="BF139" s="13">
        <f t="shared" si="145"/>
        <v>9.725440120377133</v>
      </c>
      <c r="BG139" s="20">
        <f t="shared" si="115"/>
        <v>71.865346876323642</v>
      </c>
      <c r="BH139" s="59">
        <f t="shared" si="116"/>
        <v>365.19868020965697</v>
      </c>
      <c r="BI139" s="59">
        <f ca="1">AVERAGE(OFFSET($BH$3,0,0,'Données projet'!$E$11+1,1))-AVERAGE(OFFSET($H$3,0,0,'Données projet'!$E$11+1,1))</f>
        <v>249.21292089724221</v>
      </c>
      <c r="BJ139" s="59">
        <f t="shared" si="146"/>
        <v>640.80644476065254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13.820212953592156</v>
      </c>
      <c r="BQ139" s="21">
        <f>EXP(-LN(2)/25)*BQ138+(1-EXP(-LN(2)/25))/(LN(2)/25)*Calculateur!BL139*Calculateur!BN139*VLOOKUP('Données projet'!$B$11,Paramètres!$A$1:$I$89,3,0)*0.475*44/12</f>
        <v>5.6720400869963425</v>
      </c>
      <c r="BR139" s="21">
        <f>EXP(-LN(2)/2)*BR138+(1-EXP(-LN(2)/2))/(LN(2)/2)*BL139*BO139*VLOOKUP('Données projet'!$B$11,Paramètres!$A$1:$I$89,3,0)*0.475*44/12</f>
        <v>9.1637299785316012E-15</v>
      </c>
      <c r="BS139" s="22">
        <f t="shared" si="117"/>
        <v>19.492253040588508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234.00000000000045</v>
      </c>
      <c r="BZ139" s="13">
        <f>BY139*VLOOKUP('Données projet'!$B$12,Paramètres!$A$1:$I$89,3,0)*VLOOKUP('Données projet'!$B$12,Paramètres!$A$1:$I$89,5,0)</f>
        <v>189.82080000000036</v>
      </c>
      <c r="CA139" s="13">
        <f t="shared" si="147"/>
        <v>47.500332100049881</v>
      </c>
      <c r="CB139" s="20">
        <f t="shared" si="118"/>
        <v>413.33430507425419</v>
      </c>
      <c r="CC139" s="59">
        <f t="shared" si="119"/>
        <v>706.66763840758745</v>
      </c>
      <c r="CD139" s="59">
        <f ca="1">AVERAGE(OFFSET($CC$3,0,0,'Données projet'!$E$12+1,1))-AVERAGE(OFFSET($H$3,0,0,'Données projet'!$E$12+1,1))</f>
        <v>192.4785660463869</v>
      </c>
      <c r="CE139" s="59">
        <f t="shared" si="148"/>
        <v>165.11095806515362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9.9236618835404383E-2</v>
      </c>
      <c r="CL139" s="21">
        <f>EXP(-LN(2)/25)*CL138+(1-EXP(-LN(2)/25))/(LN(2)/25)*Calculateur!CG139*Calculateur!CI139*VLOOKUP('Données projet'!$B$12,Paramètres!$A$1:$I$89,3,0)*0.475*44/12</f>
        <v>0.24985290831271209</v>
      </c>
      <c r="CM139" s="21">
        <f>EXP(-LN(2)/2)*CM138+(1-EXP(-LN(2)/2))/(LN(2)/2)*CG139*CJ139*VLOOKUP('Données projet'!$B$12,Paramètres!$A$1:$I$89,3,0)*0.475*44/12</f>
        <v>8.1297417579875856E-16</v>
      </c>
      <c r="CN139" s="22">
        <f t="shared" si="120"/>
        <v>0.34908952714811731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275.00000000000057</v>
      </c>
      <c r="CU139" s="17">
        <f>CT139*VLOOKUP('Données projet'!$B$13,Paramètres!$A$1:$I$89,3,0)*VLOOKUP('Données projet'!$B$13,Paramètres!$A$1:$I$89,5,0)</f>
        <v>231.66000000000051</v>
      </c>
      <c r="CV139" s="13">
        <f t="shared" si="149"/>
        <v>56.641461975682923</v>
      </c>
      <c r="CW139" s="20">
        <f t="shared" si="121"/>
        <v>502.12504627431525</v>
      </c>
      <c r="CX139" s="59">
        <f t="shared" si="122"/>
        <v>795.45837960764857</v>
      </c>
      <c r="CY139" s="59">
        <f ca="1">AVERAGE(OFFSET($CX$3,0,0,'Données projet'!$E$13+1,1))-AVERAGE(OFFSET($H$3,0,0,'Données projet'!$E$13+1,1))</f>
        <v>247.67539667223065</v>
      </c>
      <c r="CZ139" s="59">
        <f t="shared" si="150"/>
        <v>174.54442616983778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0.15703377046481579</v>
      </c>
      <c r="DG139" s="21">
        <f>EXP(-LN(2)/25)*DG138+(1-EXP(-LN(2)/25))/(LN(2)/25)*Calculateur!DB139*Calculateur!DD139*VLOOKUP('Données projet'!$B$13,Paramètres!$A$1:$I$89,3,0)*0.475*44/12</f>
        <v>0.34795164632251191</v>
      </c>
      <c r="DH139" s="21">
        <f>EXP(-LN(2)/2)*DH138+(1-EXP(-LN(2)/2))/(LN(2)/2)*DB139*DE139*VLOOKUP('Données projet'!$B$13,Paramètres!$A$1:$I$89,3,0)*0.475*44/12</f>
        <v>1.2782902848240413E-15</v>
      </c>
      <c r="DI139" s="22">
        <f t="shared" si="123"/>
        <v>0.504985416787329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5.2446581196581219</v>
      </c>
      <c r="DO139" s="12">
        <f>IF('Données projet'!$A$166&gt;35,DO138+DN139-DW138,IF(A139&lt;'Données projet'!$A$166,$DL$205^A139,IF(A139='Données projet'!$A$166,'Données projet'!$B$166,DO138+DN139-DW138)))</f>
        <v>287.82585470085434</v>
      </c>
      <c r="DP139" s="17">
        <f>DO139*VLOOKUP('Données projet'!$B$14,Paramètres!$A$1:$I$89,3,0)*VLOOKUP('Données projet'!$B$14,Paramètres!$A$1:$I$89,5,0)</f>
        <v>287.36533333333301</v>
      </c>
      <c r="DQ139" s="13">
        <f t="shared" si="151"/>
        <v>68.521155635488654</v>
      </c>
      <c r="DR139" s="20">
        <f t="shared" si="124"/>
        <v>619.83563495403098</v>
      </c>
      <c r="DS139" s="59">
        <f t="shared" si="125"/>
        <v>913.16896828736435</v>
      </c>
      <c r="DT139" s="59">
        <f ca="1">AVERAGE(OFFSET($DS$3,0,0,'Données projet'!$E$14+1,1))-AVERAGE(OFFSET($H$3,0,0,'Données projet'!$E$14+1,1))</f>
        <v>245.06609107649069</v>
      </c>
      <c r="DU139" s="59">
        <f t="shared" si="152"/>
        <v>156.24531945456499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-2.5579538487363607E-13</v>
      </c>
      <c r="EK139" s="17">
        <f>EJ139*VLOOKUP('Données projet'!$B$15,Paramètres!$A$1:$I$89,3,0)*VLOOKUP('Données projet'!$B$15,Paramètres!$A$1:$I$89,5,0)</f>
        <v>-2.7932856028201057E-13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173.63857221119594</v>
      </c>
      <c r="EP139" s="59">
        <f t="shared" si="154"/>
        <v>52.373745617370105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199.58634493109349</v>
      </c>
      <c r="T140" s="59">
        <f t="shared" si="142"/>
        <v>288.66487031729008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0.6003879005569015</v>
      </c>
      <c r="AA140" s="21">
        <f>EXP(-LN(2)/25)*AA139+(1-EXP(-LN(2)/25))/(LN(2)/25)*Calculateur!V140*Calculateur!X140*VLOOKUP('Données projet'!$B$9,Paramètres!$A$1:$I$89,3,0)*0.475*44/12</f>
        <v>0.88174802496303584</v>
      </c>
      <c r="AB140" s="21">
        <f>EXP(-LN(2)/2)*AB139+(1-EXP(-LN(2)/2))/(LN(2)/2)*V140*Y140*VLOOKUP('Données projet'!$B$9,Paramètres!$A$1:$I$89,3,0)*0.475*44/12</f>
        <v>2.3158093269466857E-16</v>
      </c>
      <c r="AC140" s="22">
        <f t="shared" si="111"/>
        <v>1.4821359255199376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606.99999999999989</v>
      </c>
      <c r="AJ140" s="13">
        <f>AI140*VLOOKUP('Données projet'!$B$10,Paramètres!$A$1:$I$89,3,0)*VLOOKUP('Données projet'!$B$10,Paramètres!$A$1:$I$89,5,0)</f>
        <v>362.98599999999999</v>
      </c>
      <c r="AK140" s="13">
        <f t="shared" si="143"/>
        <v>84.230767602863935</v>
      </c>
      <c r="AL140" s="20">
        <f t="shared" si="112"/>
        <v>778.90253690832139</v>
      </c>
      <c r="AM140" s="59">
        <f t="shared" si="113"/>
        <v>1072.2358702416548</v>
      </c>
      <c r="AN140" s="59">
        <f ca="1">AVERAGE(OFFSET($AM$3,0,0,'Données projet'!$E$10+1,1))-AVERAGE(OFFSET($H$3,0,0,'Données projet'!$E$10+1,1))</f>
        <v>395.40396173178527</v>
      </c>
      <c r="AO140" s="59">
        <f t="shared" si="144"/>
        <v>304.68075128568756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0.36027127725508806</v>
      </c>
      <c r="AV140" s="21">
        <f>EXP(-LN(2)/25)*AV139+(1-EXP(-LN(2)/25))/(LN(2)/25)*Calculateur!AQ140*Calculateur!AS140*VLOOKUP('Données projet'!$B$10,Paramètres!$A$1:$I$89,3,0)*0.475*44/12</f>
        <v>0.96233510870379013</v>
      </c>
      <c r="AW140" s="21">
        <f>EXP(-LN(2)/2)*AW139+(1-EXP(-LN(2)/2))/(LN(2)/2)*AQ140*AT140*VLOOKUP('Données projet'!$B$10,Paramètres!$A$1:$I$89,3,0)*0.475*44/12</f>
        <v>2.0415931294811235E-15</v>
      </c>
      <c r="AX140" s="21">
        <f t="shared" si="114"/>
        <v>1.3226063859588801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36.10000000000008</v>
      </c>
      <c r="BE140" s="13">
        <f>BD140*VLOOKUP('Données projet'!$B$11,Paramètres!$A$1:$I$89,3,0)*VLOOKUP('Données projet'!$B$11,Paramètres!$A$1:$I$89,5,0)</f>
        <v>31.536960000000075</v>
      </c>
      <c r="BF140" s="13">
        <f t="shared" si="145"/>
        <v>9.725440120377133</v>
      </c>
      <c r="BG140" s="20">
        <f t="shared" si="115"/>
        <v>71.865346876323642</v>
      </c>
      <c r="BH140" s="59">
        <f t="shared" si="116"/>
        <v>365.19868020965697</v>
      </c>
      <c r="BI140" s="59">
        <f ca="1">AVERAGE(OFFSET($BH$3,0,0,'Données projet'!$E$11+1,1))-AVERAGE(OFFSET($H$3,0,0,'Données projet'!$E$11+1,1))</f>
        <v>249.21292089724221</v>
      </c>
      <c r="BJ140" s="59">
        <f t="shared" si="146"/>
        <v>640.80644476065254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13.549207007069771</v>
      </c>
      <c r="BQ140" s="21">
        <f>EXP(-LN(2)/25)*BQ139+(1-EXP(-LN(2)/25))/(LN(2)/25)*Calculateur!BL140*Calculateur!BN140*VLOOKUP('Données projet'!$B$11,Paramètres!$A$1:$I$89,3,0)*0.475*44/12</f>
        <v>5.5169378525378034</v>
      </c>
      <c r="BR140" s="21">
        <f>EXP(-LN(2)/2)*BR139+(1-EXP(-LN(2)/2))/(LN(2)/2)*BL140*BO140*VLOOKUP('Données projet'!$B$11,Paramètres!$A$1:$I$89,3,0)*0.475*44/12</f>
        <v>6.4797356087821509E-15</v>
      </c>
      <c r="BS140" s="22">
        <f t="shared" si="117"/>
        <v>19.066144859607583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234.00000000000045</v>
      </c>
      <c r="BZ140" s="13">
        <f>BY140*VLOOKUP('Données projet'!$B$12,Paramètres!$A$1:$I$89,3,0)*VLOOKUP('Données projet'!$B$12,Paramètres!$A$1:$I$89,5,0)</f>
        <v>189.82080000000036</v>
      </c>
      <c r="CA140" s="13">
        <f t="shared" si="147"/>
        <v>47.500332100049881</v>
      </c>
      <c r="CB140" s="20">
        <f t="shared" si="118"/>
        <v>413.33430507425419</v>
      </c>
      <c r="CC140" s="59">
        <f t="shared" si="119"/>
        <v>706.66763840758745</v>
      </c>
      <c r="CD140" s="59">
        <f ca="1">AVERAGE(OFFSET($CC$3,0,0,'Données projet'!$E$12+1,1))-AVERAGE(OFFSET($H$3,0,0,'Données projet'!$E$12+1,1))</f>
        <v>192.4785660463869</v>
      </c>
      <c r="CE140" s="59">
        <f t="shared" si="148"/>
        <v>165.11095806515362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9.7290649268402918E-2</v>
      </c>
      <c r="CL140" s="21">
        <f>EXP(-LN(2)/25)*CL139+(1-EXP(-LN(2)/25))/(LN(2)/25)*Calculateur!CG140*Calculateur!CI140*VLOOKUP('Données projet'!$B$12,Paramètres!$A$1:$I$89,3,0)*0.475*44/12</f>
        <v>0.24302066739570757</v>
      </c>
      <c r="CM140" s="21">
        <f>EXP(-LN(2)/2)*CM139+(1-EXP(-LN(2)/2))/(LN(2)/2)*CG140*CJ140*VLOOKUP('Données projet'!$B$12,Paramètres!$A$1:$I$89,3,0)*0.475*44/12</f>
        <v>5.7485955263684658E-16</v>
      </c>
      <c r="CN140" s="22">
        <f t="shared" si="120"/>
        <v>0.34031131666411107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275.00000000000057</v>
      </c>
      <c r="CU140" s="17">
        <f>CT140*VLOOKUP('Données projet'!$B$13,Paramètres!$A$1:$I$89,3,0)*VLOOKUP('Données projet'!$B$13,Paramètres!$A$1:$I$89,5,0)</f>
        <v>231.66000000000051</v>
      </c>
      <c r="CV140" s="13">
        <f t="shared" si="149"/>
        <v>56.641461975682923</v>
      </c>
      <c r="CW140" s="20">
        <f t="shared" si="121"/>
        <v>502.12504627431525</v>
      </c>
      <c r="CX140" s="59">
        <f t="shared" si="122"/>
        <v>795.45837960764857</v>
      </c>
      <c r="CY140" s="59">
        <f ca="1">AVERAGE(OFFSET($CX$3,0,0,'Données projet'!$E$13+1,1))-AVERAGE(OFFSET($H$3,0,0,'Données projet'!$E$13+1,1))</f>
        <v>247.67539667223065</v>
      </c>
      <c r="CZ140" s="59">
        <f t="shared" si="150"/>
        <v>174.54442616983778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0.15395443400714312</v>
      </c>
      <c r="DG140" s="21">
        <f>EXP(-LN(2)/25)*DG139+(1-EXP(-LN(2)/25))/(LN(2)/25)*Calculateur!DB140*Calculateur!DD140*VLOOKUP('Données projet'!$B$13,Paramètres!$A$1:$I$89,3,0)*0.475*44/12</f>
        <v>0.33843689025584101</v>
      </c>
      <c r="DH140" s="21">
        <f>EXP(-LN(2)/2)*DH139+(1-EXP(-LN(2)/2))/(LN(2)/2)*DB140*DE140*VLOOKUP('Données projet'!$B$13,Paramètres!$A$1:$I$89,3,0)*0.475*44/12</f>
        <v>9.0388772872396285E-16</v>
      </c>
      <c r="DI140" s="22">
        <f t="shared" si="123"/>
        <v>0.49239132426298504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293.07051282051282</v>
      </c>
      <c r="DM140" s="12">
        <f>VLOOKUP(A140,'Données projet'!$A$165:$I$185,9,0)</f>
        <v>5.2446581196581219</v>
      </c>
      <c r="DN140" s="12">
        <f t="array" ref="DN140">INDEX(DM:DM,MIN(IF(ISNUMBER(DM140:DM336),ROW(DM140:DM336),"")))</f>
        <v>5.2446581196581219</v>
      </c>
      <c r="DO140" s="12">
        <f>IF('Données projet'!$A$166&gt;35,DO139+DN140-DW139,IF(A140&lt;'Données projet'!$A$166,$DL$205^A140,IF(A140='Données projet'!$A$166,'Données projet'!$B$166,DO139+DN140-DW139)))</f>
        <v>293.07051282051248</v>
      </c>
      <c r="DP140" s="17">
        <f>DO140*VLOOKUP('Données projet'!$B$14,Paramètres!$A$1:$I$89,3,0)*VLOOKUP('Données projet'!$B$14,Paramètres!$A$1:$I$89,5,0)</f>
        <v>292.60159999999968</v>
      </c>
      <c r="DQ140" s="13">
        <f t="shared" si="151"/>
        <v>69.62322784138739</v>
      </c>
      <c r="DR140" s="20">
        <f t="shared" si="124"/>
        <v>630.87490849041581</v>
      </c>
      <c r="DS140" s="59">
        <f t="shared" si="125"/>
        <v>924.20824182374918</v>
      </c>
      <c r="DT140" s="59">
        <f ca="1">AVERAGE(OFFSET($DS$3,0,0,'Données projet'!$E$14+1,1))-AVERAGE(OFFSET($H$3,0,0,'Données projet'!$E$14+1,1))</f>
        <v>245.06609107649069</v>
      </c>
      <c r="DU140" s="59">
        <f t="shared" si="152"/>
        <v>156.24531945456499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51.160256410256409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-2.5579538487363607E-13</v>
      </c>
      <c r="EK140" s="17">
        <f>EJ140*VLOOKUP('Données projet'!$B$15,Paramètres!$A$1:$I$89,3,0)*VLOOKUP('Données projet'!$B$15,Paramètres!$A$1:$I$89,5,0)</f>
        <v>-2.7932856028201057E-13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173.63857221119594</v>
      </c>
      <c r="EP140" s="59">
        <f t="shared" si="154"/>
        <v>52.373745617370105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199.58634493109349</v>
      </c>
      <c r="T141" s="59">
        <f t="shared" si="142"/>
        <v>288.66487031729008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0.58861466002744067</v>
      </c>
      <c r="AA141" s="21">
        <f>EXP(-LN(2)/25)*AA140+(1-EXP(-LN(2)/25))/(LN(2)/25)*Calculateur!V141*Calculateur!X141*VLOOKUP('Données projet'!$B$9,Paramètres!$A$1:$I$89,3,0)*0.475*44/12</f>
        <v>0.85763657885130828</v>
      </c>
      <c r="AB141" s="21">
        <f>EXP(-LN(2)/2)*AB140+(1-EXP(-LN(2)/2))/(LN(2)/2)*V141*Y141*VLOOKUP('Données projet'!$B$9,Paramètres!$A$1:$I$89,3,0)*0.475*44/12</f>
        <v>1.637524479019056E-16</v>
      </c>
      <c r="AC141" s="22">
        <f t="shared" si="111"/>
        <v>1.4462512388787492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606.99999999999989</v>
      </c>
      <c r="AJ141" s="13">
        <f>AI141*VLOOKUP('Données projet'!$B$10,Paramètres!$A$1:$I$89,3,0)*VLOOKUP('Données projet'!$B$10,Paramètres!$A$1:$I$89,5,0)</f>
        <v>362.98599999999999</v>
      </c>
      <c r="AK141" s="13">
        <f t="shared" si="143"/>
        <v>84.230767602863935</v>
      </c>
      <c r="AL141" s="20">
        <f t="shared" si="112"/>
        <v>778.90253690832139</v>
      </c>
      <c r="AM141" s="59">
        <f t="shared" si="113"/>
        <v>1072.2358702416548</v>
      </c>
      <c r="AN141" s="59">
        <f ca="1">AVERAGE(OFFSET($AM$3,0,0,'Données projet'!$E$10+1,1))-AVERAGE(OFFSET($H$3,0,0,'Données projet'!$E$10+1,1))</f>
        <v>395.40396173178527</v>
      </c>
      <c r="AO141" s="59">
        <f t="shared" si="144"/>
        <v>304.68075128568756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0.35320657725189702</v>
      </c>
      <c r="AV141" s="21">
        <f>EXP(-LN(2)/25)*AV140+(1-EXP(-LN(2)/25))/(LN(2)/25)*Calculateur!AQ141*Calculateur!AS141*VLOOKUP('Données projet'!$B$10,Paramètres!$A$1:$I$89,3,0)*0.475*44/12</f>
        <v>0.93602000454928103</v>
      </c>
      <c r="AW141" s="21">
        <f>EXP(-LN(2)/2)*AW140+(1-EXP(-LN(2)/2))/(LN(2)/2)*AQ141*AT141*VLOOKUP('Données projet'!$B$10,Paramètres!$A$1:$I$89,3,0)*0.475*44/12</f>
        <v>1.4436243462799676E-15</v>
      </c>
      <c r="AX141" s="21">
        <f t="shared" si="114"/>
        <v>1.2892265818011797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36.10000000000008</v>
      </c>
      <c r="BE141" s="13">
        <f>BD141*VLOOKUP('Données projet'!$B$11,Paramètres!$A$1:$I$89,3,0)*VLOOKUP('Données projet'!$B$11,Paramètres!$A$1:$I$89,5,0)</f>
        <v>31.536960000000075</v>
      </c>
      <c r="BF141" s="13">
        <f t="shared" si="145"/>
        <v>9.725440120377133</v>
      </c>
      <c r="BG141" s="20">
        <f t="shared" si="115"/>
        <v>71.865346876323642</v>
      </c>
      <c r="BH141" s="59">
        <f t="shared" si="116"/>
        <v>365.19868020965697</v>
      </c>
      <c r="BI141" s="59">
        <f ca="1">AVERAGE(OFFSET($BH$3,0,0,'Données projet'!$E$11+1,1))-AVERAGE(OFFSET($H$3,0,0,'Données projet'!$E$11+1,1))</f>
        <v>249.21292089724221</v>
      </c>
      <c r="BJ141" s="59">
        <f t="shared" si="146"/>
        <v>640.80644476065254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13.283515321861385</v>
      </c>
      <c r="BQ141" s="21">
        <f>EXP(-LN(2)/25)*BQ140+(1-EXP(-LN(2)/25))/(LN(2)/25)*Calculateur!BL141*Calculateur!BN141*VLOOKUP('Données projet'!$B$11,Paramètres!$A$1:$I$89,3,0)*0.475*44/12</f>
        <v>5.3660768968370043</v>
      </c>
      <c r="BR141" s="21">
        <f>EXP(-LN(2)/2)*BR140+(1-EXP(-LN(2)/2))/(LN(2)/2)*BL141*BO141*VLOOKUP('Données projet'!$B$11,Paramètres!$A$1:$I$89,3,0)*0.475*44/12</f>
        <v>4.5818649892658006E-15</v>
      </c>
      <c r="BS141" s="22">
        <f t="shared" si="117"/>
        <v>18.649592218698391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234.00000000000045</v>
      </c>
      <c r="BZ141" s="13">
        <f>BY141*VLOOKUP('Données projet'!$B$12,Paramètres!$A$1:$I$89,3,0)*VLOOKUP('Données projet'!$B$12,Paramètres!$A$1:$I$89,5,0)</f>
        <v>189.82080000000036</v>
      </c>
      <c r="CA141" s="13">
        <f t="shared" si="147"/>
        <v>47.500332100049881</v>
      </c>
      <c r="CB141" s="20">
        <f t="shared" si="118"/>
        <v>413.33430507425419</v>
      </c>
      <c r="CC141" s="59">
        <f t="shared" si="119"/>
        <v>706.66763840758745</v>
      </c>
      <c r="CD141" s="59">
        <f ca="1">AVERAGE(OFFSET($CC$3,0,0,'Données projet'!$E$12+1,1))-AVERAGE(OFFSET($H$3,0,0,'Données projet'!$E$12+1,1))</f>
        <v>192.4785660463869</v>
      </c>
      <c r="CE141" s="59">
        <f t="shared" si="148"/>
        <v>165.11095806515362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9.538283897768611E-2</v>
      </c>
      <c r="CL141" s="21">
        <f>EXP(-LN(2)/25)*CL140+(1-EXP(-LN(2)/25))/(LN(2)/25)*Calculateur!CG141*Calculateur!CI141*VLOOKUP('Données projet'!$B$12,Paramètres!$A$1:$I$89,3,0)*0.475*44/12</f>
        <v>0.23637525446587049</v>
      </c>
      <c r="CM141" s="21">
        <f>EXP(-LN(2)/2)*CM140+(1-EXP(-LN(2)/2))/(LN(2)/2)*CG141*CJ141*VLOOKUP('Données projet'!$B$12,Paramètres!$A$1:$I$89,3,0)*0.475*44/12</f>
        <v>4.0648708789937928E-16</v>
      </c>
      <c r="CN141" s="22">
        <f t="shared" si="120"/>
        <v>0.331758093443557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275.00000000000057</v>
      </c>
      <c r="CU141" s="17">
        <f>CT141*VLOOKUP('Données projet'!$B$13,Paramètres!$A$1:$I$89,3,0)*VLOOKUP('Données projet'!$B$13,Paramètres!$A$1:$I$89,5,0)</f>
        <v>231.66000000000051</v>
      </c>
      <c r="CV141" s="13">
        <f t="shared" si="149"/>
        <v>56.641461975682923</v>
      </c>
      <c r="CW141" s="20">
        <f t="shared" si="121"/>
        <v>502.12504627431525</v>
      </c>
      <c r="CX141" s="59">
        <f t="shared" si="122"/>
        <v>795.45837960764857</v>
      </c>
      <c r="CY141" s="59">
        <f ca="1">AVERAGE(OFFSET($CX$3,0,0,'Données projet'!$E$13+1,1))-AVERAGE(OFFSET($H$3,0,0,'Données projet'!$E$13+1,1))</f>
        <v>247.67539667223065</v>
      </c>
      <c r="CZ141" s="59">
        <f t="shared" si="150"/>
        <v>174.54442616983778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0.15093548145919564</v>
      </c>
      <c r="DG141" s="21">
        <f>EXP(-LN(2)/25)*DG140+(1-EXP(-LN(2)/25))/(LN(2)/25)*Calculateur!DB141*Calculateur!DD141*VLOOKUP('Données projet'!$B$13,Paramètres!$A$1:$I$89,3,0)*0.475*44/12</f>
        <v>0.3291823156941725</v>
      </c>
      <c r="DH141" s="21">
        <f>EXP(-LN(2)/2)*DH140+(1-EXP(-LN(2)/2))/(LN(2)/2)*DB141*DE141*VLOOKUP('Données projet'!$B$13,Paramètres!$A$1:$I$89,3,0)*0.475*44/12</f>
        <v>6.3914514241202064E-16</v>
      </c>
      <c r="DI141" s="22">
        <f t="shared" si="123"/>
        <v>0.48011779715336877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5.1063034188034209</v>
      </c>
      <c r="DO141" s="12">
        <f>IF('Données projet'!$A$166&gt;35,DO140+DN141-DW140,IF(A141&lt;'Données projet'!$A$166,$DL$205^A141,IF(A141='Données projet'!$A$166,'Données projet'!$B$166,DO140+DN141-DW140)))</f>
        <v>247.01655982905947</v>
      </c>
      <c r="DP141" s="17">
        <f>DO141*VLOOKUP('Données projet'!$B$14,Paramètres!$A$1:$I$89,3,0)*VLOOKUP('Données projet'!$B$14,Paramètres!$A$1:$I$89,5,0)</f>
        <v>246.62133333333301</v>
      </c>
      <c r="DQ141" s="13">
        <f t="shared" si="151"/>
        <v>59.861878290055003</v>
      </c>
      <c r="DR141" s="20">
        <f t="shared" si="124"/>
        <v>533.79159357740082</v>
      </c>
      <c r="DS141" s="59">
        <f t="shared" si="125"/>
        <v>827.12492691073408</v>
      </c>
      <c r="DT141" s="59">
        <f ca="1">AVERAGE(OFFSET($DS$3,0,0,'Données projet'!$E$14+1,1))-AVERAGE(OFFSET($H$3,0,0,'Données projet'!$E$14+1,1))</f>
        <v>245.06609107649069</v>
      </c>
      <c r="DU141" s="59">
        <f t="shared" si="152"/>
        <v>156.24531945456499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-2.5579538487363607E-13</v>
      </c>
      <c r="EK141" s="17">
        <f>EJ141*VLOOKUP('Données projet'!$B$15,Paramètres!$A$1:$I$89,3,0)*VLOOKUP('Données projet'!$B$15,Paramètres!$A$1:$I$89,5,0)</f>
        <v>-2.7932856028201057E-13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173.63857221119594</v>
      </c>
      <c r="EP141" s="59">
        <f t="shared" si="154"/>
        <v>52.373745617370105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199.58634493109349</v>
      </c>
      <c r="T142" s="59">
        <f t="shared" si="142"/>
        <v>288.66487031729008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0.57707228556379497</v>
      </c>
      <c r="AA142" s="21">
        <f>EXP(-LN(2)/25)*AA141+(1-EXP(-LN(2)/25))/(LN(2)/25)*Calculateur!V142*Calculateur!X142*VLOOKUP('Données projet'!$B$9,Paramètres!$A$1:$I$89,3,0)*0.475*44/12</f>
        <v>0.83418446150147174</v>
      </c>
      <c r="AB142" s="21">
        <f>EXP(-LN(2)/2)*AB141+(1-EXP(-LN(2)/2))/(LN(2)/2)*V142*Y142*VLOOKUP('Données projet'!$B$9,Paramètres!$A$1:$I$89,3,0)*0.475*44/12</f>
        <v>1.1579046634733429E-16</v>
      </c>
      <c r="AC142" s="22">
        <f t="shared" si="111"/>
        <v>1.411256747065267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606.99999999999989</v>
      </c>
      <c r="AJ142" s="13">
        <f>AI142*VLOOKUP('Données projet'!$B$10,Paramètres!$A$1:$I$89,3,0)*VLOOKUP('Données projet'!$B$10,Paramètres!$A$1:$I$89,5,0)</f>
        <v>362.98599999999999</v>
      </c>
      <c r="AK142" s="13">
        <f t="shared" si="143"/>
        <v>84.230767602863935</v>
      </c>
      <c r="AL142" s="20">
        <f t="shared" si="112"/>
        <v>778.90253690832139</v>
      </c>
      <c r="AM142" s="59">
        <f t="shared" si="113"/>
        <v>1072.2358702416548</v>
      </c>
      <c r="AN142" s="59">
        <f ca="1">AVERAGE(OFFSET($AM$3,0,0,'Données projet'!$E$10+1,1))-AVERAGE(OFFSET($H$3,0,0,'Données projet'!$E$10+1,1))</f>
        <v>395.40396173178527</v>
      </c>
      <c r="AO142" s="59">
        <f t="shared" si="144"/>
        <v>304.68075128568756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0.34628041170672702</v>
      </c>
      <c r="AV142" s="21">
        <f>EXP(-LN(2)/25)*AV141+(1-EXP(-LN(2)/25))/(LN(2)/25)*Calculateur!AQ142*Calculateur!AS142*VLOOKUP('Données projet'!$B$10,Paramètres!$A$1:$I$89,3,0)*0.475*44/12</f>
        <v>0.91042448830172817</v>
      </c>
      <c r="AW142" s="21">
        <f>EXP(-LN(2)/2)*AW141+(1-EXP(-LN(2)/2))/(LN(2)/2)*AQ142*AT142*VLOOKUP('Données projet'!$B$10,Paramètres!$A$1:$I$89,3,0)*0.475*44/12</f>
        <v>1.0207965647405618E-15</v>
      </c>
      <c r="AX142" s="21">
        <f t="shared" si="114"/>
        <v>1.2567049000084562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36.10000000000008</v>
      </c>
      <c r="BE142" s="13">
        <f>BD142*VLOOKUP('Données projet'!$B$11,Paramètres!$A$1:$I$89,3,0)*VLOOKUP('Données projet'!$B$11,Paramètres!$A$1:$I$89,5,0)</f>
        <v>31.536960000000075</v>
      </c>
      <c r="BF142" s="13">
        <f t="shared" si="145"/>
        <v>9.725440120377133</v>
      </c>
      <c r="BG142" s="20">
        <f t="shared" si="115"/>
        <v>71.865346876323642</v>
      </c>
      <c r="BH142" s="59">
        <f t="shared" si="116"/>
        <v>365.19868020965697</v>
      </c>
      <c r="BI142" s="59">
        <f ca="1">AVERAGE(OFFSET($BH$3,0,0,'Données projet'!$E$11+1,1))-AVERAGE(OFFSET($H$3,0,0,'Données projet'!$E$11+1,1))</f>
        <v>249.21292089724221</v>
      </c>
      <c r="BJ142" s="59">
        <f t="shared" si="146"/>
        <v>640.80644476065254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13.023033688544009</v>
      </c>
      <c r="BQ142" s="21">
        <f>EXP(-LN(2)/25)*BQ141+(1-EXP(-LN(2)/25))/(LN(2)/25)*Calculateur!BL142*Calculateur!BN142*VLOOKUP('Données projet'!$B$11,Paramètres!$A$1:$I$89,3,0)*0.475*44/12</f>
        <v>5.219341241903277</v>
      </c>
      <c r="BR142" s="21">
        <f>EXP(-LN(2)/2)*BR141+(1-EXP(-LN(2)/2))/(LN(2)/2)*BL142*BO142*VLOOKUP('Données projet'!$B$11,Paramètres!$A$1:$I$89,3,0)*0.475*44/12</f>
        <v>3.2398678043910754E-15</v>
      </c>
      <c r="BS142" s="22">
        <f t="shared" si="117"/>
        <v>18.242374930447291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234.00000000000045</v>
      </c>
      <c r="BZ142" s="13">
        <f>BY142*VLOOKUP('Données projet'!$B$12,Paramètres!$A$1:$I$89,3,0)*VLOOKUP('Données projet'!$B$12,Paramètres!$A$1:$I$89,5,0)</f>
        <v>189.82080000000036</v>
      </c>
      <c r="CA142" s="13">
        <f t="shared" si="147"/>
        <v>47.500332100049881</v>
      </c>
      <c r="CB142" s="20">
        <f t="shared" si="118"/>
        <v>413.33430507425419</v>
      </c>
      <c r="CC142" s="59">
        <f t="shared" si="119"/>
        <v>706.66763840758745</v>
      </c>
      <c r="CD142" s="59">
        <f ca="1">AVERAGE(OFFSET($CC$3,0,0,'Données projet'!$E$12+1,1))-AVERAGE(OFFSET($H$3,0,0,'Données projet'!$E$12+1,1))</f>
        <v>192.4785660463869</v>
      </c>
      <c r="CE142" s="59">
        <f t="shared" si="148"/>
        <v>165.11095806515362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9.3512439683120882E-2</v>
      </c>
      <c r="CL142" s="21">
        <f>EXP(-LN(2)/25)*CL141+(1-EXP(-LN(2)/25))/(LN(2)/25)*Calculateur!CG142*Calculateur!CI142*VLOOKUP('Données projet'!$B$12,Paramètres!$A$1:$I$89,3,0)*0.475*44/12</f>
        <v>0.22991156070206686</v>
      </c>
      <c r="CM142" s="21">
        <f>EXP(-LN(2)/2)*CM141+(1-EXP(-LN(2)/2))/(LN(2)/2)*CG142*CJ142*VLOOKUP('Données projet'!$B$12,Paramètres!$A$1:$I$89,3,0)*0.475*44/12</f>
        <v>2.8742977631842329E-16</v>
      </c>
      <c r="CN142" s="22">
        <f t="shared" si="120"/>
        <v>0.32342400038518804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275.00000000000057</v>
      </c>
      <c r="CU142" s="17">
        <f>CT142*VLOOKUP('Données projet'!$B$13,Paramètres!$A$1:$I$89,3,0)*VLOOKUP('Données projet'!$B$13,Paramètres!$A$1:$I$89,5,0)</f>
        <v>231.66000000000051</v>
      </c>
      <c r="CV142" s="13">
        <f t="shared" si="149"/>
        <v>56.641461975682923</v>
      </c>
      <c r="CW142" s="20">
        <f t="shared" si="121"/>
        <v>502.12504627431525</v>
      </c>
      <c r="CX142" s="59">
        <f t="shared" si="122"/>
        <v>795.45837960764857</v>
      </c>
      <c r="CY142" s="59">
        <f ca="1">AVERAGE(OFFSET($CX$3,0,0,'Données projet'!$E$13+1,1))-AVERAGE(OFFSET($H$3,0,0,'Données projet'!$E$13+1,1))</f>
        <v>247.67539667223065</v>
      </c>
      <c r="CZ142" s="59">
        <f t="shared" si="150"/>
        <v>174.54442616983778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0.14797572872933418</v>
      </c>
      <c r="DG142" s="21">
        <f>EXP(-LN(2)/25)*DG141+(1-EXP(-LN(2)/25))/(LN(2)/25)*Calculateur!DB142*Calculateur!DD142*VLOOKUP('Données projet'!$B$13,Paramètres!$A$1:$I$89,3,0)*0.475*44/12</f>
        <v>0.32018080796056975</v>
      </c>
      <c r="DH142" s="21">
        <f>EXP(-LN(2)/2)*DH141+(1-EXP(-LN(2)/2))/(LN(2)/2)*DB142*DE142*VLOOKUP('Données projet'!$B$13,Paramètres!$A$1:$I$89,3,0)*0.475*44/12</f>
        <v>4.5194386436198143E-16</v>
      </c>
      <c r="DI142" s="22">
        <f t="shared" si="123"/>
        <v>0.46815653668990437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5.1063034188034209</v>
      </c>
      <c r="DO142" s="12">
        <f>IF('Données projet'!$A$166&gt;35,DO141+DN142-DW141,IF(A142&lt;'Données projet'!$A$166,$DL$205^A142,IF(A142='Données projet'!$A$166,'Données projet'!$B$166,DO141+DN142-DW141)))</f>
        <v>252.12286324786288</v>
      </c>
      <c r="DP142" s="17">
        <f>DO142*VLOOKUP('Données projet'!$B$14,Paramètres!$A$1:$I$89,3,0)*VLOOKUP('Données projet'!$B$14,Paramètres!$A$1:$I$89,5,0)</f>
        <v>251.71946666666631</v>
      </c>
      <c r="DQ142" s="13">
        <f t="shared" si="151"/>
        <v>60.953991749166633</v>
      </c>
      <c r="DR142" s="20">
        <f t="shared" si="124"/>
        <v>544.57294007424241</v>
      </c>
      <c r="DS142" s="59">
        <f t="shared" si="125"/>
        <v>837.90627340757578</v>
      </c>
      <c r="DT142" s="59">
        <f ca="1">AVERAGE(OFFSET($DS$3,0,0,'Données projet'!$E$14+1,1))-AVERAGE(OFFSET($H$3,0,0,'Données projet'!$E$14+1,1))</f>
        <v>245.06609107649069</v>
      </c>
      <c r="DU142" s="59">
        <f t="shared" si="152"/>
        <v>156.24531945456499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-2.5579538487363607E-13</v>
      </c>
      <c r="EK142" s="17">
        <f>EJ142*VLOOKUP('Données projet'!$B$15,Paramètres!$A$1:$I$89,3,0)*VLOOKUP('Données projet'!$B$15,Paramètres!$A$1:$I$89,5,0)</f>
        <v>-2.7932856028201057E-13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173.63857221119594</v>
      </c>
      <c r="EP142" s="59">
        <f t="shared" si="154"/>
        <v>52.373745617370105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199.58634493109349</v>
      </c>
      <c r="T143" s="59">
        <f t="shared" si="142"/>
        <v>288.66487031729008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0.56575625002322805</v>
      </c>
      <c r="AA143" s="21">
        <f>EXP(-LN(2)/25)*AA142+(1-EXP(-LN(2)/25))/(LN(2)/25)*Calculateur!V143*Calculateur!X143*VLOOKUP('Données projet'!$B$9,Paramètres!$A$1:$I$89,3,0)*0.475*44/12</f>
        <v>0.81137364353385977</v>
      </c>
      <c r="AB143" s="21">
        <f>EXP(-LN(2)/2)*AB142+(1-EXP(-LN(2)/2))/(LN(2)/2)*V143*Y143*VLOOKUP('Données projet'!$B$9,Paramètres!$A$1:$I$89,3,0)*0.475*44/12</f>
        <v>8.1876223950952801E-17</v>
      </c>
      <c r="AC143" s="22">
        <f t="shared" si="111"/>
        <v>1.3771298935570879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606.99999999999989</v>
      </c>
      <c r="AJ143" s="13">
        <f>AI143*VLOOKUP('Données projet'!$B$10,Paramètres!$A$1:$I$89,3,0)*VLOOKUP('Données projet'!$B$10,Paramètres!$A$1:$I$89,5,0)</f>
        <v>362.98599999999999</v>
      </c>
      <c r="AK143" s="13">
        <f t="shared" si="143"/>
        <v>84.230767602863935</v>
      </c>
      <c r="AL143" s="20">
        <f t="shared" si="112"/>
        <v>778.90253690832139</v>
      </c>
      <c r="AM143" s="59">
        <f t="shared" si="113"/>
        <v>1072.2358702416548</v>
      </c>
      <c r="AN143" s="59">
        <f ca="1">AVERAGE(OFFSET($AM$3,0,0,'Données projet'!$E$10+1,1))-AVERAGE(OFFSET($H$3,0,0,'Données projet'!$E$10+1,1))</f>
        <v>395.40396173178527</v>
      </c>
      <c r="AO143" s="59">
        <f t="shared" si="144"/>
        <v>304.68075128568756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0.33949006404335397</v>
      </c>
      <c r="AV143" s="21">
        <f>EXP(-LN(2)/25)*AV142+(1-EXP(-LN(2)/25))/(LN(2)/25)*Calculateur!AQ143*Calculateur!AS143*VLOOKUP('Données projet'!$B$10,Paramètres!$A$1:$I$89,3,0)*0.475*44/12</f>
        <v>0.88552888279197439</v>
      </c>
      <c r="AW143" s="21">
        <f>EXP(-LN(2)/2)*AW142+(1-EXP(-LN(2)/2))/(LN(2)/2)*AQ143*AT143*VLOOKUP('Données projet'!$B$10,Paramètres!$A$1:$I$89,3,0)*0.475*44/12</f>
        <v>7.2181217313998381E-16</v>
      </c>
      <c r="AX143" s="21">
        <f t="shared" si="114"/>
        <v>1.225018946835329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36.10000000000008</v>
      </c>
      <c r="BE143" s="13">
        <f>BD143*VLOOKUP('Données projet'!$B$11,Paramètres!$A$1:$I$89,3,0)*VLOOKUP('Données projet'!$B$11,Paramètres!$A$1:$I$89,5,0)</f>
        <v>31.536960000000075</v>
      </c>
      <c r="BF143" s="13">
        <f t="shared" si="145"/>
        <v>9.725440120377133</v>
      </c>
      <c r="BG143" s="20">
        <f t="shared" si="115"/>
        <v>71.865346876323642</v>
      </c>
      <c r="BH143" s="59">
        <f t="shared" si="116"/>
        <v>365.19868020965697</v>
      </c>
      <c r="BI143" s="59">
        <f ca="1">AVERAGE(OFFSET($BH$3,0,0,'Données projet'!$E$11+1,1))-AVERAGE(OFFSET($H$3,0,0,'Données projet'!$E$11+1,1))</f>
        <v>249.21292089724221</v>
      </c>
      <c r="BJ143" s="59">
        <f t="shared" si="146"/>
        <v>640.80644476065254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12.767659941177879</v>
      </c>
      <c r="BQ143" s="21">
        <f>EXP(-LN(2)/25)*BQ142+(1-EXP(-LN(2)/25))/(LN(2)/25)*Calculateur!BL143*Calculateur!BN143*VLOOKUP('Données projet'!$B$11,Paramètres!$A$1:$I$89,3,0)*0.475*44/12</f>
        <v>5.0766180811702046</v>
      </c>
      <c r="BR143" s="21">
        <f>EXP(-LN(2)/2)*BR142+(1-EXP(-LN(2)/2))/(LN(2)/2)*BL143*BO143*VLOOKUP('Données projet'!$B$11,Paramètres!$A$1:$I$89,3,0)*0.475*44/12</f>
        <v>2.2909324946329003E-15</v>
      </c>
      <c r="BS143" s="22">
        <f t="shared" si="117"/>
        <v>17.844278022348089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234.00000000000045</v>
      </c>
      <c r="BZ143" s="13">
        <f>BY143*VLOOKUP('Données projet'!$B$12,Paramètres!$A$1:$I$89,3,0)*VLOOKUP('Données projet'!$B$12,Paramètres!$A$1:$I$89,5,0)</f>
        <v>189.82080000000036</v>
      </c>
      <c r="CA143" s="13">
        <f t="shared" si="147"/>
        <v>47.500332100049881</v>
      </c>
      <c r="CB143" s="20">
        <f t="shared" si="118"/>
        <v>413.33430507425419</v>
      </c>
      <c r="CC143" s="59">
        <f t="shared" si="119"/>
        <v>706.66763840758745</v>
      </c>
      <c r="CD143" s="59">
        <f ca="1">AVERAGE(OFFSET($CC$3,0,0,'Données projet'!$E$12+1,1))-AVERAGE(OFFSET($H$3,0,0,'Données projet'!$E$12+1,1))</f>
        <v>192.4785660463869</v>
      </c>
      <c r="CE143" s="59">
        <f t="shared" si="148"/>
        <v>165.11095806515362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9.1678717777891161E-2</v>
      </c>
      <c r="CL143" s="21">
        <f>EXP(-LN(2)/25)*CL142+(1-EXP(-LN(2)/25))/(LN(2)/25)*Calculateur!CG143*Calculateur!CI143*VLOOKUP('Données projet'!$B$12,Paramètres!$A$1:$I$89,3,0)*0.475*44/12</f>
        <v>0.22362461698414535</v>
      </c>
      <c r="CM143" s="21">
        <f>EXP(-LN(2)/2)*CM142+(1-EXP(-LN(2)/2))/(LN(2)/2)*CG143*CJ143*VLOOKUP('Données projet'!$B$12,Paramètres!$A$1:$I$89,3,0)*0.475*44/12</f>
        <v>2.0324354394968964E-16</v>
      </c>
      <c r="CN143" s="22">
        <f t="shared" si="120"/>
        <v>0.31530333476203676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275.00000000000057</v>
      </c>
      <c r="CU143" s="17">
        <f>CT143*VLOOKUP('Données projet'!$B$13,Paramètres!$A$1:$I$89,3,0)*VLOOKUP('Données projet'!$B$13,Paramètres!$A$1:$I$89,5,0)</f>
        <v>231.66000000000051</v>
      </c>
      <c r="CV143" s="13">
        <f t="shared" si="149"/>
        <v>56.641461975682923</v>
      </c>
      <c r="CW143" s="20">
        <f t="shared" si="121"/>
        <v>502.12504627431525</v>
      </c>
      <c r="CX143" s="59">
        <f t="shared" si="122"/>
        <v>795.45837960764857</v>
      </c>
      <c r="CY143" s="59">
        <f ca="1">AVERAGE(OFFSET($CX$3,0,0,'Données projet'!$E$13+1,1))-AVERAGE(OFFSET($H$3,0,0,'Données projet'!$E$13+1,1))</f>
        <v>247.67539667223065</v>
      </c>
      <c r="CZ143" s="59">
        <f t="shared" si="150"/>
        <v>174.54442616983778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0.14507401494523439</v>
      </c>
      <c r="DG143" s="21">
        <f>EXP(-LN(2)/25)*DG142+(1-EXP(-LN(2)/25))/(LN(2)/25)*Calculateur!DB143*Calculateur!DD143*VLOOKUP('Données projet'!$B$13,Paramètres!$A$1:$I$89,3,0)*0.475*44/12</f>
        <v>0.31142544692931107</v>
      </c>
      <c r="DH143" s="21">
        <f>EXP(-LN(2)/2)*DH142+(1-EXP(-LN(2)/2))/(LN(2)/2)*DB143*DE143*VLOOKUP('Données projet'!$B$13,Paramètres!$A$1:$I$89,3,0)*0.475*44/12</f>
        <v>3.1957257120601032E-16</v>
      </c>
      <c r="DI143" s="22">
        <f t="shared" si="123"/>
        <v>0.45649946187454582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5.1063034188034209</v>
      </c>
      <c r="DO143" s="12">
        <f>IF('Données projet'!$A$166&gt;35,DO142+DN143-DW142,IF(A143&lt;'Données projet'!$A$166,$DL$205^A143,IF(A143='Données projet'!$A$166,'Données projet'!$B$166,DO142+DN143-DW142)))</f>
        <v>257.22916666666629</v>
      </c>
      <c r="DP143" s="17">
        <f>DO143*VLOOKUP('Données projet'!$B$14,Paramètres!$A$1:$I$89,3,0)*VLOOKUP('Données projet'!$B$14,Paramètres!$A$1:$I$89,5,0)</f>
        <v>256.81759999999963</v>
      </c>
      <c r="DQ143" s="13">
        <f t="shared" si="151"/>
        <v>62.043533423074294</v>
      </c>
      <c r="DR143" s="20">
        <f t="shared" si="124"/>
        <v>555.34980737852027</v>
      </c>
      <c r="DS143" s="59">
        <f t="shared" si="125"/>
        <v>848.68314071185364</v>
      </c>
      <c r="DT143" s="59">
        <f ca="1">AVERAGE(OFFSET($DS$3,0,0,'Données projet'!$E$14+1,1))-AVERAGE(OFFSET($H$3,0,0,'Données projet'!$E$14+1,1))</f>
        <v>245.06609107649069</v>
      </c>
      <c r="DU143" s="59">
        <f t="shared" si="152"/>
        <v>156.24531945456499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-2.5579538487363607E-13</v>
      </c>
      <c r="EK143" s="17">
        <f>EJ143*VLOOKUP('Données projet'!$B$15,Paramètres!$A$1:$I$89,3,0)*VLOOKUP('Données projet'!$B$15,Paramètres!$A$1:$I$89,5,0)</f>
        <v>-2.7932856028201057E-13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173.63857221119594</v>
      </c>
      <c r="EP143" s="59">
        <f t="shared" si="154"/>
        <v>52.373745617370105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199.58634493109349</v>
      </c>
      <c r="T144" s="59">
        <f t="shared" si="142"/>
        <v>288.66487031729008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0.55466211503751151</v>
      </c>
      <c r="AA144" s="21">
        <f>EXP(-LN(2)/25)*AA143+(1-EXP(-LN(2)/25))/(LN(2)/25)*Calculateur!V144*Calculateur!X144*VLOOKUP('Données projet'!$B$9,Paramètres!$A$1:$I$89,3,0)*0.475*44/12</f>
        <v>0.78918658858314084</v>
      </c>
      <c r="AB144" s="21">
        <f>EXP(-LN(2)/2)*AB143+(1-EXP(-LN(2)/2))/(LN(2)/2)*V144*Y144*VLOOKUP('Données projet'!$B$9,Paramètres!$A$1:$I$89,3,0)*0.475*44/12</f>
        <v>5.7895233173667144E-17</v>
      </c>
      <c r="AC144" s="22">
        <f t="shared" si="111"/>
        <v>1.3438487036206523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606.99999999999989</v>
      </c>
      <c r="AJ144" s="13">
        <f>AI144*VLOOKUP('Données projet'!$B$10,Paramètres!$A$1:$I$89,3,0)*VLOOKUP('Données projet'!$B$10,Paramètres!$A$1:$I$89,5,0)</f>
        <v>362.98599999999999</v>
      </c>
      <c r="AK144" s="13">
        <f t="shared" si="143"/>
        <v>84.230767602863935</v>
      </c>
      <c r="AL144" s="20">
        <f t="shared" si="112"/>
        <v>778.90253690832139</v>
      </c>
      <c r="AM144" s="59">
        <f t="shared" si="113"/>
        <v>1072.2358702416548</v>
      </c>
      <c r="AN144" s="59">
        <f ca="1">AVERAGE(OFFSET($AM$3,0,0,'Données projet'!$E$10+1,1))-AVERAGE(OFFSET($H$3,0,0,'Données projet'!$E$10+1,1))</f>
        <v>395.40396173178527</v>
      </c>
      <c r="AO144" s="59">
        <f t="shared" si="144"/>
        <v>304.68075128568756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0.33283287095595654</v>
      </c>
      <c r="AV144" s="21">
        <f>EXP(-LN(2)/25)*AV143+(1-EXP(-LN(2)/25))/(LN(2)/25)*Calculateur!AQ144*Calculateur!AS144*VLOOKUP('Données projet'!$B$10,Paramètres!$A$1:$I$89,3,0)*0.475*44/12</f>
        <v>0.86131404892408781</v>
      </c>
      <c r="AW144" s="21">
        <f>EXP(-LN(2)/2)*AW143+(1-EXP(-LN(2)/2))/(LN(2)/2)*AQ144*AT144*VLOOKUP('Données projet'!$B$10,Paramètres!$A$1:$I$89,3,0)*0.475*44/12</f>
        <v>5.1039828237028088E-16</v>
      </c>
      <c r="AX144" s="21">
        <f t="shared" si="114"/>
        <v>1.1941469198800447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36.10000000000008</v>
      </c>
      <c r="BE144" s="13">
        <f>BD144*VLOOKUP('Données projet'!$B$11,Paramètres!$A$1:$I$89,3,0)*VLOOKUP('Données projet'!$B$11,Paramètres!$A$1:$I$89,5,0)</f>
        <v>31.536960000000075</v>
      </c>
      <c r="BF144" s="13">
        <f t="shared" si="145"/>
        <v>9.725440120377133</v>
      </c>
      <c r="BG144" s="20">
        <f t="shared" si="115"/>
        <v>71.865346876323642</v>
      </c>
      <c r="BH144" s="59">
        <f t="shared" si="116"/>
        <v>365.19868020965697</v>
      </c>
      <c r="BI144" s="59">
        <f ca="1">AVERAGE(OFFSET($BH$3,0,0,'Données projet'!$E$11+1,1))-AVERAGE(OFFSET($H$3,0,0,'Données projet'!$E$11+1,1))</f>
        <v>249.21292089724221</v>
      </c>
      <c r="BJ144" s="59">
        <f t="shared" si="146"/>
        <v>640.80644476065254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12.517293917234992</v>
      </c>
      <c r="BQ144" s="21">
        <f>EXP(-LN(2)/25)*BQ143+(1-EXP(-LN(2)/25))/(LN(2)/25)*Calculateur!BL144*Calculateur!BN144*VLOOKUP('Données projet'!$B$11,Paramètres!$A$1:$I$89,3,0)*0.475*44/12</f>
        <v>4.9377976927728628</v>
      </c>
      <c r="BR144" s="21">
        <f>EXP(-LN(2)/2)*BR143+(1-EXP(-LN(2)/2))/(LN(2)/2)*BL144*BO144*VLOOKUP('Données projet'!$B$11,Paramètres!$A$1:$I$89,3,0)*0.475*44/12</f>
        <v>1.6199339021955377E-15</v>
      </c>
      <c r="BS144" s="22">
        <f t="shared" si="117"/>
        <v>17.455091610007855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234.00000000000045</v>
      </c>
      <c r="BZ144" s="13">
        <f>BY144*VLOOKUP('Données projet'!$B$12,Paramètres!$A$1:$I$89,3,0)*VLOOKUP('Données projet'!$B$12,Paramètres!$A$1:$I$89,5,0)</f>
        <v>189.82080000000036</v>
      </c>
      <c r="CA144" s="13">
        <f t="shared" si="147"/>
        <v>47.500332100049881</v>
      </c>
      <c r="CB144" s="20">
        <f t="shared" si="118"/>
        <v>413.33430507425419</v>
      </c>
      <c r="CC144" s="59">
        <f t="shared" si="119"/>
        <v>706.66763840758745</v>
      </c>
      <c r="CD144" s="59">
        <f ca="1">AVERAGE(OFFSET($CC$3,0,0,'Données projet'!$E$12+1,1))-AVERAGE(OFFSET($H$3,0,0,'Données projet'!$E$12+1,1))</f>
        <v>192.4785660463869</v>
      </c>
      <c r="CE144" s="59">
        <f t="shared" si="148"/>
        <v>165.11095806515362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8.9880954040763072E-2</v>
      </c>
      <c r="CL144" s="21">
        <f>EXP(-LN(2)/25)*CL143+(1-EXP(-LN(2)/25))/(LN(2)/25)*Calculateur!CG144*Calculateur!CI144*VLOOKUP('Données projet'!$B$12,Paramètres!$A$1:$I$89,3,0)*0.475*44/12</f>
        <v>0.21750959007280637</v>
      </c>
      <c r="CM144" s="21">
        <f>EXP(-LN(2)/2)*CM143+(1-EXP(-LN(2)/2))/(LN(2)/2)*CG144*CJ144*VLOOKUP('Données projet'!$B$12,Paramètres!$A$1:$I$89,3,0)*0.475*44/12</f>
        <v>1.4371488815921164E-16</v>
      </c>
      <c r="CN144" s="22">
        <f t="shared" si="120"/>
        <v>0.30739054411356964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275.00000000000057</v>
      </c>
      <c r="CU144" s="17">
        <f>CT144*VLOOKUP('Données projet'!$B$13,Paramètres!$A$1:$I$89,3,0)*VLOOKUP('Données projet'!$B$13,Paramètres!$A$1:$I$89,5,0)</f>
        <v>231.66000000000051</v>
      </c>
      <c r="CV144" s="13">
        <f t="shared" si="149"/>
        <v>56.641461975682923</v>
      </c>
      <c r="CW144" s="20">
        <f t="shared" si="121"/>
        <v>502.12504627431525</v>
      </c>
      <c r="CX144" s="59">
        <f t="shared" si="122"/>
        <v>795.45837960764857</v>
      </c>
      <c r="CY144" s="59">
        <f ca="1">AVERAGE(OFFSET($CX$3,0,0,'Données projet'!$E$13+1,1))-AVERAGE(OFFSET($H$3,0,0,'Données projet'!$E$13+1,1))</f>
        <v>247.67539667223065</v>
      </c>
      <c r="CZ144" s="59">
        <f t="shared" si="150"/>
        <v>174.54442616983778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0.14222920199857014</v>
      </c>
      <c r="DG144" s="21">
        <f>EXP(-LN(2)/25)*DG143+(1-EXP(-LN(2)/25))/(LN(2)/25)*Calculateur!DB144*Calculateur!DD144*VLOOKUP('Données projet'!$B$13,Paramètres!$A$1:$I$89,3,0)*0.475*44/12</f>
        <v>0.30290950170587655</v>
      </c>
      <c r="DH144" s="21">
        <f>EXP(-LN(2)/2)*DH143+(1-EXP(-LN(2)/2))/(LN(2)/2)*DB144*DE144*VLOOKUP('Données projet'!$B$13,Paramètres!$A$1:$I$89,3,0)*0.475*44/12</f>
        <v>2.2597193218099071E-16</v>
      </c>
      <c r="DI144" s="22">
        <f t="shared" si="123"/>
        <v>0.44513870370444691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5.1063034188034209</v>
      </c>
      <c r="DO144" s="12">
        <f>IF('Données projet'!$A$166&gt;35,DO143+DN144-DW143,IF(A144&lt;'Données projet'!$A$166,$DL$205^A144,IF(A144='Données projet'!$A$166,'Données projet'!$B$166,DO143+DN144-DW143)))</f>
        <v>262.33547008546969</v>
      </c>
      <c r="DP144" s="17">
        <f>DO144*VLOOKUP('Données projet'!$B$14,Paramètres!$A$1:$I$89,3,0)*VLOOKUP('Données projet'!$B$14,Paramètres!$A$1:$I$89,5,0)</f>
        <v>261.91573333333292</v>
      </c>
      <c r="DQ144" s="13">
        <f t="shared" si="151"/>
        <v>63.130560249073696</v>
      </c>
      <c r="DR144" s="20">
        <f t="shared" si="124"/>
        <v>566.12229465602491</v>
      </c>
      <c r="DS144" s="59">
        <f t="shared" si="125"/>
        <v>859.45562798935816</v>
      </c>
      <c r="DT144" s="59">
        <f ca="1">AVERAGE(OFFSET($DS$3,0,0,'Données projet'!$E$14+1,1))-AVERAGE(OFFSET($H$3,0,0,'Données projet'!$E$14+1,1))</f>
        <v>245.06609107649069</v>
      </c>
      <c r="DU144" s="59">
        <f t="shared" si="152"/>
        <v>156.24531945456499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-2.5579538487363607E-13</v>
      </c>
      <c r="EK144" s="17">
        <f>EJ144*VLOOKUP('Données projet'!$B$15,Paramètres!$A$1:$I$89,3,0)*VLOOKUP('Données projet'!$B$15,Paramètres!$A$1:$I$89,5,0)</f>
        <v>-2.7932856028201057E-13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173.63857221119594</v>
      </c>
      <c r="EP144" s="59">
        <f t="shared" si="154"/>
        <v>52.373745617370105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199.58634493109349</v>
      </c>
      <c r="T145" s="59">
        <f t="shared" si="142"/>
        <v>288.66487031729008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0.54378552927211066</v>
      </c>
      <c r="AA145" s="21">
        <f>EXP(-LN(2)/25)*AA144+(1-EXP(-LN(2)/25))/(LN(2)/25)*Calculateur!V145*Calculateur!X145*VLOOKUP('Données projet'!$B$9,Paramètres!$A$1:$I$89,3,0)*0.475*44/12</f>
        <v>0.76760623981681586</v>
      </c>
      <c r="AB145" s="21">
        <f>EXP(-LN(2)/2)*AB144+(1-EXP(-LN(2)/2))/(LN(2)/2)*V145*Y145*VLOOKUP('Données projet'!$B$9,Paramètres!$A$1:$I$89,3,0)*0.475*44/12</f>
        <v>4.09381119754764E-17</v>
      </c>
      <c r="AC145" s="22">
        <f t="shared" si="111"/>
        <v>1.3113917690889265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606.99999999999989</v>
      </c>
      <c r="AJ145" s="13">
        <f>AI145*VLOOKUP('Données projet'!$B$10,Paramètres!$A$1:$I$89,3,0)*VLOOKUP('Données projet'!$B$10,Paramètres!$A$1:$I$89,5,0)</f>
        <v>362.98599999999999</v>
      </c>
      <c r="AK145" s="13">
        <f t="shared" si="143"/>
        <v>84.230767602863935</v>
      </c>
      <c r="AL145" s="20">
        <f t="shared" si="112"/>
        <v>778.90253690832139</v>
      </c>
      <c r="AM145" s="59">
        <f t="shared" si="113"/>
        <v>1072.2358702416548</v>
      </c>
      <c r="AN145" s="59">
        <f ca="1">AVERAGE(OFFSET($AM$3,0,0,'Données projet'!$E$10+1,1))-AVERAGE(OFFSET($H$3,0,0,'Données projet'!$E$10+1,1))</f>
        <v>395.40396173178527</v>
      </c>
      <c r="AO145" s="59">
        <f t="shared" si="144"/>
        <v>304.68075128568756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0.32630622136451615</v>
      </c>
      <c r="AV145" s="21">
        <f>EXP(-LN(2)/25)*AV144+(1-EXP(-LN(2)/25))/(LN(2)/25)*Calculateur!AQ145*Calculateur!AS145*VLOOKUP('Données projet'!$B$10,Paramètres!$A$1:$I$89,3,0)*0.475*44/12</f>
        <v>0.83776137096172132</v>
      </c>
      <c r="AW145" s="21">
        <f>EXP(-LN(2)/2)*AW144+(1-EXP(-LN(2)/2))/(LN(2)/2)*AQ145*AT145*VLOOKUP('Données projet'!$B$10,Paramètres!$A$1:$I$89,3,0)*0.475*44/12</f>
        <v>3.6090608656999191E-16</v>
      </c>
      <c r="AX145" s="21">
        <f t="shared" si="114"/>
        <v>1.164067592326238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36.10000000000008</v>
      </c>
      <c r="BE145" s="13">
        <f>BD145*VLOOKUP('Données projet'!$B$11,Paramètres!$A$1:$I$89,3,0)*VLOOKUP('Données projet'!$B$11,Paramètres!$A$1:$I$89,5,0)</f>
        <v>31.536960000000075</v>
      </c>
      <c r="BF145" s="13">
        <f t="shared" si="145"/>
        <v>9.725440120377133</v>
      </c>
      <c r="BG145" s="20">
        <f t="shared" si="115"/>
        <v>71.865346876323642</v>
      </c>
      <c r="BH145" s="59">
        <f t="shared" si="116"/>
        <v>365.19868020965697</v>
      </c>
      <c r="BI145" s="59">
        <f ca="1">AVERAGE(OFFSET($BH$3,0,0,'Données projet'!$E$11+1,1))-AVERAGE(OFFSET($H$3,0,0,'Données projet'!$E$11+1,1))</f>
        <v>249.21292089724221</v>
      </c>
      <c r="BJ145" s="59">
        <f t="shared" si="146"/>
        <v>640.80644476065254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12.27183741831343</v>
      </c>
      <c r="BQ145" s="21">
        <f>EXP(-LN(2)/25)*BQ144+(1-EXP(-LN(2)/25))/(LN(2)/25)*Calculateur!BL145*Calculateur!BN145*VLOOKUP('Données projet'!$B$11,Paramètres!$A$1:$I$89,3,0)*0.475*44/12</f>
        <v>4.8027733551964937</v>
      </c>
      <c r="BR145" s="21">
        <f>EXP(-LN(2)/2)*BR144+(1-EXP(-LN(2)/2))/(LN(2)/2)*BL145*BO145*VLOOKUP('Données projet'!$B$11,Paramètres!$A$1:$I$89,3,0)*0.475*44/12</f>
        <v>1.1454662473164502E-15</v>
      </c>
      <c r="BS145" s="22">
        <f t="shared" si="117"/>
        <v>17.074610773509924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234.00000000000045</v>
      </c>
      <c r="BZ145" s="13">
        <f>BY145*VLOOKUP('Données projet'!$B$12,Paramètres!$A$1:$I$89,3,0)*VLOOKUP('Données projet'!$B$12,Paramètres!$A$1:$I$89,5,0)</f>
        <v>189.82080000000036</v>
      </c>
      <c r="CA145" s="13">
        <f t="shared" si="147"/>
        <v>47.500332100049881</v>
      </c>
      <c r="CB145" s="20">
        <f t="shared" si="118"/>
        <v>413.33430507425419</v>
      </c>
      <c r="CC145" s="59">
        <f t="shared" si="119"/>
        <v>706.66763840758745</v>
      </c>
      <c r="CD145" s="59">
        <f ca="1">AVERAGE(OFFSET($CC$3,0,0,'Données projet'!$E$12+1,1))-AVERAGE(OFFSET($H$3,0,0,'Données projet'!$E$12+1,1))</f>
        <v>192.4785660463869</v>
      </c>
      <c r="CE145" s="59">
        <f t="shared" si="148"/>
        <v>165.11095806515362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8.8118443353992451E-2</v>
      </c>
      <c r="CL145" s="21">
        <f>EXP(-LN(2)/25)*CL144+(1-EXP(-LN(2)/25))/(LN(2)/25)*Calculateur!CG145*Calculateur!CI145*VLOOKUP('Données projet'!$B$12,Paramètres!$A$1:$I$89,3,0)*0.475*44/12</f>
        <v>0.21156177889393327</v>
      </c>
      <c r="CM145" s="21">
        <f>EXP(-LN(2)/2)*CM144+(1-EXP(-LN(2)/2))/(LN(2)/2)*CG145*CJ145*VLOOKUP('Données projet'!$B$12,Paramètres!$A$1:$I$89,3,0)*0.475*44/12</f>
        <v>1.0162177197484482E-16</v>
      </c>
      <c r="CN145" s="22">
        <f t="shared" si="120"/>
        <v>0.29968022224792584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275.00000000000057</v>
      </c>
      <c r="CU145" s="17">
        <f>CT145*VLOOKUP('Données projet'!$B$13,Paramètres!$A$1:$I$89,3,0)*VLOOKUP('Données projet'!$B$13,Paramètres!$A$1:$I$89,5,0)</f>
        <v>231.66000000000051</v>
      </c>
      <c r="CV145" s="13">
        <f t="shared" si="149"/>
        <v>56.641461975682923</v>
      </c>
      <c r="CW145" s="20">
        <f t="shared" si="121"/>
        <v>502.12504627431525</v>
      </c>
      <c r="CX145" s="59">
        <f t="shared" si="122"/>
        <v>795.45837960764857</v>
      </c>
      <c r="CY145" s="59">
        <f ca="1">AVERAGE(OFFSET($CX$3,0,0,'Données projet'!$E$13+1,1))-AVERAGE(OFFSET($H$3,0,0,'Données projet'!$E$13+1,1))</f>
        <v>247.67539667223065</v>
      </c>
      <c r="CZ145" s="59">
        <f t="shared" si="150"/>
        <v>174.54442616983778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0.13944017409862541</v>
      </c>
      <c r="DG145" s="21">
        <f>EXP(-LN(2)/25)*DG144+(1-EXP(-LN(2)/25))/(LN(2)/25)*Calculateur!DB145*Calculateur!DD145*VLOOKUP('Données projet'!$B$13,Paramètres!$A$1:$I$89,3,0)*0.475*44/12</f>
        <v>0.29462642545241097</v>
      </c>
      <c r="DH145" s="21">
        <f>EXP(-LN(2)/2)*DH144+(1-EXP(-LN(2)/2))/(LN(2)/2)*DB145*DE145*VLOOKUP('Données projet'!$B$13,Paramètres!$A$1:$I$89,3,0)*0.475*44/12</f>
        <v>1.5978628560300516E-16</v>
      </c>
      <c r="DI145" s="22">
        <f t="shared" si="123"/>
        <v>0.43406659955103655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5.1063034188034209</v>
      </c>
      <c r="DO145" s="12">
        <f>IF('Données projet'!$A$166&gt;35,DO144+DN145-DW144,IF(A145&lt;'Données projet'!$A$166,$DL$205^A145,IF(A145='Données projet'!$A$166,'Données projet'!$B$166,DO144+DN145-DW144)))</f>
        <v>267.4417735042731</v>
      </c>
      <c r="DP145" s="17">
        <f>DO145*VLOOKUP('Données projet'!$B$14,Paramètres!$A$1:$I$89,3,0)*VLOOKUP('Données projet'!$B$14,Paramètres!$A$1:$I$89,5,0)</f>
        <v>267.01386666666627</v>
      </c>
      <c r="DQ145" s="13">
        <f t="shared" si="151"/>
        <v>64.215126821124571</v>
      </c>
      <c r="DR145" s="20">
        <f t="shared" si="124"/>
        <v>576.89049699123564</v>
      </c>
      <c r="DS145" s="59">
        <f t="shared" si="125"/>
        <v>870.22383032456901</v>
      </c>
      <c r="DT145" s="59">
        <f ca="1">AVERAGE(OFFSET($DS$3,0,0,'Données projet'!$E$14+1,1))-AVERAGE(OFFSET($H$3,0,0,'Données projet'!$E$14+1,1))</f>
        <v>245.06609107649069</v>
      </c>
      <c r="DU145" s="59">
        <f t="shared" si="152"/>
        <v>156.24531945456499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-2.5579538487363607E-13</v>
      </c>
      <c r="EK145" s="17">
        <f>EJ145*VLOOKUP('Données projet'!$B$15,Paramètres!$A$1:$I$89,3,0)*VLOOKUP('Données projet'!$B$15,Paramètres!$A$1:$I$89,5,0)</f>
        <v>-2.7932856028201057E-13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173.63857221119594</v>
      </c>
      <c r="EP145" s="59">
        <f t="shared" si="154"/>
        <v>52.373745617370105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199.58634493109349</v>
      </c>
      <c r="T146" s="59">
        <f t="shared" si="142"/>
        <v>288.66487031729008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0.53312222671950704</v>
      </c>
      <c r="AA146" s="21">
        <f>EXP(-LN(2)/25)*AA145+(1-EXP(-LN(2)/25))/(LN(2)/25)*Calculateur!V146*Calculateur!X146*VLOOKUP('Données projet'!$B$9,Paramètres!$A$1:$I$89,3,0)*0.475*44/12</f>
        <v>0.74661600682236728</v>
      </c>
      <c r="AB146" s="21">
        <f>EXP(-LN(2)/2)*AB145+(1-EXP(-LN(2)/2))/(LN(2)/2)*V146*Y146*VLOOKUP('Données projet'!$B$9,Paramètres!$A$1:$I$89,3,0)*0.475*44/12</f>
        <v>2.8947616586833572E-17</v>
      </c>
      <c r="AC146" s="22">
        <f t="shared" si="111"/>
        <v>1.2797382335418743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606.99999999999989</v>
      </c>
      <c r="AJ146" s="13">
        <f>AI146*VLOOKUP('Données projet'!$B$10,Paramètres!$A$1:$I$89,3,0)*VLOOKUP('Données projet'!$B$10,Paramètres!$A$1:$I$89,5,0)</f>
        <v>362.98599999999999</v>
      </c>
      <c r="AK146" s="13">
        <f t="shared" si="143"/>
        <v>84.230767602863935</v>
      </c>
      <c r="AL146" s="20">
        <f t="shared" si="112"/>
        <v>778.90253690832139</v>
      </c>
      <c r="AM146" s="59">
        <f t="shared" si="113"/>
        <v>1072.2358702416548</v>
      </c>
      <c r="AN146" s="59">
        <f ca="1">AVERAGE(OFFSET($AM$3,0,0,'Données projet'!$E$10+1,1))-AVERAGE(OFFSET($H$3,0,0,'Données projet'!$E$10+1,1))</f>
        <v>395.40396173178527</v>
      </c>
      <c r="AO146" s="59">
        <f t="shared" si="144"/>
        <v>304.68075128568756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0.3199075553907007</v>
      </c>
      <c r="AV146" s="21">
        <f>EXP(-LN(2)/25)*AV145+(1-EXP(-LN(2)/25))/(LN(2)/25)*Calculateur!AQ146*Calculateur!AS146*VLOOKUP('Données projet'!$B$10,Paramètres!$A$1:$I$89,3,0)*0.475*44/12</f>
        <v>0.81485274221681725</v>
      </c>
      <c r="AW146" s="21">
        <f>EXP(-LN(2)/2)*AW145+(1-EXP(-LN(2)/2))/(LN(2)/2)*AQ146*AT146*VLOOKUP('Données projet'!$B$10,Paramètres!$A$1:$I$89,3,0)*0.475*44/12</f>
        <v>2.5519914118514044E-16</v>
      </c>
      <c r="AX146" s="21">
        <f t="shared" si="114"/>
        <v>1.1347602976075182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36.10000000000008</v>
      </c>
      <c r="BE146" s="13">
        <f>BD146*VLOOKUP('Données projet'!$B$11,Paramètres!$A$1:$I$89,3,0)*VLOOKUP('Données projet'!$B$11,Paramètres!$A$1:$I$89,5,0)</f>
        <v>31.536960000000075</v>
      </c>
      <c r="BF146" s="13">
        <f t="shared" si="145"/>
        <v>9.725440120377133</v>
      </c>
      <c r="BG146" s="20">
        <f t="shared" si="115"/>
        <v>71.865346876323642</v>
      </c>
      <c r="BH146" s="59">
        <f t="shared" si="116"/>
        <v>365.19868020965697</v>
      </c>
      <c r="BI146" s="59">
        <f ca="1">AVERAGE(OFFSET($BH$3,0,0,'Données projet'!$E$11+1,1))-AVERAGE(OFFSET($H$3,0,0,'Données projet'!$E$11+1,1))</f>
        <v>249.21292089724221</v>
      </c>
      <c r="BJ146" s="59">
        <f t="shared" si="146"/>
        <v>640.80644476065254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12.031194171622039</v>
      </c>
      <c r="BQ146" s="21">
        <f>EXP(-LN(2)/25)*BQ145+(1-EXP(-LN(2)/25))/(LN(2)/25)*Calculateur!BL146*Calculateur!BN146*VLOOKUP('Données projet'!$B$11,Paramètres!$A$1:$I$89,3,0)*0.475*44/12</f>
        <v>4.6714412652317714</v>
      </c>
      <c r="BR146" s="21">
        <f>EXP(-LN(2)/2)*BR145+(1-EXP(-LN(2)/2))/(LN(2)/2)*BL146*BO146*VLOOKUP('Données projet'!$B$11,Paramètres!$A$1:$I$89,3,0)*0.475*44/12</f>
        <v>8.0996695109776886E-16</v>
      </c>
      <c r="BS146" s="22">
        <f t="shared" si="117"/>
        <v>16.702635436853811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234.00000000000045</v>
      </c>
      <c r="BZ146" s="13">
        <f>BY146*VLOOKUP('Données projet'!$B$12,Paramètres!$A$1:$I$89,3,0)*VLOOKUP('Données projet'!$B$12,Paramètres!$A$1:$I$89,5,0)</f>
        <v>189.82080000000036</v>
      </c>
      <c r="CA146" s="13">
        <f t="shared" si="147"/>
        <v>47.500332100049881</v>
      </c>
      <c r="CB146" s="20">
        <f t="shared" si="118"/>
        <v>413.33430507425419</v>
      </c>
      <c r="CC146" s="59">
        <f t="shared" si="119"/>
        <v>706.66763840758745</v>
      </c>
      <c r="CD146" s="59">
        <f ca="1">AVERAGE(OFFSET($CC$3,0,0,'Données projet'!$E$12+1,1))-AVERAGE(OFFSET($H$3,0,0,'Données projet'!$E$12+1,1))</f>
        <v>192.4785660463869</v>
      </c>
      <c r="CE146" s="59">
        <f t="shared" si="148"/>
        <v>165.11095806515362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8.6390494426764039E-2</v>
      </c>
      <c r="CL146" s="21">
        <f>EXP(-LN(2)/25)*CL145+(1-EXP(-LN(2)/25))/(LN(2)/25)*Calculateur!CG146*Calculateur!CI146*VLOOKUP('Données projet'!$B$12,Paramètres!$A$1:$I$89,3,0)*0.475*44/12</f>
        <v>0.20577661092452823</v>
      </c>
      <c r="CM146" s="21">
        <f>EXP(-LN(2)/2)*CM145+(1-EXP(-LN(2)/2))/(LN(2)/2)*CG146*CJ146*VLOOKUP('Données projet'!$B$12,Paramètres!$A$1:$I$89,3,0)*0.475*44/12</f>
        <v>7.1857444079605822E-17</v>
      </c>
      <c r="CN146" s="22">
        <f t="shared" si="120"/>
        <v>0.29216710535129231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275.00000000000057</v>
      </c>
      <c r="CU146" s="17">
        <f>CT146*VLOOKUP('Données projet'!$B$13,Paramètres!$A$1:$I$89,3,0)*VLOOKUP('Données projet'!$B$13,Paramètres!$A$1:$I$89,5,0)</f>
        <v>231.66000000000051</v>
      </c>
      <c r="CV146" s="13">
        <f t="shared" si="149"/>
        <v>56.641461975682923</v>
      </c>
      <c r="CW146" s="20">
        <f t="shared" si="121"/>
        <v>502.12504627431525</v>
      </c>
      <c r="CX146" s="59">
        <f t="shared" si="122"/>
        <v>795.45837960764857</v>
      </c>
      <c r="CY146" s="59">
        <f ca="1">AVERAGE(OFFSET($CX$3,0,0,'Données projet'!$E$13+1,1))-AVERAGE(OFFSET($H$3,0,0,'Données projet'!$E$13+1,1))</f>
        <v>247.67539667223065</v>
      </c>
      <c r="CZ146" s="59">
        <f t="shared" si="150"/>
        <v>174.54442616983778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0.13670583733465957</v>
      </c>
      <c r="DG146" s="21">
        <f>EXP(-LN(2)/25)*DG145+(1-EXP(-LN(2)/25))/(LN(2)/25)*Calculateur!DB146*Calculateur!DD146*VLOOKUP('Données projet'!$B$13,Paramètres!$A$1:$I$89,3,0)*0.475*44/12</f>
        <v>0.28656985035468446</v>
      </c>
      <c r="DH146" s="21">
        <f>EXP(-LN(2)/2)*DH145+(1-EXP(-LN(2)/2))/(LN(2)/2)*DB146*DE146*VLOOKUP('Données projet'!$B$13,Paramètres!$A$1:$I$89,3,0)*0.475*44/12</f>
        <v>1.1298596609049536E-16</v>
      </c>
      <c r="DI146" s="22">
        <f t="shared" si="123"/>
        <v>0.42327568768934415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5.1063034188034209</v>
      </c>
      <c r="DO146" s="12">
        <f>IF('Données projet'!$A$166&gt;35,DO145+DN146-DW145,IF(A146&lt;'Données projet'!$A$166,$DL$205^A146,IF(A146='Données projet'!$A$166,'Données projet'!$B$166,DO145+DN146-DW145)))</f>
        <v>272.54807692307651</v>
      </c>
      <c r="DP146" s="17">
        <f>DO146*VLOOKUP('Données projet'!$B$14,Paramètres!$A$1:$I$89,3,0)*VLOOKUP('Données projet'!$B$14,Paramètres!$A$1:$I$89,5,0)</f>
        <v>272.11199999999957</v>
      </c>
      <c r="DQ146" s="13">
        <f t="shared" si="151"/>
        <v>65.297285529162707</v>
      </c>
      <c r="DR146" s="20">
        <f t="shared" si="124"/>
        <v>587.65450562995761</v>
      </c>
      <c r="DS146" s="59">
        <f t="shared" si="125"/>
        <v>880.98783896329087</v>
      </c>
      <c r="DT146" s="59">
        <f ca="1">AVERAGE(OFFSET($DS$3,0,0,'Données projet'!$E$14+1,1))-AVERAGE(OFFSET($H$3,0,0,'Données projet'!$E$14+1,1))</f>
        <v>245.06609107649069</v>
      </c>
      <c r="DU146" s="59">
        <f t="shared" si="152"/>
        <v>156.24531945456499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-2.5579538487363607E-13</v>
      </c>
      <c r="EK146" s="17">
        <f>EJ146*VLOOKUP('Données projet'!$B$15,Paramètres!$A$1:$I$89,3,0)*VLOOKUP('Données projet'!$B$15,Paramètres!$A$1:$I$89,5,0)</f>
        <v>-2.7932856028201057E-13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173.63857221119594</v>
      </c>
      <c r="EP146" s="59">
        <f t="shared" si="154"/>
        <v>52.373745617370105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199.58634493109349</v>
      </c>
      <c r="T147" s="59">
        <f t="shared" si="142"/>
        <v>288.66487031729008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0.52266802502598775</v>
      </c>
      <c r="AA147" s="21">
        <f>EXP(-LN(2)/25)*AA146+(1-EXP(-LN(2)/25))/(LN(2)/25)*Calculateur!V147*Calculateur!X147*VLOOKUP('Données projet'!$B$9,Paramètres!$A$1:$I$89,3,0)*0.475*44/12</f>
        <v>0.72619975285298022</v>
      </c>
      <c r="AB147" s="21">
        <f>EXP(-LN(2)/2)*AB146+(1-EXP(-LN(2)/2))/(LN(2)/2)*V147*Y147*VLOOKUP('Données projet'!$B$9,Paramètres!$A$1:$I$89,3,0)*0.475*44/12</f>
        <v>2.04690559877382E-17</v>
      </c>
      <c r="AC147" s="22">
        <f t="shared" si="111"/>
        <v>1.2488677778789681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606.99999999999989</v>
      </c>
      <c r="AJ147" s="13">
        <f>AI147*VLOOKUP('Données projet'!$B$10,Paramètres!$A$1:$I$89,3,0)*VLOOKUP('Données projet'!$B$10,Paramètres!$A$1:$I$89,5,0)</f>
        <v>362.98599999999999</v>
      </c>
      <c r="AK147" s="13">
        <f t="shared" si="143"/>
        <v>84.230767602863935</v>
      </c>
      <c r="AL147" s="20">
        <f t="shared" si="112"/>
        <v>778.90253690832139</v>
      </c>
      <c r="AM147" s="59">
        <f t="shared" si="113"/>
        <v>1072.2358702416548</v>
      </c>
      <c r="AN147" s="59">
        <f ca="1">AVERAGE(OFFSET($AM$3,0,0,'Données projet'!$E$10+1,1))-AVERAGE(OFFSET($H$3,0,0,'Données projet'!$E$10+1,1))</f>
        <v>395.40396173178527</v>
      </c>
      <c r="AO147" s="59">
        <f t="shared" si="144"/>
        <v>304.68075128568756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0.31363436335383094</v>
      </c>
      <c r="AV147" s="21">
        <f>EXP(-LN(2)/25)*AV146+(1-EXP(-LN(2)/25))/(LN(2)/25)*Calculateur!AQ147*Calculateur!AS147*VLOOKUP('Données projet'!$B$10,Paramètres!$A$1:$I$89,3,0)*0.475*44/12</f>
        <v>0.79257055112965502</v>
      </c>
      <c r="AW147" s="21">
        <f>EXP(-LN(2)/2)*AW146+(1-EXP(-LN(2)/2))/(LN(2)/2)*AQ147*AT147*VLOOKUP('Données projet'!$B$10,Paramètres!$A$1:$I$89,3,0)*0.475*44/12</f>
        <v>1.8045304328499595E-16</v>
      </c>
      <c r="AX147" s="21">
        <f t="shared" si="114"/>
        <v>1.1062049144834862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36.10000000000008</v>
      </c>
      <c r="BE147" s="13">
        <f>BD147*VLOOKUP('Données projet'!$B$11,Paramètres!$A$1:$I$89,3,0)*VLOOKUP('Données projet'!$B$11,Paramètres!$A$1:$I$89,5,0)</f>
        <v>31.536960000000075</v>
      </c>
      <c r="BF147" s="13">
        <f t="shared" si="145"/>
        <v>9.725440120377133</v>
      </c>
      <c r="BG147" s="20">
        <f t="shared" si="115"/>
        <v>71.865346876323642</v>
      </c>
      <c r="BH147" s="59">
        <f t="shared" si="116"/>
        <v>365.19868020965697</v>
      </c>
      <c r="BI147" s="59">
        <f ca="1">AVERAGE(OFFSET($BH$3,0,0,'Données projet'!$E$11+1,1))-AVERAGE(OFFSET($H$3,0,0,'Données projet'!$E$11+1,1))</f>
        <v>249.21292089724221</v>
      </c>
      <c r="BJ147" s="59">
        <f t="shared" si="146"/>
        <v>640.80644476065254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11.795269792220378</v>
      </c>
      <c r="BQ147" s="21">
        <f>EXP(-LN(2)/25)*BQ146+(1-EXP(-LN(2)/25))/(LN(2)/25)*Calculateur!BL147*Calculateur!BN147*VLOOKUP('Données projet'!$B$11,Paramètres!$A$1:$I$89,3,0)*0.475*44/12</f>
        <v>4.5437004581735891</v>
      </c>
      <c r="BR147" s="21">
        <f>EXP(-LN(2)/2)*BR146+(1-EXP(-LN(2)/2))/(LN(2)/2)*BL147*BO147*VLOOKUP('Données projet'!$B$11,Paramètres!$A$1:$I$89,3,0)*0.475*44/12</f>
        <v>5.7273312365822508E-16</v>
      </c>
      <c r="BS147" s="22">
        <f t="shared" si="117"/>
        <v>16.338970250393967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234.00000000000045</v>
      </c>
      <c r="BZ147" s="13">
        <f>BY147*VLOOKUP('Données projet'!$B$12,Paramètres!$A$1:$I$89,3,0)*VLOOKUP('Données projet'!$B$12,Paramètres!$A$1:$I$89,5,0)</f>
        <v>189.82080000000036</v>
      </c>
      <c r="CA147" s="13">
        <f t="shared" si="147"/>
        <v>47.500332100049881</v>
      </c>
      <c r="CB147" s="20">
        <f t="shared" si="118"/>
        <v>413.33430507425419</v>
      </c>
      <c r="CC147" s="59">
        <f t="shared" si="119"/>
        <v>706.66763840758745</v>
      </c>
      <c r="CD147" s="59">
        <f ca="1">AVERAGE(OFFSET($CC$3,0,0,'Données projet'!$E$12+1,1))-AVERAGE(OFFSET($H$3,0,0,'Données projet'!$E$12+1,1))</f>
        <v>192.4785660463869</v>
      </c>
      <c r="CE147" s="59">
        <f t="shared" si="148"/>
        <v>165.11095806515362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8.469642952405379E-2</v>
      </c>
      <c r="CL147" s="21">
        <f>EXP(-LN(2)/25)*CL146+(1-EXP(-LN(2)/25))/(LN(2)/25)*Calculateur!CG147*Calculateur!CI147*VLOOKUP('Données projet'!$B$12,Paramètres!$A$1:$I$89,3,0)*0.475*44/12</f>
        <v>0.20014963867747534</v>
      </c>
      <c r="CM147" s="21">
        <f>EXP(-LN(2)/2)*CM146+(1-EXP(-LN(2)/2))/(LN(2)/2)*CG147*CJ147*VLOOKUP('Données projet'!$B$12,Paramètres!$A$1:$I$89,3,0)*0.475*44/12</f>
        <v>5.081088598742241E-17</v>
      </c>
      <c r="CN147" s="22">
        <f t="shared" si="120"/>
        <v>0.28484606820152919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275.00000000000057</v>
      </c>
      <c r="CU147" s="17">
        <f>CT147*VLOOKUP('Données projet'!$B$13,Paramètres!$A$1:$I$89,3,0)*VLOOKUP('Données projet'!$B$13,Paramètres!$A$1:$I$89,5,0)</f>
        <v>231.66000000000051</v>
      </c>
      <c r="CV147" s="13">
        <f t="shared" si="149"/>
        <v>56.641461975682923</v>
      </c>
      <c r="CW147" s="20">
        <f t="shared" si="121"/>
        <v>502.12504627431525</v>
      </c>
      <c r="CX147" s="59">
        <f t="shared" si="122"/>
        <v>795.45837960764857</v>
      </c>
      <c r="CY147" s="59">
        <f ca="1">AVERAGE(OFFSET($CX$3,0,0,'Données projet'!$E$13+1,1))-AVERAGE(OFFSET($H$3,0,0,'Données projet'!$E$13+1,1))</f>
        <v>247.67539667223065</v>
      </c>
      <c r="CZ147" s="59">
        <f t="shared" si="150"/>
        <v>174.54442616983778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0.13402511924685434</v>
      </c>
      <c r="DG147" s="21">
        <f>EXP(-LN(2)/25)*DG146+(1-EXP(-LN(2)/25))/(LN(2)/25)*Calculateur!DB147*Calculateur!DD147*VLOOKUP('Données projet'!$B$13,Paramètres!$A$1:$I$89,3,0)*0.475*44/12</f>
        <v>0.27873358272668214</v>
      </c>
      <c r="DH147" s="21">
        <f>EXP(-LN(2)/2)*DH146+(1-EXP(-LN(2)/2))/(LN(2)/2)*DB147*DE147*VLOOKUP('Données projet'!$B$13,Paramètres!$A$1:$I$89,3,0)*0.475*44/12</f>
        <v>7.989314280150258E-17</v>
      </c>
      <c r="DI147" s="22">
        <f t="shared" si="123"/>
        <v>0.41275870197353653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5.1063034188034209</v>
      </c>
      <c r="DO147" s="12">
        <f>IF('Données projet'!$A$166&gt;35,DO146+DN147-DW146,IF(A147&lt;'Données projet'!$A$166,$DL$205^A147,IF(A147='Données projet'!$A$166,'Données projet'!$B$166,DO146+DN147-DW146)))</f>
        <v>277.65438034187991</v>
      </c>
      <c r="DP147" s="17">
        <f>DO147*VLOOKUP('Données projet'!$B$14,Paramètres!$A$1:$I$89,3,0)*VLOOKUP('Données projet'!$B$14,Paramètres!$A$1:$I$89,5,0)</f>
        <v>277.21013333333292</v>
      </c>
      <c r="DQ147" s="13">
        <f t="shared" si="151"/>
        <v>66.377086687676652</v>
      </c>
      <c r="DR147" s="20">
        <f t="shared" si="124"/>
        <v>598.41440820325829</v>
      </c>
      <c r="DS147" s="59">
        <f t="shared" si="125"/>
        <v>891.74774153659155</v>
      </c>
      <c r="DT147" s="59">
        <f ca="1">AVERAGE(OFFSET($DS$3,0,0,'Données projet'!$E$14+1,1))-AVERAGE(OFFSET($H$3,0,0,'Données projet'!$E$14+1,1))</f>
        <v>245.06609107649069</v>
      </c>
      <c r="DU147" s="59">
        <f t="shared" si="152"/>
        <v>156.24531945456499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-2.5579538487363607E-13</v>
      </c>
      <c r="EK147" s="17">
        <f>EJ147*VLOOKUP('Données projet'!$B$15,Paramètres!$A$1:$I$89,3,0)*VLOOKUP('Données projet'!$B$15,Paramètres!$A$1:$I$89,5,0)</f>
        <v>-2.7932856028201057E-13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173.63857221119594</v>
      </c>
      <c r="EP147" s="59">
        <f t="shared" si="154"/>
        <v>52.373745617370105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199.58634493109349</v>
      </c>
      <c r="T148" s="59">
        <f t="shared" si="142"/>
        <v>288.66487031729008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0.51241882385124493</v>
      </c>
      <c r="AA148" s="21">
        <f>EXP(-LN(2)/25)*AA147+(1-EXP(-LN(2)/25))/(LN(2)/25)*Calculateur!V148*Calculateur!X148*VLOOKUP('Données projet'!$B$9,Paramètres!$A$1:$I$89,3,0)*0.475*44/12</f>
        <v>0.70634178242203027</v>
      </c>
      <c r="AB148" s="21">
        <f>EXP(-LN(2)/2)*AB147+(1-EXP(-LN(2)/2))/(LN(2)/2)*V148*Y148*VLOOKUP('Données projet'!$B$9,Paramètres!$A$1:$I$89,3,0)*0.475*44/12</f>
        <v>1.4473808293416786E-17</v>
      </c>
      <c r="AC148" s="22">
        <f t="shared" si="111"/>
        <v>1.2187606062732752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606.99999999999989</v>
      </c>
      <c r="AJ148" s="13">
        <f>AI148*VLOOKUP('Données projet'!$B$10,Paramètres!$A$1:$I$89,3,0)*VLOOKUP('Données projet'!$B$10,Paramètres!$A$1:$I$89,5,0)</f>
        <v>362.98599999999999</v>
      </c>
      <c r="AK148" s="13">
        <f t="shared" si="143"/>
        <v>84.230767602863935</v>
      </c>
      <c r="AL148" s="20">
        <f t="shared" si="112"/>
        <v>778.90253690832139</v>
      </c>
      <c r="AM148" s="59">
        <f t="shared" si="113"/>
        <v>1072.2358702416548</v>
      </c>
      <c r="AN148" s="59">
        <f ca="1">AVERAGE(OFFSET($AM$3,0,0,'Données projet'!$E$10+1,1))-AVERAGE(OFFSET($H$3,0,0,'Données projet'!$E$10+1,1))</f>
        <v>395.40396173178527</v>
      </c>
      <c r="AO148" s="59">
        <f t="shared" si="144"/>
        <v>304.68075128568756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0.30748418478653483</v>
      </c>
      <c r="AV148" s="21">
        <f>EXP(-LN(2)/25)*AV147+(1-EXP(-LN(2)/25))/(LN(2)/25)*Calculateur!AQ148*Calculateur!AS148*VLOOKUP('Données projet'!$B$10,Paramètres!$A$1:$I$89,3,0)*0.475*44/12</f>
        <v>0.77089766772954071</v>
      </c>
      <c r="AW148" s="21">
        <f>EXP(-LN(2)/2)*AW147+(1-EXP(-LN(2)/2))/(LN(2)/2)*AQ148*AT148*VLOOKUP('Données projet'!$B$10,Paramètres!$A$1:$I$89,3,0)*0.475*44/12</f>
        <v>1.2759957059257022E-16</v>
      </c>
      <c r="AX148" s="21">
        <f t="shared" si="114"/>
        <v>1.0783818525160758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36.10000000000008</v>
      </c>
      <c r="BE148" s="13">
        <f>BD148*VLOOKUP('Données projet'!$B$11,Paramètres!$A$1:$I$89,3,0)*VLOOKUP('Données projet'!$B$11,Paramètres!$A$1:$I$89,5,0)</f>
        <v>31.536960000000075</v>
      </c>
      <c r="BF148" s="13">
        <f t="shared" si="145"/>
        <v>9.725440120377133</v>
      </c>
      <c r="BG148" s="20">
        <f t="shared" si="115"/>
        <v>71.865346876323642</v>
      </c>
      <c r="BH148" s="59">
        <f t="shared" si="116"/>
        <v>365.19868020965697</v>
      </c>
      <c r="BI148" s="59">
        <f ca="1">AVERAGE(OFFSET($BH$3,0,0,'Données projet'!$E$11+1,1))-AVERAGE(OFFSET($H$3,0,0,'Données projet'!$E$11+1,1))</f>
        <v>249.21292089724221</v>
      </c>
      <c r="BJ148" s="59">
        <f t="shared" si="146"/>
        <v>640.80644476065254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11.563971745999121</v>
      </c>
      <c r="BQ148" s="21">
        <f>EXP(-LN(2)/25)*BQ147+(1-EXP(-LN(2)/25))/(LN(2)/25)*Calculateur!BL148*Calculateur!BN148*VLOOKUP('Données projet'!$B$11,Paramètres!$A$1:$I$89,3,0)*0.475*44/12</f>
        <v>4.4194527302020097</v>
      </c>
      <c r="BR148" s="21">
        <f>EXP(-LN(2)/2)*BR147+(1-EXP(-LN(2)/2))/(LN(2)/2)*BL148*BO148*VLOOKUP('Données projet'!$B$11,Paramètres!$A$1:$I$89,3,0)*0.475*44/12</f>
        <v>4.0498347554888443E-16</v>
      </c>
      <c r="BS148" s="22">
        <f t="shared" si="117"/>
        <v>15.983424476201129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234.00000000000045</v>
      </c>
      <c r="BZ148" s="13">
        <f>BY148*VLOOKUP('Données projet'!$B$12,Paramètres!$A$1:$I$89,3,0)*VLOOKUP('Données projet'!$B$12,Paramètres!$A$1:$I$89,5,0)</f>
        <v>189.82080000000036</v>
      </c>
      <c r="CA148" s="13">
        <f t="shared" si="147"/>
        <v>47.500332100049881</v>
      </c>
      <c r="CB148" s="20">
        <f t="shared" si="118"/>
        <v>413.33430507425419</v>
      </c>
      <c r="CC148" s="59">
        <f t="shared" si="119"/>
        <v>706.66763840758745</v>
      </c>
      <c r="CD148" s="59">
        <f ca="1">AVERAGE(OFFSET($CC$3,0,0,'Données projet'!$E$12+1,1))-AVERAGE(OFFSET($H$3,0,0,'Données projet'!$E$12+1,1))</f>
        <v>192.4785660463869</v>
      </c>
      <c r="CE148" s="59">
        <f t="shared" si="148"/>
        <v>165.11095806515362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8.303558420080813E-2</v>
      </c>
      <c r="CL148" s="21">
        <f>EXP(-LN(2)/25)*CL147+(1-EXP(-LN(2)/25))/(LN(2)/25)*Calculateur!CG148*Calculateur!CI148*VLOOKUP('Données projet'!$B$12,Paramètres!$A$1:$I$89,3,0)*0.475*44/12</f>
        <v>0.19467653628242773</v>
      </c>
      <c r="CM148" s="21">
        <f>EXP(-LN(2)/2)*CM147+(1-EXP(-LN(2)/2))/(LN(2)/2)*CG148*CJ148*VLOOKUP('Données projet'!$B$12,Paramètres!$A$1:$I$89,3,0)*0.475*44/12</f>
        <v>3.5928722039802911E-17</v>
      </c>
      <c r="CN148" s="22">
        <f t="shared" si="120"/>
        <v>0.2777121204832359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275.00000000000057</v>
      </c>
      <c r="CU148" s="17">
        <f>CT148*VLOOKUP('Données projet'!$B$13,Paramètres!$A$1:$I$89,3,0)*VLOOKUP('Données projet'!$B$13,Paramètres!$A$1:$I$89,5,0)</f>
        <v>231.66000000000051</v>
      </c>
      <c r="CV148" s="13">
        <f t="shared" si="149"/>
        <v>56.641461975682923</v>
      </c>
      <c r="CW148" s="20">
        <f t="shared" si="121"/>
        <v>502.12504627431525</v>
      </c>
      <c r="CX148" s="59">
        <f t="shared" si="122"/>
        <v>795.45837960764857</v>
      </c>
      <c r="CY148" s="59">
        <f ca="1">AVERAGE(OFFSET($CX$3,0,0,'Données projet'!$E$13+1,1))-AVERAGE(OFFSET($H$3,0,0,'Données projet'!$E$13+1,1))</f>
        <v>247.67539667223065</v>
      </c>
      <c r="CZ148" s="59">
        <f t="shared" si="150"/>
        <v>174.54442616983778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0.13139696840567439</v>
      </c>
      <c r="DG148" s="21">
        <f>EXP(-LN(2)/25)*DG147+(1-EXP(-LN(2)/25))/(LN(2)/25)*Calculateur!DB148*Calculateur!DD148*VLOOKUP('Données projet'!$B$13,Paramètres!$A$1:$I$89,3,0)*0.475*44/12</f>
        <v>0.27111159824905895</v>
      </c>
      <c r="DH148" s="21">
        <f>EXP(-LN(2)/2)*DH147+(1-EXP(-LN(2)/2))/(LN(2)/2)*DB148*DE148*VLOOKUP('Données projet'!$B$13,Paramètres!$A$1:$I$89,3,0)*0.475*44/12</f>
        <v>5.6492983045247678E-17</v>
      </c>
      <c r="DI148" s="22">
        <f t="shared" si="123"/>
        <v>0.40250856665473339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5.1063034188034209</v>
      </c>
      <c r="DO148" s="12">
        <f>IF('Données projet'!$A$166&gt;35,DO147+DN148-DW147,IF(A148&lt;'Données projet'!$A$166,$DL$205^A148,IF(A148='Données projet'!$A$166,'Données projet'!$B$166,DO147+DN148-DW147)))</f>
        <v>282.76068376068332</v>
      </c>
      <c r="DP148" s="17">
        <f>DO148*VLOOKUP('Données projet'!$B$14,Paramètres!$A$1:$I$89,3,0)*VLOOKUP('Données projet'!$B$14,Paramètres!$A$1:$I$89,5,0)</f>
        <v>282.30826666666621</v>
      </c>
      <c r="DQ148" s="13">
        <f t="shared" si="151"/>
        <v>67.454578654557295</v>
      </c>
      <c r="DR148" s="20">
        <f t="shared" si="124"/>
        <v>609.17028893446422</v>
      </c>
      <c r="DS148" s="59">
        <f t="shared" si="125"/>
        <v>902.50362226779748</v>
      </c>
      <c r="DT148" s="59">
        <f ca="1">AVERAGE(OFFSET($DS$3,0,0,'Données projet'!$E$14+1,1))-AVERAGE(OFFSET($H$3,0,0,'Données projet'!$E$14+1,1))</f>
        <v>245.06609107649069</v>
      </c>
      <c r="DU148" s="59">
        <f t="shared" si="152"/>
        <v>156.24531945456499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-2.5579538487363607E-13</v>
      </c>
      <c r="EK148" s="17">
        <f>EJ148*VLOOKUP('Données projet'!$B$15,Paramètres!$A$1:$I$89,3,0)*VLOOKUP('Données projet'!$B$15,Paramètres!$A$1:$I$89,5,0)</f>
        <v>-2.7932856028201057E-13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173.63857221119594</v>
      </c>
      <c r="EP148" s="59">
        <f t="shared" si="154"/>
        <v>52.373745617370105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199.58634493109349</v>
      </c>
      <c r="T149" s="59">
        <f t="shared" si="142"/>
        <v>288.66487031729008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0.50237060326014338</v>
      </c>
      <c r="AA149" s="21">
        <f>EXP(-LN(2)/25)*AA148+(1-EXP(-LN(2)/25))/(LN(2)/25)*Calculateur!V149*Calculateur!X149*VLOOKUP('Données projet'!$B$9,Paramètres!$A$1:$I$89,3,0)*0.475*44/12</f>
        <v>0.68702682923679992</v>
      </c>
      <c r="AB149" s="21">
        <f>EXP(-LN(2)/2)*AB148+(1-EXP(-LN(2)/2))/(LN(2)/2)*V149*Y149*VLOOKUP('Données projet'!$B$9,Paramètres!$A$1:$I$89,3,0)*0.475*44/12</f>
        <v>1.02345279938691E-17</v>
      </c>
      <c r="AC149" s="22">
        <f t="shared" si="111"/>
        <v>1.1893974324969432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606.99999999999989</v>
      </c>
      <c r="AJ149" s="13">
        <f>AI149*VLOOKUP('Données projet'!$B$10,Paramètres!$A$1:$I$89,3,0)*VLOOKUP('Données projet'!$B$10,Paramètres!$A$1:$I$89,5,0)</f>
        <v>362.98599999999999</v>
      </c>
      <c r="AK149" s="13">
        <f t="shared" si="143"/>
        <v>84.230767602863935</v>
      </c>
      <c r="AL149" s="20">
        <f t="shared" si="112"/>
        <v>778.90253690832139</v>
      </c>
      <c r="AM149" s="59">
        <f t="shared" si="113"/>
        <v>1072.2358702416548</v>
      </c>
      <c r="AN149" s="59">
        <f ca="1">AVERAGE(OFFSET($AM$3,0,0,'Données projet'!$E$10+1,1))-AVERAGE(OFFSET($H$3,0,0,'Données projet'!$E$10+1,1))</f>
        <v>395.40396173178527</v>
      </c>
      <c r="AO149" s="59">
        <f t="shared" si="144"/>
        <v>304.68075128568756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0.30145460746970487</v>
      </c>
      <c r="AV149" s="21">
        <f>EXP(-LN(2)/25)*AV148+(1-EXP(-LN(2)/25))/(LN(2)/25)*Calculateur!AQ149*Calculateur!AS149*VLOOKUP('Données projet'!$B$10,Paramètres!$A$1:$I$89,3,0)*0.475*44/12</f>
        <v>0.74981743046573002</v>
      </c>
      <c r="AW149" s="21">
        <f>EXP(-LN(2)/2)*AW148+(1-EXP(-LN(2)/2))/(LN(2)/2)*AQ149*AT149*VLOOKUP('Données projet'!$B$10,Paramètres!$A$1:$I$89,3,0)*0.475*44/12</f>
        <v>9.0226521642497977E-17</v>
      </c>
      <c r="AX149" s="21">
        <f t="shared" si="114"/>
        <v>1.0512720379354348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36.10000000000008</v>
      </c>
      <c r="BE149" s="13">
        <f>BD149*VLOOKUP('Données projet'!$B$11,Paramètres!$A$1:$I$89,3,0)*VLOOKUP('Données projet'!$B$11,Paramètres!$A$1:$I$89,5,0)</f>
        <v>31.536960000000075</v>
      </c>
      <c r="BF149" s="13">
        <f t="shared" si="145"/>
        <v>9.725440120377133</v>
      </c>
      <c r="BG149" s="20">
        <f t="shared" si="115"/>
        <v>71.865346876323642</v>
      </c>
      <c r="BH149" s="59">
        <f t="shared" si="116"/>
        <v>365.19868020965697</v>
      </c>
      <c r="BI149" s="59">
        <f ca="1">AVERAGE(OFFSET($BH$3,0,0,'Données projet'!$E$11+1,1))-AVERAGE(OFFSET($H$3,0,0,'Données projet'!$E$11+1,1))</f>
        <v>249.21292089724221</v>
      </c>
      <c r="BJ149" s="59">
        <f t="shared" si="146"/>
        <v>640.80644476065254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11.337209313386385</v>
      </c>
      <c r="BQ149" s="21">
        <f>EXP(-LN(2)/25)*BQ148+(1-EXP(-LN(2)/25))/(LN(2)/25)*Calculateur!BL149*Calculateur!BN149*VLOOKUP('Données projet'!$B$11,Paramètres!$A$1:$I$89,3,0)*0.475*44/12</f>
        <v>4.2986025628857174</v>
      </c>
      <c r="BR149" s="21">
        <f>EXP(-LN(2)/2)*BR148+(1-EXP(-LN(2)/2))/(LN(2)/2)*BL149*BO149*VLOOKUP('Données projet'!$B$11,Paramètres!$A$1:$I$89,3,0)*0.475*44/12</f>
        <v>2.8636656182911254E-16</v>
      </c>
      <c r="BS149" s="22">
        <f t="shared" si="117"/>
        <v>15.635811876272102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234.00000000000045</v>
      </c>
      <c r="BZ149" s="13">
        <f>BY149*VLOOKUP('Données projet'!$B$12,Paramètres!$A$1:$I$89,3,0)*VLOOKUP('Données projet'!$B$12,Paramètres!$A$1:$I$89,5,0)</f>
        <v>189.82080000000036</v>
      </c>
      <c r="CA149" s="13">
        <f t="shared" si="147"/>
        <v>47.500332100049881</v>
      </c>
      <c r="CB149" s="20">
        <f t="shared" si="118"/>
        <v>413.33430507425419</v>
      </c>
      <c r="CC149" s="59">
        <f t="shared" si="119"/>
        <v>706.66763840758745</v>
      </c>
      <c r="CD149" s="59">
        <f ca="1">AVERAGE(OFFSET($CC$3,0,0,'Données projet'!$E$12+1,1))-AVERAGE(OFFSET($H$3,0,0,'Données projet'!$E$12+1,1))</f>
        <v>192.4785660463869</v>
      </c>
      <c r="CE149" s="59">
        <f t="shared" si="148"/>
        <v>165.11095806515362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8.1407307041335697E-2</v>
      </c>
      <c r="CL149" s="21">
        <f>EXP(-LN(2)/25)*CL148+(1-EXP(-LN(2)/25))/(LN(2)/25)*Calculateur!CG149*Calculateur!CI149*VLOOKUP('Données projet'!$B$12,Paramètres!$A$1:$I$89,3,0)*0.475*44/12</f>
        <v>0.18935309616019064</v>
      </c>
      <c r="CM149" s="21">
        <f>EXP(-LN(2)/2)*CM148+(1-EXP(-LN(2)/2))/(LN(2)/2)*CG149*CJ149*VLOOKUP('Données projet'!$B$12,Paramètres!$A$1:$I$89,3,0)*0.475*44/12</f>
        <v>2.5405442993711205E-17</v>
      </c>
      <c r="CN149" s="22">
        <f t="shared" si="120"/>
        <v>0.27076040320152633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275.00000000000057</v>
      </c>
      <c r="CU149" s="17">
        <f>CT149*VLOOKUP('Données projet'!$B$13,Paramètres!$A$1:$I$89,3,0)*VLOOKUP('Données projet'!$B$13,Paramètres!$A$1:$I$89,5,0)</f>
        <v>231.66000000000051</v>
      </c>
      <c r="CV149" s="13">
        <f t="shared" si="149"/>
        <v>56.641461975682923</v>
      </c>
      <c r="CW149" s="20">
        <f t="shared" si="121"/>
        <v>502.12504627431525</v>
      </c>
      <c r="CX149" s="59">
        <f t="shared" si="122"/>
        <v>795.45837960764857</v>
      </c>
      <c r="CY149" s="59">
        <f ca="1">AVERAGE(OFFSET($CX$3,0,0,'Données projet'!$E$13+1,1))-AVERAGE(OFFSET($H$3,0,0,'Données projet'!$E$13+1,1))</f>
        <v>247.67539667223065</v>
      </c>
      <c r="CZ149" s="59">
        <f t="shared" si="150"/>
        <v>174.54442616983778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0.12882035399947625</v>
      </c>
      <c r="DG149" s="21">
        <f>EXP(-LN(2)/25)*DG148+(1-EXP(-LN(2)/25))/(LN(2)/25)*Calculateur!DB149*Calculateur!DD149*VLOOKUP('Données projet'!$B$13,Paramètres!$A$1:$I$89,3,0)*0.475*44/12</f>
        <v>0.26369803733779912</v>
      </c>
      <c r="DH149" s="21">
        <f>EXP(-LN(2)/2)*DH148+(1-EXP(-LN(2)/2))/(LN(2)/2)*DB149*DE149*VLOOKUP('Données projet'!$B$13,Paramètres!$A$1:$I$89,3,0)*0.475*44/12</f>
        <v>3.994657140075129E-17</v>
      </c>
      <c r="DI149" s="22">
        <f t="shared" si="123"/>
        <v>0.39251839133727545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5.1063034188034209</v>
      </c>
      <c r="DO149" s="12">
        <f>IF('Données projet'!$A$166&gt;35,DO148+DN149-DW148,IF(A149&lt;'Données projet'!$A$166,$DL$205^A149,IF(A149='Données projet'!$A$166,'Données projet'!$B$166,DO148+DN149-DW148)))</f>
        <v>287.86698717948673</v>
      </c>
      <c r="DP149" s="17">
        <f>DO149*VLOOKUP('Données projet'!$B$14,Paramètres!$A$1:$I$89,3,0)*VLOOKUP('Données projet'!$B$14,Paramètres!$A$1:$I$89,5,0)</f>
        <v>287.40639999999956</v>
      </c>
      <c r="DQ149" s="13">
        <f t="shared" si="151"/>
        <v>68.529807941120509</v>
      </c>
      <c r="DR149" s="20">
        <f t="shared" si="124"/>
        <v>619.92222883078409</v>
      </c>
      <c r="DS149" s="59">
        <f t="shared" si="125"/>
        <v>913.25556216411746</v>
      </c>
      <c r="DT149" s="59">
        <f ca="1">AVERAGE(OFFSET($DS$3,0,0,'Données projet'!$E$14+1,1))-AVERAGE(OFFSET($H$3,0,0,'Données projet'!$E$14+1,1))</f>
        <v>245.06609107649069</v>
      </c>
      <c r="DU149" s="59">
        <f t="shared" si="152"/>
        <v>156.24531945456499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-2.5579538487363607E-13</v>
      </c>
      <c r="EK149" s="17">
        <f>EJ149*VLOOKUP('Données projet'!$B$15,Paramètres!$A$1:$I$89,3,0)*VLOOKUP('Données projet'!$B$15,Paramètres!$A$1:$I$89,5,0)</f>
        <v>-2.7932856028201057E-13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173.63857221119594</v>
      </c>
      <c r="EP149" s="59">
        <f t="shared" si="154"/>
        <v>52.373745617370105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199.58634493109349</v>
      </c>
      <c r="T150" s="59">
        <f t="shared" si="142"/>
        <v>288.66487031729008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0.4925194221460239</v>
      </c>
      <c r="AA150" s="21">
        <f>EXP(-LN(2)/25)*AA149+(1-EXP(-LN(2)/25))/(LN(2)/25)*Calculateur!V150*Calculateur!X150*VLOOKUP('Données projet'!$B$9,Paramètres!$A$1:$I$89,3,0)*0.475*44/12</f>
        <v>0.66824004446214891</v>
      </c>
      <c r="AB150" s="21">
        <f>EXP(-LN(2)/2)*AB149+(1-EXP(-LN(2)/2))/(LN(2)/2)*V150*Y150*VLOOKUP('Données projet'!$B$9,Paramètres!$A$1:$I$89,3,0)*0.475*44/12</f>
        <v>7.2369041467083929E-18</v>
      </c>
      <c r="AC150" s="22">
        <f t="shared" si="111"/>
        <v>1.1607594666081729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606.99999999999989</v>
      </c>
      <c r="AJ150" s="13">
        <f>AI150*VLOOKUP('Données projet'!$B$10,Paramètres!$A$1:$I$89,3,0)*VLOOKUP('Données projet'!$B$10,Paramètres!$A$1:$I$89,5,0)</f>
        <v>362.98599999999999</v>
      </c>
      <c r="AK150" s="13">
        <f t="shared" si="143"/>
        <v>84.230767602863935</v>
      </c>
      <c r="AL150" s="20">
        <f t="shared" si="112"/>
        <v>778.90253690832139</v>
      </c>
      <c r="AM150" s="59">
        <f t="shared" si="113"/>
        <v>1072.2358702416548</v>
      </c>
      <c r="AN150" s="59">
        <f ca="1">AVERAGE(OFFSET($AM$3,0,0,'Données projet'!$E$10+1,1))-AVERAGE(OFFSET($H$3,0,0,'Données projet'!$E$10+1,1))</f>
        <v>395.40396173178527</v>
      </c>
      <c r="AO150" s="59">
        <f t="shared" si="144"/>
        <v>304.68075128568756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0.29554326648637896</v>
      </c>
      <c r="AV150" s="21">
        <f>EXP(-LN(2)/25)*AV149+(1-EXP(-LN(2)/25))/(LN(2)/25)*Calculateur!AQ150*Calculateur!AS150*VLOOKUP('Données projet'!$B$10,Paramètres!$A$1:$I$89,3,0)*0.475*44/12</f>
        <v>0.72931363339845967</v>
      </c>
      <c r="AW150" s="21">
        <f>EXP(-LN(2)/2)*AW149+(1-EXP(-LN(2)/2))/(LN(2)/2)*AQ150*AT150*VLOOKUP('Données projet'!$B$10,Paramètres!$A$1:$I$89,3,0)*0.475*44/12</f>
        <v>6.379978529628511E-17</v>
      </c>
      <c r="AX150" s="21">
        <f t="shared" si="114"/>
        <v>1.0248568998848386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36.10000000000008</v>
      </c>
      <c r="BE150" s="13">
        <f>BD150*VLOOKUP('Données projet'!$B$11,Paramètres!$A$1:$I$89,3,0)*VLOOKUP('Données projet'!$B$11,Paramètres!$A$1:$I$89,5,0)</f>
        <v>31.536960000000075</v>
      </c>
      <c r="BF150" s="13">
        <f t="shared" si="145"/>
        <v>9.725440120377133</v>
      </c>
      <c r="BG150" s="20">
        <f t="shared" si="115"/>
        <v>71.865346876323642</v>
      </c>
      <c r="BH150" s="59">
        <f t="shared" si="116"/>
        <v>365.19868020965697</v>
      </c>
      <c r="BI150" s="59">
        <f ca="1">AVERAGE(OFFSET($BH$3,0,0,'Données projet'!$E$11+1,1))-AVERAGE(OFFSET($H$3,0,0,'Données projet'!$E$11+1,1))</f>
        <v>249.21292089724221</v>
      </c>
      <c r="BJ150" s="59">
        <f t="shared" si="146"/>
        <v>640.80644476065254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11.114893553765759</v>
      </c>
      <c r="BQ150" s="21">
        <f>EXP(-LN(2)/25)*BQ149+(1-EXP(-LN(2)/25))/(LN(2)/25)*Calculateur!BL150*Calculateur!BN150*VLOOKUP('Données projet'!$B$11,Paramètres!$A$1:$I$89,3,0)*0.475*44/12</f>
        <v>4.1810570497499233</v>
      </c>
      <c r="BR150" s="21">
        <f>EXP(-LN(2)/2)*BR149+(1-EXP(-LN(2)/2))/(LN(2)/2)*BL150*BO150*VLOOKUP('Données projet'!$B$11,Paramètres!$A$1:$I$89,3,0)*0.475*44/12</f>
        <v>2.0249173777444221E-16</v>
      </c>
      <c r="BS150" s="22">
        <f t="shared" si="117"/>
        <v>15.295950603515681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234.00000000000045</v>
      </c>
      <c r="BZ150" s="13">
        <f>BY150*VLOOKUP('Données projet'!$B$12,Paramètres!$A$1:$I$89,3,0)*VLOOKUP('Données projet'!$B$12,Paramètres!$A$1:$I$89,5,0)</f>
        <v>189.82080000000036</v>
      </c>
      <c r="CA150" s="13">
        <f t="shared" si="147"/>
        <v>47.500332100049881</v>
      </c>
      <c r="CB150" s="20">
        <f t="shared" si="118"/>
        <v>413.33430507425419</v>
      </c>
      <c r="CC150" s="59">
        <f t="shared" si="119"/>
        <v>706.66763840758745</v>
      </c>
      <c r="CD150" s="59">
        <f ca="1">AVERAGE(OFFSET($CC$3,0,0,'Données projet'!$E$12+1,1))-AVERAGE(OFFSET($H$3,0,0,'Données projet'!$E$12+1,1))</f>
        <v>192.4785660463869</v>
      </c>
      <c r="CE150" s="59">
        <f t="shared" si="148"/>
        <v>165.11095806515362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7.9810959403809514E-2</v>
      </c>
      <c r="CL150" s="21">
        <f>EXP(-LN(2)/25)*CL149+(1-EXP(-LN(2)/25))/(LN(2)/25)*Calculateur!CG150*Calculateur!CI150*VLOOKUP('Données projet'!$B$12,Paramètres!$A$1:$I$89,3,0)*0.475*44/12</f>
        <v>0.18417522578804366</v>
      </c>
      <c r="CM150" s="21">
        <f>EXP(-LN(2)/2)*CM149+(1-EXP(-LN(2)/2))/(LN(2)/2)*CG150*CJ150*VLOOKUP('Données projet'!$B$12,Paramètres!$A$1:$I$89,3,0)*0.475*44/12</f>
        <v>1.7964361019901456E-17</v>
      </c>
      <c r="CN150" s="22">
        <f t="shared" si="120"/>
        <v>0.26398618519185318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275.00000000000057</v>
      </c>
      <c r="CU150" s="17">
        <f>CT150*VLOOKUP('Données projet'!$B$13,Paramètres!$A$1:$I$89,3,0)*VLOOKUP('Données projet'!$B$13,Paramètres!$A$1:$I$89,5,0)</f>
        <v>231.66000000000051</v>
      </c>
      <c r="CV150" s="13">
        <f t="shared" si="149"/>
        <v>56.641461975682923</v>
      </c>
      <c r="CW150" s="20">
        <f t="shared" si="121"/>
        <v>502.12504627431525</v>
      </c>
      <c r="CX150" s="59">
        <f t="shared" si="122"/>
        <v>795.45837960764857</v>
      </c>
      <c r="CY150" s="59">
        <f ca="1">AVERAGE(OFFSET($CX$3,0,0,'Données projet'!$E$13+1,1))-AVERAGE(OFFSET($H$3,0,0,'Données projet'!$E$13+1,1))</f>
        <v>247.67539667223065</v>
      </c>
      <c r="CZ150" s="59">
        <f t="shared" si="150"/>
        <v>174.54442616983778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0.12629426543020406</v>
      </c>
      <c r="DG150" s="21">
        <f>EXP(-LN(2)/25)*DG149+(1-EXP(-LN(2)/25))/(LN(2)/25)*Calculateur!DB150*Calculateur!DD150*VLOOKUP('Données projet'!$B$13,Paramètres!$A$1:$I$89,3,0)*0.475*44/12</f>
        <v>0.25648720063951991</v>
      </c>
      <c r="DH150" s="21">
        <f>EXP(-LN(2)/2)*DH149+(1-EXP(-LN(2)/2))/(LN(2)/2)*DB150*DE150*VLOOKUP('Données projet'!$B$13,Paramètres!$A$1:$I$89,3,0)*0.475*44/12</f>
        <v>2.8246491522623839E-17</v>
      </c>
      <c r="DI150" s="22">
        <f t="shared" si="123"/>
        <v>0.38278146606972402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5.1063034188034209</v>
      </c>
      <c r="DO150" s="12">
        <f>IF('Données projet'!$A$166&gt;35,DO149+DN150-DW149,IF(A150&lt;'Données projet'!$A$166,$DL$205^A150,IF(A150='Données projet'!$A$166,'Données projet'!$B$166,DO149+DN150-DW149)))</f>
        <v>292.97329059829013</v>
      </c>
      <c r="DP150" s="17">
        <f>DO150*VLOOKUP('Données projet'!$B$14,Paramètres!$A$1:$I$89,3,0)*VLOOKUP('Données projet'!$B$14,Paramètres!$A$1:$I$89,5,0)</f>
        <v>292.50453333333292</v>
      </c>
      <c r="DQ150" s="13">
        <f t="shared" si="151"/>
        <v>69.602819314101566</v>
      </c>
      <c r="DR150" s="20">
        <f t="shared" si="124"/>
        <v>630.67030586094836</v>
      </c>
      <c r="DS150" s="59">
        <f t="shared" si="125"/>
        <v>924.00363919428173</v>
      </c>
      <c r="DT150" s="59">
        <f ca="1">AVERAGE(OFFSET($DS$3,0,0,'Données projet'!$E$14+1,1))-AVERAGE(OFFSET($H$3,0,0,'Données projet'!$E$14+1,1))</f>
        <v>245.06609107649069</v>
      </c>
      <c r="DU150" s="59">
        <f t="shared" si="152"/>
        <v>156.24531945456499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-2.5579538487363607E-13</v>
      </c>
      <c r="EK150" s="17">
        <f>EJ150*VLOOKUP('Données projet'!$B$15,Paramètres!$A$1:$I$89,3,0)*VLOOKUP('Données projet'!$B$15,Paramètres!$A$1:$I$89,5,0)</f>
        <v>-2.7932856028201057E-13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173.63857221119594</v>
      </c>
      <c r="EP150" s="59">
        <f t="shared" si="154"/>
        <v>52.373745617370105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199.58634493109349</v>
      </c>
      <c r="T151" s="59">
        <f t="shared" si="142"/>
        <v>288.66487031729008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0.48286141668492516</v>
      </c>
      <c r="AA151" s="21">
        <f>EXP(-LN(2)/25)*AA150+(1-EXP(-LN(2)/25))/(LN(2)/25)*Calculateur!V151*Calculateur!X151*VLOOKUP('Données projet'!$B$9,Paramètres!$A$1:$I$89,3,0)*0.475*44/12</f>
        <v>0.64996698530511476</v>
      </c>
      <c r="AB151" s="21">
        <f>EXP(-LN(2)/2)*AB150+(1-EXP(-LN(2)/2))/(LN(2)/2)*V151*Y151*VLOOKUP('Données projet'!$B$9,Paramètres!$A$1:$I$89,3,0)*0.475*44/12</f>
        <v>5.11726399693455E-18</v>
      </c>
      <c r="AC151" s="22">
        <f t="shared" si="111"/>
        <v>1.1328284019900399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606.99999999999989</v>
      </c>
      <c r="AJ151" s="13">
        <f>AI151*VLOOKUP('Données projet'!$B$10,Paramètres!$A$1:$I$89,3,0)*VLOOKUP('Données projet'!$B$10,Paramètres!$A$1:$I$89,5,0)</f>
        <v>362.98599999999999</v>
      </c>
      <c r="AK151" s="13">
        <f t="shared" si="143"/>
        <v>84.230767602863935</v>
      </c>
      <c r="AL151" s="20">
        <f t="shared" si="112"/>
        <v>778.90253690832139</v>
      </c>
      <c r="AM151" s="59">
        <f t="shared" si="113"/>
        <v>1072.2358702416548</v>
      </c>
      <c r="AN151" s="59">
        <f ca="1">AVERAGE(OFFSET($AM$3,0,0,'Données projet'!$E$10+1,1))-AVERAGE(OFFSET($H$3,0,0,'Données projet'!$E$10+1,1))</f>
        <v>395.40396173178527</v>
      </c>
      <c r="AO151" s="59">
        <f t="shared" si="144"/>
        <v>304.68075128568756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0.28974784329417408</v>
      </c>
      <c r="AV151" s="21">
        <f>EXP(-LN(2)/25)*AV150+(1-EXP(-LN(2)/25))/(LN(2)/25)*Calculateur!AQ151*Calculateur!AS151*VLOOKUP('Données projet'!$B$10,Paramètres!$A$1:$I$89,3,0)*0.475*44/12</f>
        <v>0.70937051374024163</v>
      </c>
      <c r="AW151" s="21">
        <f>EXP(-LN(2)/2)*AW150+(1-EXP(-LN(2)/2))/(LN(2)/2)*AQ151*AT151*VLOOKUP('Données projet'!$B$10,Paramètres!$A$1:$I$89,3,0)*0.475*44/12</f>
        <v>4.5113260821248988E-17</v>
      </c>
      <c r="AX151" s="21">
        <f t="shared" si="114"/>
        <v>0.99911835703441576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36.10000000000008</v>
      </c>
      <c r="BE151" s="13">
        <f>BD151*VLOOKUP('Données projet'!$B$11,Paramètres!$A$1:$I$89,3,0)*VLOOKUP('Données projet'!$B$11,Paramètres!$A$1:$I$89,5,0)</f>
        <v>31.536960000000075</v>
      </c>
      <c r="BF151" s="13">
        <f t="shared" si="145"/>
        <v>9.725440120377133</v>
      </c>
      <c r="BG151" s="20">
        <f t="shared" si="115"/>
        <v>71.865346876323642</v>
      </c>
      <c r="BH151" s="59">
        <f t="shared" si="116"/>
        <v>365.19868020965697</v>
      </c>
      <c r="BI151" s="59">
        <f ca="1">AVERAGE(OFFSET($BH$3,0,0,'Données projet'!$E$11+1,1))-AVERAGE(OFFSET($H$3,0,0,'Données projet'!$E$11+1,1))</f>
        <v>249.21292089724221</v>
      </c>
      <c r="BJ151" s="59">
        <f t="shared" si="146"/>
        <v>640.80644476065254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10.896937270592069</v>
      </c>
      <c r="BQ151" s="21">
        <f>EXP(-LN(2)/25)*BQ150+(1-EXP(-LN(2)/25))/(LN(2)/25)*Calculateur!BL151*Calculateur!BN151*VLOOKUP('Données projet'!$B$11,Paramètres!$A$1:$I$89,3,0)*0.475*44/12</f>
        <v>4.0667258248522771</v>
      </c>
      <c r="BR151" s="21">
        <f>EXP(-LN(2)/2)*BR150+(1-EXP(-LN(2)/2))/(LN(2)/2)*BL151*BO151*VLOOKUP('Données projet'!$B$11,Paramètres!$A$1:$I$89,3,0)*0.475*44/12</f>
        <v>1.4318328091455627E-16</v>
      </c>
      <c r="BS151" s="22">
        <f t="shared" si="117"/>
        <v>14.963663095444346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234.00000000000045</v>
      </c>
      <c r="BZ151" s="13">
        <f>BY151*VLOOKUP('Données projet'!$B$12,Paramètres!$A$1:$I$89,3,0)*VLOOKUP('Données projet'!$B$12,Paramètres!$A$1:$I$89,5,0)</f>
        <v>189.82080000000036</v>
      </c>
      <c r="CA151" s="13">
        <f t="shared" si="147"/>
        <v>47.500332100049881</v>
      </c>
      <c r="CB151" s="20">
        <f t="shared" si="118"/>
        <v>413.33430507425419</v>
      </c>
      <c r="CC151" s="59">
        <f t="shared" si="119"/>
        <v>706.66763840758745</v>
      </c>
      <c r="CD151" s="59">
        <f ca="1">AVERAGE(OFFSET($CC$3,0,0,'Données projet'!$E$12+1,1))-AVERAGE(OFFSET($H$3,0,0,'Données projet'!$E$12+1,1))</f>
        <v>192.4785660463869</v>
      </c>
      <c r="CE151" s="59">
        <f t="shared" si="148"/>
        <v>165.11095806515362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7.8245915169779301E-2</v>
      </c>
      <c r="CL151" s="21">
        <f>EXP(-LN(2)/25)*CL150+(1-EXP(-LN(2)/25))/(LN(2)/25)*Calculateur!CG151*Calculateur!CI151*VLOOKUP('Données projet'!$B$12,Paramètres!$A$1:$I$89,3,0)*0.475*44/12</f>
        <v>0.17913894455351542</v>
      </c>
      <c r="CM151" s="21">
        <f>EXP(-LN(2)/2)*CM150+(1-EXP(-LN(2)/2))/(LN(2)/2)*CG151*CJ151*VLOOKUP('Données projet'!$B$12,Paramètres!$A$1:$I$89,3,0)*0.475*44/12</f>
        <v>1.2702721496855602E-17</v>
      </c>
      <c r="CN151" s="22">
        <f t="shared" si="120"/>
        <v>0.25738485972329472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275.00000000000057</v>
      </c>
      <c r="CU151" s="17">
        <f>CT151*VLOOKUP('Données projet'!$B$13,Paramètres!$A$1:$I$89,3,0)*VLOOKUP('Données projet'!$B$13,Paramètres!$A$1:$I$89,5,0)</f>
        <v>231.66000000000051</v>
      </c>
      <c r="CV151" s="13">
        <f t="shared" si="149"/>
        <v>56.641461975682923</v>
      </c>
      <c r="CW151" s="20">
        <f t="shared" si="121"/>
        <v>502.12504627431525</v>
      </c>
      <c r="CX151" s="59">
        <f t="shared" si="122"/>
        <v>795.45837960764857</v>
      </c>
      <c r="CY151" s="59">
        <f ca="1">AVERAGE(OFFSET($CX$3,0,0,'Données projet'!$E$13+1,1))-AVERAGE(OFFSET($H$3,0,0,'Données projet'!$E$13+1,1))</f>
        <v>247.67539667223065</v>
      </c>
      <c r="CZ151" s="59">
        <f t="shared" si="150"/>
        <v>174.54442616983778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0.12381771191701339</v>
      </c>
      <c r="DG151" s="21">
        <f>EXP(-LN(2)/25)*DG150+(1-EXP(-LN(2)/25))/(LN(2)/25)*Calculateur!DB151*Calculateur!DD151*VLOOKUP('Données projet'!$B$13,Paramètres!$A$1:$I$89,3,0)*0.475*44/12</f>
        <v>0.24947354464995655</v>
      </c>
      <c r="DH151" s="21">
        <f>EXP(-LN(2)/2)*DH150+(1-EXP(-LN(2)/2))/(LN(2)/2)*DB151*DE151*VLOOKUP('Données projet'!$B$13,Paramètres!$A$1:$I$89,3,0)*0.475*44/12</f>
        <v>1.9973285700375645E-17</v>
      </c>
      <c r="DI151" s="22">
        <f t="shared" si="123"/>
        <v>0.37329125656696993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5.1063034188034209</v>
      </c>
      <c r="DO151" s="12">
        <f>IF('Données projet'!$A$166&gt;35,DO150+DN151-DW150,IF(A151&lt;'Données projet'!$A$166,$DL$205^A151,IF(A151='Données projet'!$A$166,'Données projet'!$B$166,DO150+DN151-DW150)))</f>
        <v>298.07959401709354</v>
      </c>
      <c r="DP151" s="17">
        <f>DO151*VLOOKUP('Données projet'!$B$14,Paramètres!$A$1:$I$89,3,0)*VLOOKUP('Données projet'!$B$14,Paramètres!$A$1:$I$89,5,0)</f>
        <v>297.60266666666621</v>
      </c>
      <c r="DQ151" s="13">
        <f t="shared" si="151"/>
        <v>70.673655890337713</v>
      </c>
      <c r="DR151" s="20">
        <f t="shared" si="124"/>
        <v>641.41459512011511</v>
      </c>
      <c r="DS151" s="59">
        <f t="shared" si="125"/>
        <v>934.74792845344837</v>
      </c>
      <c r="DT151" s="59">
        <f ca="1">AVERAGE(OFFSET($DS$3,0,0,'Données projet'!$E$14+1,1))-AVERAGE(OFFSET($H$3,0,0,'Données projet'!$E$14+1,1))</f>
        <v>245.06609107649069</v>
      </c>
      <c r="DU151" s="59">
        <f t="shared" si="152"/>
        <v>156.24531945456499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-2.5579538487363607E-13</v>
      </c>
      <c r="EK151" s="17">
        <f>EJ151*VLOOKUP('Données projet'!$B$15,Paramètres!$A$1:$I$89,3,0)*VLOOKUP('Données projet'!$B$15,Paramètres!$A$1:$I$89,5,0)</f>
        <v>-2.7932856028201057E-13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173.63857221119594</v>
      </c>
      <c r="EP151" s="59">
        <f t="shared" si="154"/>
        <v>52.373745617370105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199.58634493109349</v>
      </c>
      <c r="T152" s="59">
        <f t="shared" si="142"/>
        <v>288.66487031729008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0.47339279882011687</v>
      </c>
      <c r="AA152" s="21">
        <f>EXP(-LN(2)/25)*AA151+(1-EXP(-LN(2)/25))/(LN(2)/25)*Calculateur!V152*Calculateur!X152*VLOOKUP('Données projet'!$B$9,Paramètres!$A$1:$I$89,3,0)*0.475*44/12</f>
        <v>0.63219360391166812</v>
      </c>
      <c r="AB152" s="21">
        <f>EXP(-LN(2)/2)*AB151+(1-EXP(-LN(2)/2))/(LN(2)/2)*V152*Y152*VLOOKUP('Données projet'!$B$9,Paramètres!$A$1:$I$89,3,0)*0.475*44/12</f>
        <v>3.6184520733541965E-18</v>
      </c>
      <c r="AC152" s="22">
        <f t="shared" si="111"/>
        <v>1.105586402731785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606.99999999999989</v>
      </c>
      <c r="AJ152" s="13">
        <f>AI152*VLOOKUP('Données projet'!$B$10,Paramètres!$A$1:$I$89,3,0)*VLOOKUP('Données projet'!$B$10,Paramètres!$A$1:$I$89,5,0)</f>
        <v>362.98599999999999</v>
      </c>
      <c r="AK152" s="13">
        <f t="shared" si="143"/>
        <v>84.230767602863935</v>
      </c>
      <c r="AL152" s="20">
        <f t="shared" si="112"/>
        <v>778.90253690832139</v>
      </c>
      <c r="AM152" s="59">
        <f t="shared" si="113"/>
        <v>1072.2358702416548</v>
      </c>
      <c r="AN152" s="59">
        <f ca="1">AVERAGE(OFFSET($AM$3,0,0,'Données projet'!$E$10+1,1))-AVERAGE(OFFSET($H$3,0,0,'Données projet'!$E$10+1,1))</f>
        <v>395.40396173178527</v>
      </c>
      <c r="AO152" s="59">
        <f t="shared" si="144"/>
        <v>304.68075128568756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0.28406606481590924</v>
      </c>
      <c r="AV152" s="21">
        <f>EXP(-LN(2)/25)*AV151+(1-EXP(-LN(2)/25))/(LN(2)/25)*Calculateur!AQ152*Calculateur!AS152*VLOOKUP('Données projet'!$B$10,Paramètres!$A$1:$I$89,3,0)*0.475*44/12</f>
        <v>0.68997273973784068</v>
      </c>
      <c r="AW152" s="21">
        <f>EXP(-LN(2)/2)*AW151+(1-EXP(-LN(2)/2))/(LN(2)/2)*AQ152*AT152*VLOOKUP('Données projet'!$B$10,Paramètres!$A$1:$I$89,3,0)*0.475*44/12</f>
        <v>3.1899892648142555E-17</v>
      </c>
      <c r="AX152" s="21">
        <f t="shared" si="114"/>
        <v>0.97403880455374992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36.10000000000008</v>
      </c>
      <c r="BE152" s="13">
        <f>BD152*VLOOKUP('Données projet'!$B$11,Paramètres!$A$1:$I$89,3,0)*VLOOKUP('Données projet'!$B$11,Paramètres!$A$1:$I$89,5,0)</f>
        <v>31.536960000000075</v>
      </c>
      <c r="BF152" s="13">
        <f t="shared" si="145"/>
        <v>9.725440120377133</v>
      </c>
      <c r="BG152" s="20">
        <f t="shared" si="115"/>
        <v>71.865346876323642</v>
      </c>
      <c r="BH152" s="59">
        <f t="shared" si="116"/>
        <v>365.19868020965697</v>
      </c>
      <c r="BI152" s="59">
        <f ca="1">AVERAGE(OFFSET($BH$3,0,0,'Données projet'!$E$11+1,1))-AVERAGE(OFFSET($H$3,0,0,'Données projet'!$E$11+1,1))</f>
        <v>249.21292089724221</v>
      </c>
      <c r="BJ152" s="59">
        <f t="shared" si="146"/>
        <v>640.80644476065254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10.68325497719121</v>
      </c>
      <c r="BQ152" s="21">
        <f>EXP(-LN(2)/25)*BQ151+(1-EXP(-LN(2)/25))/(LN(2)/25)*Calculateur!BL152*Calculateur!BN152*VLOOKUP('Données projet'!$B$11,Paramètres!$A$1:$I$89,3,0)*0.475*44/12</f>
        <v>3.9555209933118749</v>
      </c>
      <c r="BR152" s="21">
        <f>EXP(-LN(2)/2)*BR151+(1-EXP(-LN(2)/2))/(LN(2)/2)*BL152*BO152*VLOOKUP('Données projet'!$B$11,Paramètres!$A$1:$I$89,3,0)*0.475*44/12</f>
        <v>1.0124586888722111E-16</v>
      </c>
      <c r="BS152" s="22">
        <f t="shared" si="117"/>
        <v>14.638775970503085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234.00000000000045</v>
      </c>
      <c r="BZ152" s="13">
        <f>BY152*VLOOKUP('Données projet'!$B$12,Paramètres!$A$1:$I$89,3,0)*VLOOKUP('Données projet'!$B$12,Paramètres!$A$1:$I$89,5,0)</f>
        <v>189.82080000000036</v>
      </c>
      <c r="CA152" s="13">
        <f t="shared" si="147"/>
        <v>47.500332100049881</v>
      </c>
      <c r="CB152" s="20">
        <f t="shared" si="118"/>
        <v>413.33430507425419</v>
      </c>
      <c r="CC152" s="59">
        <f t="shared" si="119"/>
        <v>706.66763840758745</v>
      </c>
      <c r="CD152" s="59">
        <f ca="1">AVERAGE(OFFSET($CC$3,0,0,'Données projet'!$E$12+1,1))-AVERAGE(OFFSET($H$3,0,0,'Données projet'!$E$12+1,1))</f>
        <v>192.4785660463869</v>
      </c>
      <c r="CE152" s="59">
        <f t="shared" si="148"/>
        <v>165.11095806515362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7.6711560498595704E-2</v>
      </c>
      <c r="CL152" s="21">
        <f>EXP(-LN(2)/25)*CL151+(1-EXP(-LN(2)/25))/(LN(2)/25)*Calculateur!CG152*Calculateur!CI152*VLOOKUP('Données projet'!$B$12,Paramètres!$A$1:$I$89,3,0)*0.475*44/12</f>
        <v>0.17424038069419187</v>
      </c>
      <c r="CM152" s="21">
        <f>EXP(-LN(2)/2)*CM151+(1-EXP(-LN(2)/2))/(LN(2)/2)*CG152*CJ152*VLOOKUP('Données projet'!$B$12,Paramètres!$A$1:$I$89,3,0)*0.475*44/12</f>
        <v>8.9821805099507278E-18</v>
      </c>
      <c r="CN152" s="22">
        <f t="shared" si="120"/>
        <v>0.25095194119278758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275.00000000000057</v>
      </c>
      <c r="CU152" s="17">
        <f>CT152*VLOOKUP('Données projet'!$B$13,Paramètres!$A$1:$I$89,3,0)*VLOOKUP('Données projet'!$B$13,Paramètres!$A$1:$I$89,5,0)</f>
        <v>231.66000000000051</v>
      </c>
      <c r="CV152" s="13">
        <f t="shared" si="149"/>
        <v>56.641461975682923</v>
      </c>
      <c r="CW152" s="20">
        <f t="shared" si="121"/>
        <v>502.12504627431525</v>
      </c>
      <c r="CX152" s="59">
        <f t="shared" si="122"/>
        <v>795.45837960764857</v>
      </c>
      <c r="CY152" s="59">
        <f ca="1">AVERAGE(OFFSET($CX$3,0,0,'Données projet'!$E$13+1,1))-AVERAGE(OFFSET($H$3,0,0,'Données projet'!$E$13+1,1))</f>
        <v>247.67539667223065</v>
      </c>
      <c r="CZ152" s="59">
        <f t="shared" si="150"/>
        <v>174.54442616983778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0.12138972210766792</v>
      </c>
      <c r="DG152" s="21">
        <f>EXP(-LN(2)/25)*DG151+(1-EXP(-LN(2)/25))/(LN(2)/25)*Calculateur!DB152*Calculateur!DD152*VLOOKUP('Données projet'!$B$13,Paramètres!$A$1:$I$89,3,0)*0.475*44/12</f>
        <v>0.24265167745225996</v>
      </c>
      <c r="DH152" s="21">
        <f>EXP(-LN(2)/2)*DH151+(1-EXP(-LN(2)/2))/(LN(2)/2)*DB152*DE152*VLOOKUP('Données projet'!$B$13,Paramètres!$A$1:$I$89,3,0)*0.475*44/12</f>
        <v>1.412324576131192E-17</v>
      </c>
      <c r="DI152" s="22">
        <f t="shared" si="123"/>
        <v>0.36404139955992787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303.18589743589746</v>
      </c>
      <c r="DM152" s="12">
        <f>VLOOKUP(A152,'Données projet'!$A$165:$I$185,9,0)</f>
        <v>5.1063034188034209</v>
      </c>
      <c r="DN152" s="12">
        <f t="array" ref="DN152">INDEX(DM:DM,MIN(IF(ISNUMBER(DM152:DM348),ROW(DM152:DM348),"")))</f>
        <v>5.1063034188034209</v>
      </c>
      <c r="DO152" s="12">
        <f>IF('Données projet'!$A$166&gt;35,DO151+DN152-DW151,IF(A152&lt;'Données projet'!$A$166,$DL$205^A152,IF(A152='Données projet'!$A$166,'Données projet'!$B$166,DO151+DN152-DW151)))</f>
        <v>303.18589743589695</v>
      </c>
      <c r="DP152" s="17">
        <f>DO152*VLOOKUP('Données projet'!$B$14,Paramètres!$A$1:$I$89,3,0)*VLOOKUP('Données projet'!$B$14,Paramètres!$A$1:$I$89,5,0)</f>
        <v>302.70079999999956</v>
      </c>
      <c r="DQ152" s="13">
        <f t="shared" si="151"/>
        <v>71.742359224779321</v>
      </c>
      <c r="DR152" s="20">
        <f t="shared" si="124"/>
        <v>652.1551689831565</v>
      </c>
      <c r="DS152" s="59">
        <f t="shared" si="125"/>
        <v>945.48850231648976</v>
      </c>
      <c r="DT152" s="59">
        <f ca="1">AVERAGE(OFFSET($DS$3,0,0,'Données projet'!$E$14+1,1))-AVERAGE(OFFSET($H$3,0,0,'Données projet'!$E$14+1,1))</f>
        <v>245.06609107649069</v>
      </c>
      <c r="DU152" s="59">
        <f t="shared" si="152"/>
        <v>156.24531945456499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120.50641025641026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-2.5579538487363607E-13</v>
      </c>
      <c r="EK152" s="17">
        <f>EJ152*VLOOKUP('Données projet'!$B$15,Paramètres!$A$1:$I$89,3,0)*VLOOKUP('Données projet'!$B$15,Paramètres!$A$1:$I$89,5,0)</f>
        <v>-2.7932856028201057E-13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173.63857221119594</v>
      </c>
      <c r="EP152" s="59">
        <f t="shared" si="154"/>
        <v>52.373745617370105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199.58634493109349</v>
      </c>
      <c r="T153" s="59">
        <f t="shared" si="142"/>
        <v>288.66487031729008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0.46410985477635086</v>
      </c>
      <c r="AA153" s="21">
        <f>EXP(-LN(2)/25)*AA152+(1-EXP(-LN(2)/25))/(LN(2)/25)*Calculateur!V153*Calculateur!X153*VLOOKUP('Données projet'!$B$9,Paramètres!$A$1:$I$89,3,0)*0.475*44/12</f>
        <v>0.61490623656708687</v>
      </c>
      <c r="AB153" s="21">
        <f>EXP(-LN(2)/2)*AB152+(1-EXP(-LN(2)/2))/(LN(2)/2)*V153*Y153*VLOOKUP('Données projet'!$B$9,Paramètres!$A$1:$I$89,3,0)*0.475*44/12</f>
        <v>2.558631998467275E-18</v>
      </c>
      <c r="AC153" s="22">
        <f t="shared" si="111"/>
        <v>1.0790160913434377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606.99999999999989</v>
      </c>
      <c r="AJ153" s="13">
        <f>AI153*VLOOKUP('Données projet'!$B$10,Paramètres!$A$1:$I$89,3,0)*VLOOKUP('Données projet'!$B$10,Paramètres!$A$1:$I$89,5,0)</f>
        <v>362.98599999999999</v>
      </c>
      <c r="AK153" s="13">
        <f t="shared" si="143"/>
        <v>84.230767602863935</v>
      </c>
      <c r="AL153" s="20">
        <f t="shared" si="112"/>
        <v>778.90253690832139</v>
      </c>
      <c r="AM153" s="59">
        <f t="shared" si="113"/>
        <v>1072.2358702416548</v>
      </c>
      <c r="AN153" s="59">
        <f ca="1">AVERAGE(OFFSET($AM$3,0,0,'Données projet'!$E$10+1,1))-AVERAGE(OFFSET($H$3,0,0,'Données projet'!$E$10+1,1))</f>
        <v>395.40396173178527</v>
      </c>
      <c r="AO153" s="59">
        <f t="shared" si="144"/>
        <v>304.68075128568756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0.2784957025480605</v>
      </c>
      <c r="AV153" s="21">
        <f>EXP(-LN(2)/25)*AV152+(1-EXP(-LN(2)/25))/(LN(2)/25)*Calculateur!AQ153*Calculateur!AS153*VLOOKUP('Données projet'!$B$10,Paramètres!$A$1:$I$89,3,0)*0.475*44/12</f>
        <v>0.67110539888562004</v>
      </c>
      <c r="AW153" s="21">
        <f>EXP(-LN(2)/2)*AW152+(1-EXP(-LN(2)/2))/(LN(2)/2)*AQ153*AT153*VLOOKUP('Données projet'!$B$10,Paramètres!$A$1:$I$89,3,0)*0.475*44/12</f>
        <v>2.2556630410624494E-17</v>
      </c>
      <c r="AX153" s="21">
        <f t="shared" si="114"/>
        <v>0.94960110143368048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36.10000000000008</v>
      </c>
      <c r="BE153" s="13">
        <f>BD153*VLOOKUP('Données projet'!$B$11,Paramètres!$A$1:$I$89,3,0)*VLOOKUP('Données projet'!$B$11,Paramètres!$A$1:$I$89,5,0)</f>
        <v>31.536960000000075</v>
      </c>
      <c r="BF153" s="13">
        <f t="shared" si="145"/>
        <v>9.725440120377133</v>
      </c>
      <c r="BG153" s="20">
        <f t="shared" si="115"/>
        <v>71.865346876323642</v>
      </c>
      <c r="BH153" s="59">
        <f t="shared" si="116"/>
        <v>365.19868020965697</v>
      </c>
      <c r="BI153" s="59">
        <f ca="1">AVERAGE(OFFSET($BH$3,0,0,'Données projet'!$E$11+1,1))-AVERAGE(OFFSET($H$3,0,0,'Données projet'!$E$11+1,1))</f>
        <v>249.21292089724221</v>
      </c>
      <c r="BJ153" s="59">
        <f t="shared" si="146"/>
        <v>640.80644476065254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10.473762863230611</v>
      </c>
      <c r="BQ153" s="21">
        <f>EXP(-LN(2)/25)*BQ152+(1-EXP(-LN(2)/25))/(LN(2)/25)*Calculateur!BL153*Calculateur!BN153*VLOOKUP('Données projet'!$B$11,Paramètres!$A$1:$I$89,3,0)*0.475*44/12</f>
        <v>3.8473570637379533</v>
      </c>
      <c r="BR153" s="21">
        <f>EXP(-LN(2)/2)*BR152+(1-EXP(-LN(2)/2))/(LN(2)/2)*BL153*BO153*VLOOKUP('Données projet'!$B$11,Paramètres!$A$1:$I$89,3,0)*0.475*44/12</f>
        <v>7.1591640457278134E-17</v>
      </c>
      <c r="BS153" s="22">
        <f t="shared" si="117"/>
        <v>14.321119926968564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234.00000000000045</v>
      </c>
      <c r="BZ153" s="13">
        <f>BY153*VLOOKUP('Données projet'!$B$12,Paramètres!$A$1:$I$89,3,0)*VLOOKUP('Données projet'!$B$12,Paramètres!$A$1:$I$89,5,0)</f>
        <v>189.82080000000036</v>
      </c>
      <c r="CA153" s="13">
        <f t="shared" si="147"/>
        <v>47.500332100049881</v>
      </c>
      <c r="CB153" s="20">
        <f t="shared" si="118"/>
        <v>413.33430507425419</v>
      </c>
      <c r="CC153" s="59">
        <f t="shared" si="119"/>
        <v>706.66763840758745</v>
      </c>
      <c r="CD153" s="59">
        <f ca="1">AVERAGE(OFFSET($CC$3,0,0,'Données projet'!$E$12+1,1))-AVERAGE(OFFSET($H$3,0,0,'Données projet'!$E$12+1,1))</f>
        <v>192.4785660463869</v>
      </c>
      <c r="CE153" s="59">
        <f t="shared" si="148"/>
        <v>165.11095806515362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7.520729358665007E-2</v>
      </c>
      <c r="CL153" s="21">
        <f>EXP(-LN(2)/25)*CL152+(1-EXP(-LN(2)/25))/(LN(2)/25)*Calculateur!CG153*Calculateur!CI153*VLOOKUP('Données projet'!$B$12,Paramètres!$A$1:$I$89,3,0)*0.475*44/12</f>
        <v>0.16947576832120581</v>
      </c>
      <c r="CM153" s="21">
        <f>EXP(-LN(2)/2)*CM152+(1-EXP(-LN(2)/2))/(LN(2)/2)*CG153*CJ153*VLOOKUP('Données projet'!$B$12,Paramètres!$A$1:$I$89,3,0)*0.475*44/12</f>
        <v>6.3513607484278012E-18</v>
      </c>
      <c r="CN153" s="22">
        <f t="shared" si="120"/>
        <v>0.24468306190785588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275.00000000000057</v>
      </c>
      <c r="CU153" s="17">
        <f>CT153*VLOOKUP('Données projet'!$B$13,Paramètres!$A$1:$I$89,3,0)*VLOOKUP('Données projet'!$B$13,Paramètres!$A$1:$I$89,5,0)</f>
        <v>231.66000000000051</v>
      </c>
      <c r="CV153" s="13">
        <f t="shared" si="149"/>
        <v>56.641461975682923</v>
      </c>
      <c r="CW153" s="20">
        <f t="shared" si="121"/>
        <v>502.12504627431525</v>
      </c>
      <c r="CX153" s="59">
        <f t="shared" si="122"/>
        <v>795.45837960764857</v>
      </c>
      <c r="CY153" s="59">
        <f ca="1">AVERAGE(OFFSET($CX$3,0,0,'Données projet'!$E$13+1,1))-AVERAGE(OFFSET($H$3,0,0,'Données projet'!$E$13+1,1))</f>
        <v>247.67539667223065</v>
      </c>
      <c r="CZ153" s="59">
        <f t="shared" si="150"/>
        <v>174.54442616983778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0.11900934369755616</v>
      </c>
      <c r="DG153" s="21">
        <f>EXP(-LN(2)/25)*DG152+(1-EXP(-LN(2)/25))/(LN(2)/25)*Calculateur!DB153*Calculateur!DD153*VLOOKUP('Données projet'!$B$13,Paramètres!$A$1:$I$89,3,0)*0.475*44/12</f>
        <v>0.23601635457183079</v>
      </c>
      <c r="DH153" s="21">
        <f>EXP(-LN(2)/2)*DH152+(1-EXP(-LN(2)/2))/(LN(2)/2)*DB153*DE153*VLOOKUP('Données projet'!$B$13,Paramètres!$A$1:$I$89,3,0)*0.475*44/12</f>
        <v>9.9866428501878225E-18</v>
      </c>
      <c r="DI153" s="22">
        <f t="shared" si="123"/>
        <v>0.35502569826938696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3.0945512820512846</v>
      </c>
      <c r="DO153" s="12">
        <f>IF('Données projet'!$A$166&gt;35,DO152+DN153-DW152,IF(A153&lt;'Données projet'!$A$166,$DL$205^A153,IF(A153='Données projet'!$A$166,'Données projet'!$B$166,DO152+DN153-DW152)))</f>
        <v>185.77403846153794</v>
      </c>
      <c r="DP153" s="17">
        <f>DO153*VLOOKUP('Données projet'!$B$14,Paramètres!$A$1:$I$89,3,0)*VLOOKUP('Données projet'!$B$14,Paramètres!$A$1:$I$89,5,0)</f>
        <v>185.47679999999949</v>
      </c>
      <c r="DQ153" s="13">
        <f t="shared" si="151"/>
        <v>46.538539572121756</v>
      </c>
      <c r="DR153" s="20">
        <f t="shared" si="124"/>
        <v>404.09338308811112</v>
      </c>
      <c r="DS153" s="59">
        <f t="shared" si="125"/>
        <v>697.42671642144444</v>
      </c>
      <c r="DT153" s="59">
        <f ca="1">AVERAGE(OFFSET($DS$3,0,0,'Données projet'!$E$14+1,1))-AVERAGE(OFFSET($H$3,0,0,'Données projet'!$E$14+1,1))</f>
        <v>245.06609107649069</v>
      </c>
      <c r="DU153" s="59">
        <f t="shared" si="152"/>
        <v>156.24531945456499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-2.5579538487363607E-13</v>
      </c>
      <c r="EK153" s="17">
        <f>EJ153*VLOOKUP('Données projet'!$B$15,Paramètres!$A$1:$I$89,3,0)*VLOOKUP('Données projet'!$B$15,Paramètres!$A$1:$I$89,5,0)</f>
        <v>-2.7932856028201057E-13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173.63857221119594</v>
      </c>
      <c r="EP153" s="59">
        <f t="shared" si="154"/>
        <v>52.373745617370105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199.58634493109349</v>
      </c>
      <c r="T154" s="59">
        <f t="shared" si="142"/>
        <v>288.66487031729008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0.45500894360324629</v>
      </c>
      <c r="AA154" s="21">
        <f>EXP(-LN(2)/25)*AA153+(1-EXP(-LN(2)/25))/(LN(2)/25)*Calculateur!V154*Calculateur!X154*VLOOKUP('Données projet'!$B$9,Paramètres!$A$1:$I$89,3,0)*0.475*44/12</f>
        <v>0.59809159319164629</v>
      </c>
      <c r="AB154" s="21">
        <f>EXP(-LN(2)/2)*AB153+(1-EXP(-LN(2)/2))/(LN(2)/2)*V154*Y154*VLOOKUP('Données projet'!$B$9,Paramètres!$A$1:$I$89,3,0)*0.475*44/12</f>
        <v>1.8092260366770982E-18</v>
      </c>
      <c r="AC154" s="22">
        <f t="shared" ref="AC154:AC203" si="163">SUM(Z154:AB154)</f>
        <v>1.0531005367948927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606.99999999999989</v>
      </c>
      <c r="AJ154" s="13">
        <f>AI154*VLOOKUP('Données projet'!$B$10,Paramètres!$A$1:$I$89,3,0)*VLOOKUP('Données projet'!$B$10,Paramètres!$A$1:$I$89,5,0)</f>
        <v>362.98599999999999</v>
      </c>
      <c r="AK154" s="13">
        <f t="shared" ref="AK154:AK203" si="164">EXP(-1.0587+0.8836*LN(AJ154)+0.284)</f>
        <v>84.230767602863935</v>
      </c>
      <c r="AL154" s="20">
        <f t="shared" ref="AL154:AL203" si="165">(AJ154+AK154)*0.475*44/12</f>
        <v>778.90253690832139</v>
      </c>
      <c r="AM154" s="59">
        <f t="shared" si="113"/>
        <v>1072.2358702416548</v>
      </c>
      <c r="AN154" s="59">
        <f ca="1">AVERAGE(OFFSET($AM$3,0,0,'Données projet'!$E$10+1,1))-AVERAGE(OFFSET($H$3,0,0,'Données projet'!$E$10+1,1))</f>
        <v>395.40396173178527</v>
      </c>
      <c r="AO154" s="59">
        <f t="shared" si="144"/>
        <v>304.68075128568756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0.27303457168669876</v>
      </c>
      <c r="AV154" s="21">
        <f>EXP(-LN(2)/25)*AV153+(1-EXP(-LN(2)/25))/(LN(2)/25)*Calculateur!AQ154*Calculateur!AS154*VLOOKUP('Données projet'!$B$10,Paramètres!$A$1:$I$89,3,0)*0.475*44/12</f>
        <v>0.65275398646119365</v>
      </c>
      <c r="AW154" s="21">
        <f>EXP(-LN(2)/2)*AW153+(1-EXP(-LN(2)/2))/(LN(2)/2)*AQ154*AT154*VLOOKUP('Données projet'!$B$10,Paramètres!$A$1:$I$89,3,0)*0.475*44/12</f>
        <v>1.5949946324071278E-17</v>
      </c>
      <c r="AX154" s="21">
        <f t="shared" ref="AX154:AX203" si="166">SUM(AU154:AW154)</f>
        <v>0.9257885581478924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36.10000000000008</v>
      </c>
      <c r="BE154" s="13">
        <f>BD154*VLOOKUP('Données projet'!$B$11,Paramètres!$A$1:$I$89,3,0)*VLOOKUP('Données projet'!$B$11,Paramètres!$A$1:$I$89,5,0)</f>
        <v>31.536960000000075</v>
      </c>
      <c r="BF154" s="13">
        <f t="shared" ref="BF154:BF203" si="167">EXP(-1.0587+0.8836*LN(BE154)+0.284)</f>
        <v>9.725440120377133</v>
      </c>
      <c r="BG154" s="20">
        <f t="shared" ref="BG154:BG203" si="168">(BE154+BF154)*0.475*44/12</f>
        <v>71.865346876323642</v>
      </c>
      <c r="BH154" s="59">
        <f t="shared" si="116"/>
        <v>365.19868020965697</v>
      </c>
      <c r="BI154" s="59">
        <f ca="1">AVERAGE(OFFSET($BH$3,0,0,'Données projet'!$E$11+1,1))-AVERAGE(OFFSET($H$3,0,0,'Données projet'!$E$11+1,1))</f>
        <v>249.21292089724221</v>
      </c>
      <c r="BJ154" s="59">
        <f t="shared" si="146"/>
        <v>640.80644476065254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10.268378761847208</v>
      </c>
      <c r="BQ154" s="21">
        <f>EXP(-LN(2)/25)*BQ153+(1-EXP(-LN(2)/25))/(LN(2)/25)*Calculateur!BL154*Calculateur!BN154*VLOOKUP('Données projet'!$B$11,Paramètres!$A$1:$I$89,3,0)*0.475*44/12</f>
        <v>3.7421508825063241</v>
      </c>
      <c r="BR154" s="21">
        <f>EXP(-LN(2)/2)*BR153+(1-EXP(-LN(2)/2))/(LN(2)/2)*BL154*BO154*VLOOKUP('Données projet'!$B$11,Paramètres!$A$1:$I$89,3,0)*0.475*44/12</f>
        <v>5.0622934443610554E-17</v>
      </c>
      <c r="BS154" s="22">
        <f t="shared" ref="BS154:BS203" si="169">SUM(BP154:BR154)</f>
        <v>14.010529644353532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234.00000000000045</v>
      </c>
      <c r="BZ154" s="13">
        <f>BY154*VLOOKUP('Données projet'!$B$12,Paramètres!$A$1:$I$89,3,0)*VLOOKUP('Données projet'!$B$12,Paramètres!$A$1:$I$89,5,0)</f>
        <v>189.82080000000036</v>
      </c>
      <c r="CA154" s="13">
        <f t="shared" ref="CA154:CA203" si="170">EXP(-1.0587+0.8836*LN(BZ154)+0.284)</f>
        <v>47.500332100049881</v>
      </c>
      <c r="CB154" s="20">
        <f t="shared" ref="CB154:CB203" si="171">(BZ154+CA154)*0.475*44/12</f>
        <v>413.33430507425419</v>
      </c>
      <c r="CC154" s="59">
        <f t="shared" si="119"/>
        <v>706.66763840758745</v>
      </c>
      <c r="CD154" s="59">
        <f ca="1">AVERAGE(OFFSET($CC$3,0,0,'Données projet'!$E$12+1,1))-AVERAGE(OFFSET($H$3,0,0,'Données projet'!$E$12+1,1))</f>
        <v>192.4785660463869</v>
      </c>
      <c r="CE154" s="59">
        <f t="shared" si="148"/>
        <v>165.11095806515362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7.3732524431335475E-2</v>
      </c>
      <c r="CL154" s="21">
        <f>EXP(-LN(2)/25)*CL153+(1-EXP(-LN(2)/25))/(LN(2)/25)*Calculateur!CG154*Calculateur!CI154*VLOOKUP('Données projet'!$B$12,Paramètres!$A$1:$I$89,3,0)*0.475*44/12</f>
        <v>0.16484144452411911</v>
      </c>
      <c r="CM154" s="21">
        <f>EXP(-LN(2)/2)*CM153+(1-EXP(-LN(2)/2))/(LN(2)/2)*CG154*CJ154*VLOOKUP('Données projet'!$B$12,Paramètres!$A$1:$I$89,3,0)*0.475*44/12</f>
        <v>4.4910902549753639E-18</v>
      </c>
      <c r="CN154" s="22">
        <f t="shared" ref="CN154:CN203" si="172">SUM(CK154:CM154)</f>
        <v>0.23857396895545457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275.00000000000057</v>
      </c>
      <c r="CU154" s="17">
        <f>CT154*VLOOKUP('Données projet'!$B$13,Paramètres!$A$1:$I$89,3,0)*VLOOKUP('Données projet'!$B$13,Paramètres!$A$1:$I$89,5,0)</f>
        <v>231.66000000000051</v>
      </c>
      <c r="CV154" s="13">
        <f t="shared" ref="CV154:CV203" si="173">EXP(-1.0587+0.8836*LN(CU154)+0.284)</f>
        <v>56.641461975682923</v>
      </c>
      <c r="CW154" s="20">
        <f t="shared" ref="CW154:CW203" si="174">(CU154+CV154)*0.475*44/12</f>
        <v>502.12504627431525</v>
      </c>
      <c r="CX154" s="59">
        <f t="shared" si="122"/>
        <v>795.45837960764857</v>
      </c>
      <c r="CY154" s="59">
        <f ca="1">AVERAGE(OFFSET($CX$3,0,0,'Données projet'!$E$13+1,1))-AVERAGE(OFFSET($H$3,0,0,'Données projet'!$E$13+1,1))</f>
        <v>247.67539667223065</v>
      </c>
      <c r="CZ154" s="59">
        <f t="shared" si="150"/>
        <v>174.54442616983778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0.11667564305617921</v>
      </c>
      <c r="DG154" s="21">
        <f>EXP(-LN(2)/25)*DG153+(1-EXP(-LN(2)/25))/(LN(2)/25)*Calculateur!DB154*Calculateur!DD154*VLOOKUP('Données projet'!$B$13,Paramètres!$A$1:$I$89,3,0)*0.475*44/12</f>
        <v>0.22956247494450341</v>
      </c>
      <c r="DH154" s="21">
        <f>EXP(-LN(2)/2)*DH153+(1-EXP(-LN(2)/2))/(LN(2)/2)*DB154*DE154*VLOOKUP('Données projet'!$B$13,Paramètres!$A$1:$I$89,3,0)*0.475*44/12</f>
        <v>7.0616228806559598E-18</v>
      </c>
      <c r="DI154" s="22">
        <f t="shared" ref="DI154:DI203" si="175">SUM(DF154:DH154)</f>
        <v>0.3462381180006826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3.0945512820512846</v>
      </c>
      <c r="DO154" s="12">
        <f>IF('Données projet'!$A$166&gt;35,DO153+DN154-DW153,IF(A154&lt;'Données projet'!$A$166,$DL$205^A154,IF(A154='Données projet'!$A$166,'Données projet'!$B$166,DO153+DN154-DW153)))</f>
        <v>188.86858974358921</v>
      </c>
      <c r="DP154" s="17">
        <f>DO154*VLOOKUP('Données projet'!$B$14,Paramètres!$A$1:$I$89,3,0)*VLOOKUP('Données projet'!$B$14,Paramètres!$A$1:$I$89,5,0)</f>
        <v>188.56639999999948</v>
      </c>
      <c r="DQ154" s="13">
        <f t="shared" ref="DQ154:DQ203" si="176">EXP(-1.0587+0.8836*LN(DP154)+0.284)</f>
        <v>47.222864670406764</v>
      </c>
      <c r="DR154" s="20">
        <f t="shared" ref="DR154:DR203" si="177">(DP154+DQ154)*0.475*44/12</f>
        <v>410.66630263429084</v>
      </c>
      <c r="DS154" s="59">
        <f t="shared" si="125"/>
        <v>703.99963596762416</v>
      </c>
      <c r="DT154" s="59">
        <f ca="1">AVERAGE(OFFSET($DS$3,0,0,'Données projet'!$E$14+1,1))-AVERAGE(OFFSET($H$3,0,0,'Données projet'!$E$14+1,1))</f>
        <v>245.06609107649069</v>
      </c>
      <c r="DU154" s="59">
        <f t="shared" si="152"/>
        <v>156.24531945456499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-2.5579538487363607E-13</v>
      </c>
      <c r="EK154" s="17">
        <f>EJ154*VLOOKUP('Données projet'!$B$15,Paramètres!$A$1:$I$89,3,0)*VLOOKUP('Données projet'!$B$15,Paramètres!$A$1:$I$89,5,0)</f>
        <v>-2.7932856028201057E-13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173.63857221119594</v>
      </c>
      <c r="EP154" s="59">
        <f t="shared" si="154"/>
        <v>52.373745617370105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199.58634493109349</v>
      </c>
      <c r="T155" s="59">
        <f t="shared" si="142"/>
        <v>288.66487031729008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0.44608649574723863</v>
      </c>
      <c r="AA155" s="21">
        <f>EXP(-LN(2)/25)*AA154+(1-EXP(-LN(2)/25))/(LN(2)/25)*Calculateur!V155*Calculateur!X155*VLOOKUP('Données projet'!$B$9,Paramètres!$A$1:$I$89,3,0)*0.475*44/12</f>
        <v>0.58173674712355083</v>
      </c>
      <c r="AB155" s="21">
        <f>EXP(-LN(2)/2)*AB154+(1-EXP(-LN(2)/2))/(LN(2)/2)*V155*Y155*VLOOKUP('Données projet'!$B$9,Paramètres!$A$1:$I$89,3,0)*0.475*44/12</f>
        <v>1.2793159992336375E-18</v>
      </c>
      <c r="AC155" s="22">
        <f t="shared" si="163"/>
        <v>1.0278232428707894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606.99999999999989</v>
      </c>
      <c r="AJ155" s="13">
        <f>AI155*VLOOKUP('Données projet'!$B$10,Paramètres!$A$1:$I$89,3,0)*VLOOKUP('Données projet'!$B$10,Paramètres!$A$1:$I$89,5,0)</f>
        <v>362.98599999999999</v>
      </c>
      <c r="AK155" s="13">
        <f t="shared" si="164"/>
        <v>84.230767602863935</v>
      </c>
      <c r="AL155" s="20">
        <f t="shared" si="165"/>
        <v>778.90253690832139</v>
      </c>
      <c r="AM155" s="59">
        <f t="shared" si="113"/>
        <v>1072.2358702416548</v>
      </c>
      <c r="AN155" s="59">
        <f ca="1">AVERAGE(OFFSET($AM$3,0,0,'Données projet'!$E$10+1,1))-AVERAGE(OFFSET($H$3,0,0,'Données projet'!$E$10+1,1))</f>
        <v>395.40396173178527</v>
      </c>
      <c r="AO155" s="59">
        <f t="shared" si="144"/>
        <v>304.68075128568756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0.26768053027056737</v>
      </c>
      <c r="AV155" s="21">
        <f>EXP(-LN(2)/25)*AV154+(1-EXP(-LN(2)/25))/(LN(2)/25)*Calculateur!AQ155*Calculateur!AS155*VLOOKUP('Données projet'!$B$10,Paramètres!$A$1:$I$89,3,0)*0.475*44/12</f>
        <v>0.63490439437457202</v>
      </c>
      <c r="AW155" s="21">
        <f>EXP(-LN(2)/2)*AW154+(1-EXP(-LN(2)/2))/(LN(2)/2)*AQ155*AT155*VLOOKUP('Données projet'!$B$10,Paramètres!$A$1:$I$89,3,0)*0.475*44/12</f>
        <v>1.1278315205312247E-17</v>
      </c>
      <c r="AX155" s="21">
        <f t="shared" si="166"/>
        <v>0.9025849246451394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36.10000000000008</v>
      </c>
      <c r="BE155" s="13">
        <f>BD155*VLOOKUP('Données projet'!$B$11,Paramètres!$A$1:$I$89,3,0)*VLOOKUP('Données projet'!$B$11,Paramètres!$A$1:$I$89,5,0)</f>
        <v>31.536960000000075</v>
      </c>
      <c r="BF155" s="13">
        <f t="shared" si="167"/>
        <v>9.725440120377133</v>
      </c>
      <c r="BG155" s="20">
        <f t="shared" si="168"/>
        <v>71.865346876323642</v>
      </c>
      <c r="BH155" s="59">
        <f t="shared" si="116"/>
        <v>365.19868020965697</v>
      </c>
      <c r="BI155" s="59">
        <f ca="1">AVERAGE(OFFSET($BH$3,0,0,'Données projet'!$E$11+1,1))-AVERAGE(OFFSET($H$3,0,0,'Données projet'!$E$11+1,1))</f>
        <v>249.21292089724221</v>
      </c>
      <c r="BJ155" s="59">
        <f t="shared" si="146"/>
        <v>640.80644476065254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10.067022117420001</v>
      </c>
      <c r="BQ155" s="21">
        <f>EXP(-LN(2)/25)*BQ154+(1-EXP(-LN(2)/25))/(LN(2)/25)*Calculateur!BL155*Calculateur!BN155*VLOOKUP('Données projet'!$B$11,Paramètres!$A$1:$I$89,3,0)*0.475*44/12</f>
        <v>3.6398215698330265</v>
      </c>
      <c r="BR155" s="21">
        <f>EXP(-LN(2)/2)*BR154+(1-EXP(-LN(2)/2))/(LN(2)/2)*BL155*BO155*VLOOKUP('Données projet'!$B$11,Paramètres!$A$1:$I$89,3,0)*0.475*44/12</f>
        <v>3.5795820228639067E-17</v>
      </c>
      <c r="BS155" s="22">
        <f t="shared" si="169"/>
        <v>13.706843687253027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234.00000000000045</v>
      </c>
      <c r="BZ155" s="13">
        <f>BY155*VLOOKUP('Données projet'!$B$12,Paramètres!$A$1:$I$89,3,0)*VLOOKUP('Données projet'!$B$12,Paramètres!$A$1:$I$89,5,0)</f>
        <v>189.82080000000036</v>
      </c>
      <c r="CA155" s="13">
        <f t="shared" si="170"/>
        <v>47.500332100049881</v>
      </c>
      <c r="CB155" s="20">
        <f t="shared" si="171"/>
        <v>413.33430507425419</v>
      </c>
      <c r="CC155" s="59">
        <f t="shared" si="119"/>
        <v>706.66763840758745</v>
      </c>
      <c r="CD155" s="59">
        <f ca="1">AVERAGE(OFFSET($CC$3,0,0,'Données projet'!$E$12+1,1))-AVERAGE(OFFSET($H$3,0,0,'Données projet'!$E$12+1,1))</f>
        <v>192.4785660463869</v>
      </c>
      <c r="CE155" s="59">
        <f t="shared" si="148"/>
        <v>165.11095806515362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7.2286674599636239E-2</v>
      </c>
      <c r="CL155" s="21">
        <f>EXP(-LN(2)/25)*CL154+(1-EXP(-LN(2)/25))/(LN(2)/25)*Calculateur!CG155*Calculateur!CI155*VLOOKUP('Données projet'!$B$12,Paramètres!$A$1:$I$89,3,0)*0.475*44/12</f>
        <v>0.16033384655497226</v>
      </c>
      <c r="CM155" s="21">
        <f>EXP(-LN(2)/2)*CM154+(1-EXP(-LN(2)/2))/(LN(2)/2)*CG155*CJ155*VLOOKUP('Données projet'!$B$12,Paramètres!$A$1:$I$89,3,0)*0.475*44/12</f>
        <v>3.1756803742139006E-18</v>
      </c>
      <c r="CN155" s="22">
        <f t="shared" si="172"/>
        <v>0.23262052115460852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275.00000000000057</v>
      </c>
      <c r="CU155" s="17">
        <f>CT155*VLOOKUP('Données projet'!$B$13,Paramètres!$A$1:$I$89,3,0)*VLOOKUP('Données projet'!$B$13,Paramètres!$A$1:$I$89,5,0)</f>
        <v>231.66000000000051</v>
      </c>
      <c r="CV155" s="13">
        <f t="shared" si="173"/>
        <v>56.641461975682923</v>
      </c>
      <c r="CW155" s="20">
        <f t="shared" si="174"/>
        <v>502.12504627431525</v>
      </c>
      <c r="CX155" s="59">
        <f t="shared" si="122"/>
        <v>795.45837960764857</v>
      </c>
      <c r="CY155" s="59">
        <f ca="1">AVERAGE(OFFSET($CX$3,0,0,'Données projet'!$E$13+1,1))-AVERAGE(OFFSET($H$3,0,0,'Données projet'!$E$13+1,1))</f>
        <v>247.67539667223065</v>
      </c>
      <c r="CZ155" s="59">
        <f t="shared" si="150"/>
        <v>174.54442616983778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0.11438770486096282</v>
      </c>
      <c r="DG155" s="21">
        <f>EXP(-LN(2)/25)*DG154+(1-EXP(-LN(2)/25))/(LN(2)/25)*Calculateur!DB155*Calculateur!DD155*VLOOKUP('Données projet'!$B$13,Paramètres!$A$1:$I$89,3,0)*0.475*44/12</f>
        <v>0.22328507699498007</v>
      </c>
      <c r="DH155" s="21">
        <f>EXP(-LN(2)/2)*DH154+(1-EXP(-LN(2)/2))/(LN(2)/2)*DB155*DE155*VLOOKUP('Données projet'!$B$13,Paramètres!$A$1:$I$89,3,0)*0.475*44/12</f>
        <v>4.9933214250939113E-18</v>
      </c>
      <c r="DI155" s="22">
        <f t="shared" si="175"/>
        <v>0.33767278185594291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3.0945512820512846</v>
      </c>
      <c r="DO155" s="12">
        <f>IF('Données projet'!$A$166&gt;35,DO154+DN155-DW154,IF(A155&lt;'Données projet'!$A$166,$DL$205^A155,IF(A155='Données projet'!$A$166,'Données projet'!$B$166,DO154+DN155-DW154)))</f>
        <v>191.96314102564048</v>
      </c>
      <c r="DP155" s="17">
        <f>DO155*VLOOKUP('Données projet'!$B$14,Paramètres!$A$1:$I$89,3,0)*VLOOKUP('Données projet'!$B$14,Paramètres!$A$1:$I$89,5,0)</f>
        <v>191.65599999999947</v>
      </c>
      <c r="DQ155" s="13">
        <f t="shared" si="176"/>
        <v>47.905885821907063</v>
      </c>
      <c r="DR155" s="20">
        <f t="shared" si="177"/>
        <v>417.23695113982052</v>
      </c>
      <c r="DS155" s="59">
        <f t="shared" si="125"/>
        <v>710.57028447315383</v>
      </c>
      <c r="DT155" s="59">
        <f ca="1">AVERAGE(OFFSET($DS$3,0,0,'Données projet'!$E$14+1,1))-AVERAGE(OFFSET($H$3,0,0,'Données projet'!$E$14+1,1))</f>
        <v>245.06609107649069</v>
      </c>
      <c r="DU155" s="59">
        <f t="shared" si="152"/>
        <v>156.24531945456499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-2.5579538487363607E-13</v>
      </c>
      <c r="EK155" s="17">
        <f>EJ155*VLOOKUP('Données projet'!$B$15,Paramètres!$A$1:$I$89,3,0)*VLOOKUP('Données projet'!$B$15,Paramètres!$A$1:$I$89,5,0)</f>
        <v>-2.7932856028201057E-13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173.63857221119594</v>
      </c>
      <c r="EP155" s="59">
        <f t="shared" si="154"/>
        <v>52.373745617370105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199.58634493109349</v>
      </c>
      <c r="T156" s="59">
        <f t="shared" si="142"/>
        <v>288.66487031729008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0.43733901165153144</v>
      </c>
      <c r="AA156" s="21">
        <f>EXP(-LN(2)/25)*AA155+(1-EXP(-LN(2)/25))/(LN(2)/25)*Calculateur!V156*Calculateur!X156*VLOOKUP('Données projet'!$B$9,Paramètres!$A$1:$I$89,3,0)*0.475*44/12</f>
        <v>0.56582912518125139</v>
      </c>
      <c r="AB156" s="21">
        <f>EXP(-LN(2)/2)*AB155+(1-EXP(-LN(2)/2))/(LN(2)/2)*V156*Y156*VLOOKUP('Données projet'!$B$9,Paramètres!$A$1:$I$89,3,0)*0.475*44/12</f>
        <v>9.0461301833854912E-19</v>
      </c>
      <c r="AC156" s="22">
        <f t="shared" si="163"/>
        <v>1.0031681368327829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606.99999999999989</v>
      </c>
      <c r="AJ156" s="13">
        <f>AI156*VLOOKUP('Données projet'!$B$10,Paramètres!$A$1:$I$89,3,0)*VLOOKUP('Données projet'!$B$10,Paramètres!$A$1:$I$89,5,0)</f>
        <v>362.98599999999999</v>
      </c>
      <c r="AK156" s="13">
        <f t="shared" si="164"/>
        <v>84.230767602863935</v>
      </c>
      <c r="AL156" s="20">
        <f t="shared" si="165"/>
        <v>778.90253690832139</v>
      </c>
      <c r="AM156" s="59">
        <f t="shared" si="113"/>
        <v>1072.2358702416548</v>
      </c>
      <c r="AN156" s="59">
        <f ca="1">AVERAGE(OFFSET($AM$3,0,0,'Données projet'!$E$10+1,1))-AVERAGE(OFFSET($H$3,0,0,'Données projet'!$E$10+1,1))</f>
        <v>395.40396173178527</v>
      </c>
      <c r="AO156" s="59">
        <f t="shared" si="144"/>
        <v>304.68075128568756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0.26243147834096353</v>
      </c>
      <c r="AV156" s="21">
        <f>EXP(-LN(2)/25)*AV155+(1-EXP(-LN(2)/25))/(LN(2)/25)*Calculateur!AQ156*Calculateur!AS156*VLOOKUP('Données projet'!$B$10,Paramètres!$A$1:$I$89,3,0)*0.475*44/12</f>
        <v>0.61754290032222836</v>
      </c>
      <c r="AW156" s="21">
        <f>EXP(-LN(2)/2)*AW155+(1-EXP(-LN(2)/2))/(LN(2)/2)*AQ156*AT156*VLOOKUP('Données projet'!$B$10,Paramètres!$A$1:$I$89,3,0)*0.475*44/12</f>
        <v>7.9749731620356388E-18</v>
      </c>
      <c r="AX156" s="21">
        <f t="shared" si="166"/>
        <v>0.87997437866319195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36.10000000000008</v>
      </c>
      <c r="BE156" s="13">
        <f>BD156*VLOOKUP('Données projet'!$B$11,Paramètres!$A$1:$I$89,3,0)*VLOOKUP('Données projet'!$B$11,Paramètres!$A$1:$I$89,5,0)</f>
        <v>31.536960000000075</v>
      </c>
      <c r="BF156" s="13">
        <f t="shared" si="167"/>
        <v>9.725440120377133</v>
      </c>
      <c r="BG156" s="20">
        <f t="shared" si="168"/>
        <v>71.865346876323642</v>
      </c>
      <c r="BH156" s="59">
        <f t="shared" si="116"/>
        <v>365.19868020965697</v>
      </c>
      <c r="BI156" s="59">
        <f ca="1">AVERAGE(OFFSET($BH$3,0,0,'Données projet'!$E$11+1,1))-AVERAGE(OFFSET($H$3,0,0,'Données projet'!$E$11+1,1))</f>
        <v>249.21292089724221</v>
      </c>
      <c r="BJ156" s="59">
        <f t="shared" si="146"/>
        <v>640.80644476065254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9.869613953974584</v>
      </c>
      <c r="BQ156" s="21">
        <f>EXP(-LN(2)/25)*BQ155+(1-EXP(-LN(2)/25))/(LN(2)/25)*Calculateur!BL156*Calculateur!BN156*VLOOKUP('Données projet'!$B$11,Paramètres!$A$1:$I$89,3,0)*0.475*44/12</f>
        <v>3.5402904575960448</v>
      </c>
      <c r="BR156" s="21">
        <f>EXP(-LN(2)/2)*BR155+(1-EXP(-LN(2)/2))/(LN(2)/2)*BL156*BO156*VLOOKUP('Données projet'!$B$11,Paramètres!$A$1:$I$89,3,0)*0.475*44/12</f>
        <v>2.5311467221805277E-17</v>
      </c>
      <c r="BS156" s="22">
        <f t="shared" si="169"/>
        <v>13.409904411570629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234.00000000000045</v>
      </c>
      <c r="BZ156" s="13">
        <f>BY156*VLOOKUP('Données projet'!$B$12,Paramètres!$A$1:$I$89,3,0)*VLOOKUP('Données projet'!$B$12,Paramètres!$A$1:$I$89,5,0)</f>
        <v>189.82080000000036</v>
      </c>
      <c r="CA156" s="13">
        <f t="shared" si="170"/>
        <v>47.500332100049881</v>
      </c>
      <c r="CB156" s="20">
        <f t="shared" si="171"/>
        <v>413.33430507425419</v>
      </c>
      <c r="CC156" s="59">
        <f t="shared" si="119"/>
        <v>706.66763840758745</v>
      </c>
      <c r="CD156" s="59">
        <f ca="1">AVERAGE(OFFSET($CC$3,0,0,'Données projet'!$E$12+1,1))-AVERAGE(OFFSET($H$3,0,0,'Données projet'!$E$12+1,1))</f>
        <v>192.4785660463869</v>
      </c>
      <c r="CE156" s="59">
        <f t="shared" si="148"/>
        <v>165.11095806515362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7.0869177001255307E-2</v>
      </c>
      <c r="CL156" s="21">
        <f>EXP(-LN(2)/25)*CL155+(1-EXP(-LN(2)/25))/(LN(2)/25)*Calculateur!CG156*Calculateur!CI156*VLOOKUP('Données projet'!$B$12,Paramètres!$A$1:$I$89,3,0)*0.475*44/12</f>
        <v>0.155949509089336</v>
      </c>
      <c r="CM156" s="21">
        <f>EXP(-LN(2)/2)*CM155+(1-EXP(-LN(2)/2))/(LN(2)/2)*CG156*CJ156*VLOOKUP('Données projet'!$B$12,Paramètres!$A$1:$I$89,3,0)*0.475*44/12</f>
        <v>2.245545127487682E-18</v>
      </c>
      <c r="CN156" s="22">
        <f t="shared" si="172"/>
        <v>0.2268186860905913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275.00000000000057</v>
      </c>
      <c r="CU156" s="17">
        <f>CT156*VLOOKUP('Données projet'!$B$13,Paramètres!$A$1:$I$89,3,0)*VLOOKUP('Données projet'!$B$13,Paramètres!$A$1:$I$89,5,0)</f>
        <v>231.66000000000051</v>
      </c>
      <c r="CV156" s="13">
        <f t="shared" si="173"/>
        <v>56.641461975682923</v>
      </c>
      <c r="CW156" s="20">
        <f t="shared" si="174"/>
        <v>502.12504627431525</v>
      </c>
      <c r="CX156" s="59">
        <f t="shared" si="122"/>
        <v>795.45837960764857</v>
      </c>
      <c r="CY156" s="59">
        <f ca="1">AVERAGE(OFFSET($CX$3,0,0,'Données projet'!$E$13+1,1))-AVERAGE(OFFSET($H$3,0,0,'Données projet'!$E$13+1,1))</f>
        <v>247.67539667223065</v>
      </c>
      <c r="CZ156" s="59">
        <f t="shared" si="150"/>
        <v>174.54442616983778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0.11214463173825012</v>
      </c>
      <c r="DG156" s="21">
        <f>EXP(-LN(2)/25)*DG155+(1-EXP(-LN(2)/25))/(LN(2)/25)*Calculateur!DB156*Calculateur!DD156*VLOOKUP('Données projet'!$B$13,Paramètres!$A$1:$I$89,3,0)*0.475*44/12</f>
        <v>0.21717933482250046</v>
      </c>
      <c r="DH156" s="21">
        <f>EXP(-LN(2)/2)*DH155+(1-EXP(-LN(2)/2))/(LN(2)/2)*DB156*DE156*VLOOKUP('Données projet'!$B$13,Paramètres!$A$1:$I$89,3,0)*0.475*44/12</f>
        <v>3.5308114403279799E-18</v>
      </c>
      <c r="DI156" s="22">
        <f t="shared" si="175"/>
        <v>0.32932396656075058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195.05769230769232</v>
      </c>
      <c r="DM156" s="12">
        <f>VLOOKUP(A156,'Données projet'!$A$165:$I$185,9,0)</f>
        <v>3.0945512820512846</v>
      </c>
      <c r="DN156" s="12">
        <f t="array" ref="DN156">INDEX(DM:DM,MIN(IF(ISNUMBER(DM156:DM352),ROW(DM156:DM352),"")))</f>
        <v>3.0945512820512846</v>
      </c>
      <c r="DO156" s="12">
        <f>IF('Données projet'!$A$166&gt;35,DO155+DN156-DW155,IF(A156&lt;'Données projet'!$A$166,$DL$205^A156,IF(A156='Données projet'!$A$166,'Données projet'!$B$166,DO155+DN156-DW155)))</f>
        <v>195.05769230769175</v>
      </c>
      <c r="DP156" s="17">
        <f>DO156*VLOOKUP('Données projet'!$B$14,Paramètres!$A$1:$I$89,3,0)*VLOOKUP('Données projet'!$B$14,Paramètres!$A$1:$I$89,5,0)</f>
        <v>194.74559999999946</v>
      </c>
      <c r="DQ156" s="13">
        <f t="shared" si="176"/>
        <v>48.587626473771046</v>
      </c>
      <c r="DR156" s="20">
        <f t="shared" si="177"/>
        <v>423.80536944181694</v>
      </c>
      <c r="DS156" s="59">
        <f t="shared" si="125"/>
        <v>717.13870277515025</v>
      </c>
      <c r="DT156" s="59">
        <f ca="1">AVERAGE(OFFSET($DS$3,0,0,'Données projet'!$E$14+1,1))-AVERAGE(OFFSET($H$3,0,0,'Données projet'!$E$14+1,1))</f>
        <v>245.06609107649069</v>
      </c>
      <c r="DU156" s="59">
        <f t="shared" si="152"/>
        <v>156.24531945456499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70.115384615384613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-2.5579538487363607E-13</v>
      </c>
      <c r="EK156" s="17">
        <f>EJ156*VLOOKUP('Données projet'!$B$15,Paramètres!$A$1:$I$89,3,0)*VLOOKUP('Données projet'!$B$15,Paramètres!$A$1:$I$89,5,0)</f>
        <v>-2.7932856028201057E-13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173.63857221119594</v>
      </c>
      <c r="EP156" s="59">
        <f t="shared" si="154"/>
        <v>52.373745617370105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199.58634493109349</v>
      </c>
      <c r="T157" s="59">
        <f t="shared" si="142"/>
        <v>288.66487031729008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0.42876306038350259</v>
      </c>
      <c r="AA157" s="21">
        <f>EXP(-LN(2)/25)*AA156+(1-EXP(-LN(2)/25))/(LN(2)/25)*Calculateur!V157*Calculateur!X157*VLOOKUP('Données projet'!$B$9,Paramètres!$A$1:$I$89,3,0)*0.475*44/12</f>
        <v>0.55035649799750963</v>
      </c>
      <c r="AB157" s="21">
        <f>EXP(-LN(2)/2)*AB156+(1-EXP(-LN(2)/2))/(LN(2)/2)*V157*Y157*VLOOKUP('Données projet'!$B$9,Paramètres!$A$1:$I$89,3,0)*0.475*44/12</f>
        <v>6.3965799961681876E-19</v>
      </c>
      <c r="AC157" s="22">
        <f t="shared" si="163"/>
        <v>0.97911955838101217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606.99999999999989</v>
      </c>
      <c r="AJ157" s="13">
        <f>AI157*VLOOKUP('Données projet'!$B$10,Paramètres!$A$1:$I$89,3,0)*VLOOKUP('Données projet'!$B$10,Paramètres!$A$1:$I$89,5,0)</f>
        <v>362.98599999999999</v>
      </c>
      <c r="AK157" s="13">
        <f t="shared" si="164"/>
        <v>84.230767602863935</v>
      </c>
      <c r="AL157" s="20">
        <f t="shared" si="165"/>
        <v>778.90253690832139</v>
      </c>
      <c r="AM157" s="59">
        <f t="shared" si="113"/>
        <v>1072.2358702416548</v>
      </c>
      <c r="AN157" s="59">
        <f ca="1">AVERAGE(OFFSET($AM$3,0,0,'Données projet'!$E$10+1,1))-AVERAGE(OFFSET($H$3,0,0,'Données projet'!$E$10+1,1))</f>
        <v>395.40396173178527</v>
      </c>
      <c r="AO157" s="59">
        <f t="shared" si="144"/>
        <v>304.68075128568756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0.25728535711809369</v>
      </c>
      <c r="AV157" s="21">
        <f>EXP(-LN(2)/25)*AV156+(1-EXP(-LN(2)/25))/(LN(2)/25)*Calculateur!AQ157*Calculateur!AS157*VLOOKUP('Données projet'!$B$10,Paramètres!$A$1:$I$89,3,0)*0.475*44/12</f>
        <v>0.60065615723774735</v>
      </c>
      <c r="AW157" s="21">
        <f>EXP(-LN(2)/2)*AW156+(1-EXP(-LN(2)/2))/(LN(2)/2)*AQ157*AT157*VLOOKUP('Données projet'!$B$10,Paramètres!$A$1:$I$89,3,0)*0.475*44/12</f>
        <v>5.6391576026561235E-18</v>
      </c>
      <c r="AX157" s="21">
        <f t="shared" si="166"/>
        <v>0.85794151435584109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36.10000000000008</v>
      </c>
      <c r="BE157" s="13">
        <f>BD157*VLOOKUP('Données projet'!$B$11,Paramètres!$A$1:$I$89,3,0)*VLOOKUP('Données projet'!$B$11,Paramètres!$A$1:$I$89,5,0)</f>
        <v>31.536960000000075</v>
      </c>
      <c r="BF157" s="13">
        <f t="shared" si="167"/>
        <v>9.725440120377133</v>
      </c>
      <c r="BG157" s="20">
        <f t="shared" si="168"/>
        <v>71.865346876323642</v>
      </c>
      <c r="BH157" s="59">
        <f t="shared" si="116"/>
        <v>365.19868020965697</v>
      </c>
      <c r="BI157" s="59">
        <f ca="1">AVERAGE(OFFSET($BH$3,0,0,'Données projet'!$E$11+1,1))-AVERAGE(OFFSET($H$3,0,0,'Données projet'!$E$11+1,1))</f>
        <v>249.21292089724221</v>
      </c>
      <c r="BJ157" s="59">
        <f t="shared" si="146"/>
        <v>640.80644476065254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9.6760768442072411</v>
      </c>
      <c r="BQ157" s="21">
        <f>EXP(-LN(2)/25)*BQ156+(1-EXP(-LN(2)/25))/(LN(2)/25)*Calculateur!BL157*Calculateur!BN157*VLOOKUP('Données projet'!$B$11,Paramètres!$A$1:$I$89,3,0)*0.475*44/12</f>
        <v>3.4434810288572972</v>
      </c>
      <c r="BR157" s="21">
        <f>EXP(-LN(2)/2)*BR156+(1-EXP(-LN(2)/2))/(LN(2)/2)*BL157*BO157*VLOOKUP('Données projet'!$B$11,Paramètres!$A$1:$I$89,3,0)*0.475*44/12</f>
        <v>1.7897910114319534E-17</v>
      </c>
      <c r="BS157" s="22">
        <f t="shared" si="169"/>
        <v>13.119557873064538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234.00000000000045</v>
      </c>
      <c r="BZ157" s="13">
        <f>BY157*VLOOKUP('Données projet'!$B$12,Paramètres!$A$1:$I$89,3,0)*VLOOKUP('Données projet'!$B$12,Paramètres!$A$1:$I$89,5,0)</f>
        <v>189.82080000000036</v>
      </c>
      <c r="CA157" s="13">
        <f t="shared" si="170"/>
        <v>47.500332100049881</v>
      </c>
      <c r="CB157" s="20">
        <f t="shared" si="171"/>
        <v>413.33430507425419</v>
      </c>
      <c r="CC157" s="59">
        <f t="shared" si="119"/>
        <v>706.66763840758745</v>
      </c>
      <c r="CD157" s="59">
        <f ca="1">AVERAGE(OFFSET($CC$3,0,0,'Données projet'!$E$12+1,1))-AVERAGE(OFFSET($H$3,0,0,'Données projet'!$E$12+1,1))</f>
        <v>192.4785660463869</v>
      </c>
      <c r="CE157" s="59">
        <f t="shared" si="148"/>
        <v>165.11095806515362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6.9479475666190449E-2</v>
      </c>
      <c r="CL157" s="21">
        <f>EXP(-LN(2)/25)*CL156+(1-EXP(-LN(2)/25))/(LN(2)/25)*Calculateur!CG157*Calculateur!CI157*VLOOKUP('Données projet'!$B$12,Paramètres!$A$1:$I$89,3,0)*0.475*44/12</f>
        <v>0.15168506156225986</v>
      </c>
      <c r="CM157" s="21">
        <f>EXP(-LN(2)/2)*CM156+(1-EXP(-LN(2)/2))/(LN(2)/2)*CG157*CJ157*VLOOKUP('Données projet'!$B$12,Paramètres!$A$1:$I$89,3,0)*0.475*44/12</f>
        <v>1.5878401871069503E-18</v>
      </c>
      <c r="CN157" s="22">
        <f t="shared" si="172"/>
        <v>0.22116453722845031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275.00000000000057</v>
      </c>
      <c r="CU157" s="17">
        <f>CT157*VLOOKUP('Données projet'!$B$13,Paramètres!$A$1:$I$89,3,0)*VLOOKUP('Données projet'!$B$13,Paramètres!$A$1:$I$89,5,0)</f>
        <v>231.66000000000051</v>
      </c>
      <c r="CV157" s="13">
        <f t="shared" si="173"/>
        <v>56.641461975682923</v>
      </c>
      <c r="CW157" s="20">
        <f t="shared" si="174"/>
        <v>502.12504627431525</v>
      </c>
      <c r="CX157" s="59">
        <f t="shared" si="122"/>
        <v>795.45837960764857</v>
      </c>
      <c r="CY157" s="59">
        <f ca="1">AVERAGE(OFFSET($CX$3,0,0,'Données projet'!$E$13+1,1))-AVERAGE(OFFSET($H$3,0,0,'Données projet'!$E$13+1,1))</f>
        <v>247.67539667223065</v>
      </c>
      <c r="CZ157" s="59">
        <f t="shared" si="150"/>
        <v>174.54442616983778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0.10994554391133432</v>
      </c>
      <c r="DG157" s="21">
        <f>EXP(-LN(2)/25)*DG156+(1-EXP(-LN(2)/25))/(LN(2)/25)*Calculateur!DB157*Calculateur!DD157*VLOOKUP('Données projet'!$B$13,Paramètres!$A$1:$I$89,3,0)*0.475*44/12</f>
        <v>0.21124055449081433</v>
      </c>
      <c r="DH157" s="21">
        <f>EXP(-LN(2)/2)*DH156+(1-EXP(-LN(2)/2))/(LN(2)/2)*DB157*DE157*VLOOKUP('Données projet'!$B$13,Paramètres!$A$1:$I$89,3,0)*0.475*44/12</f>
        <v>2.4966607125469556E-18</v>
      </c>
      <c r="DI157" s="22">
        <f t="shared" si="175"/>
        <v>0.32118609840214862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1.8717948717948687</v>
      </c>
      <c r="DO157" s="12">
        <f>IF('Données projet'!$A$166&gt;35,DO156+DN157-DW156,IF(A157&lt;'Données projet'!$A$166,$DL$205^A157,IF(A157='Données projet'!$A$166,'Données projet'!$B$166,DO156+DN157-DW156)))</f>
        <v>126.814102564102</v>
      </c>
      <c r="DP157" s="17">
        <f>DO157*VLOOKUP('Données projet'!$B$14,Paramètres!$A$1:$I$89,3,0)*VLOOKUP('Données projet'!$B$14,Paramètres!$A$1:$I$89,5,0)</f>
        <v>126.61119999999943</v>
      </c>
      <c r="DQ157" s="13">
        <f t="shared" si="176"/>
        <v>33.212107464464275</v>
      </c>
      <c r="DR157" s="20">
        <f t="shared" si="177"/>
        <v>278.35892716727426</v>
      </c>
      <c r="DS157" s="59">
        <f t="shared" si="125"/>
        <v>571.69226050060752</v>
      </c>
      <c r="DT157" s="59">
        <f ca="1">AVERAGE(OFFSET($DS$3,0,0,'Données projet'!$E$14+1,1))-AVERAGE(OFFSET($H$3,0,0,'Données projet'!$E$14+1,1))</f>
        <v>245.06609107649069</v>
      </c>
      <c r="DU157" s="59">
        <f t="shared" si="152"/>
        <v>156.24531945456499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-2.5579538487363607E-13</v>
      </c>
      <c r="EK157" s="17">
        <f>EJ157*VLOOKUP('Données projet'!$B$15,Paramètres!$A$1:$I$89,3,0)*VLOOKUP('Données projet'!$B$15,Paramètres!$A$1:$I$89,5,0)</f>
        <v>-2.7932856028201057E-13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173.63857221119594</v>
      </c>
      <c r="EP157" s="59">
        <f t="shared" si="154"/>
        <v>52.373745617370105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199.58634493109349</v>
      </c>
      <c r="T158" s="59">
        <f t="shared" si="142"/>
        <v>288.66487031729008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0.42035527828902602</v>
      </c>
      <c r="AA158" s="21">
        <f>EXP(-LN(2)/25)*AA157+(1-EXP(-LN(2)/25))/(LN(2)/25)*Calculateur!V158*Calculateur!X158*VLOOKUP('Données projet'!$B$9,Paramètres!$A$1:$I$89,3,0)*0.475*44/12</f>
        <v>0.53530697061777732</v>
      </c>
      <c r="AB158" s="21">
        <f>EXP(-LN(2)/2)*AB157+(1-EXP(-LN(2)/2))/(LN(2)/2)*V158*Y158*VLOOKUP('Données projet'!$B$9,Paramètres!$A$1:$I$89,3,0)*0.475*44/12</f>
        <v>4.5230650916927456E-19</v>
      </c>
      <c r="AC158" s="22">
        <f t="shared" si="163"/>
        <v>0.9556622489068034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606.99999999999989</v>
      </c>
      <c r="AJ158" s="13">
        <f>AI158*VLOOKUP('Données projet'!$B$10,Paramètres!$A$1:$I$89,3,0)*VLOOKUP('Données projet'!$B$10,Paramètres!$A$1:$I$89,5,0)</f>
        <v>362.98599999999999</v>
      </c>
      <c r="AK158" s="13">
        <f t="shared" si="164"/>
        <v>84.230767602863935</v>
      </c>
      <c r="AL158" s="20">
        <f t="shared" si="165"/>
        <v>778.90253690832139</v>
      </c>
      <c r="AM158" s="59">
        <f t="shared" si="113"/>
        <v>1072.2358702416548</v>
      </c>
      <c r="AN158" s="59">
        <f ca="1">AVERAGE(OFFSET($AM$3,0,0,'Données projet'!$E$10+1,1))-AVERAGE(OFFSET($H$3,0,0,'Données projet'!$E$10+1,1))</f>
        <v>395.40396173178527</v>
      </c>
      <c r="AO158" s="59">
        <f t="shared" si="144"/>
        <v>304.68075128568756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0.25224014819358032</v>
      </c>
      <c r="AV158" s="21">
        <f>EXP(-LN(2)/25)*AV157+(1-EXP(-LN(2)/25))/(LN(2)/25)*Calculateur!AQ158*Calculateur!AS158*VLOOKUP('Données projet'!$B$10,Paramètres!$A$1:$I$89,3,0)*0.475*44/12</f>
        <v>0.58423118303094668</v>
      </c>
      <c r="AW158" s="21">
        <f>EXP(-LN(2)/2)*AW157+(1-EXP(-LN(2)/2))/(LN(2)/2)*AQ158*AT158*VLOOKUP('Données projet'!$B$10,Paramètres!$A$1:$I$89,3,0)*0.475*44/12</f>
        <v>3.9874865810178194E-18</v>
      </c>
      <c r="AX158" s="21">
        <f t="shared" si="166"/>
        <v>0.83647133122452699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36.10000000000008</v>
      </c>
      <c r="BE158" s="13">
        <f>BD158*VLOOKUP('Données projet'!$B$11,Paramètres!$A$1:$I$89,3,0)*VLOOKUP('Données projet'!$B$11,Paramètres!$A$1:$I$89,5,0)</f>
        <v>31.536960000000075</v>
      </c>
      <c r="BF158" s="13">
        <f t="shared" si="167"/>
        <v>9.725440120377133</v>
      </c>
      <c r="BG158" s="20">
        <f t="shared" si="168"/>
        <v>71.865346876323642</v>
      </c>
      <c r="BH158" s="59">
        <f t="shared" si="116"/>
        <v>365.19868020965697</v>
      </c>
      <c r="BI158" s="59">
        <f ca="1">AVERAGE(OFFSET($BH$3,0,0,'Données projet'!$E$11+1,1))-AVERAGE(OFFSET($H$3,0,0,'Données projet'!$E$11+1,1))</f>
        <v>249.21292089724221</v>
      </c>
      <c r="BJ158" s="59">
        <f t="shared" si="146"/>
        <v>640.80644476065254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9.4863348791164555</v>
      </c>
      <c r="BQ158" s="21">
        <f>EXP(-LN(2)/25)*BQ157+(1-EXP(-LN(2)/25))/(LN(2)/25)*Calculateur!BL158*Calculateur!BN158*VLOOKUP('Données projet'!$B$11,Paramètres!$A$1:$I$89,3,0)*0.475*44/12</f>
        <v>3.3493188590383971</v>
      </c>
      <c r="BR158" s="21">
        <f>EXP(-LN(2)/2)*BR157+(1-EXP(-LN(2)/2))/(LN(2)/2)*BL158*BO158*VLOOKUP('Données projet'!$B$11,Paramètres!$A$1:$I$89,3,0)*0.475*44/12</f>
        <v>1.2655733610902638E-17</v>
      </c>
      <c r="BS158" s="22">
        <f t="shared" si="169"/>
        <v>12.835653738154853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234.00000000000045</v>
      </c>
      <c r="BZ158" s="13">
        <f>BY158*VLOOKUP('Données projet'!$B$12,Paramètres!$A$1:$I$89,3,0)*VLOOKUP('Données projet'!$B$12,Paramètres!$A$1:$I$89,5,0)</f>
        <v>189.82080000000036</v>
      </c>
      <c r="CA158" s="13">
        <f t="shared" si="170"/>
        <v>47.500332100049881</v>
      </c>
      <c r="CB158" s="20">
        <f t="shared" si="171"/>
        <v>413.33430507425419</v>
      </c>
      <c r="CC158" s="59">
        <f t="shared" si="119"/>
        <v>706.66763840758745</v>
      </c>
      <c r="CD158" s="59">
        <f ca="1">AVERAGE(OFFSET($CC$3,0,0,'Données projet'!$E$12+1,1))-AVERAGE(OFFSET($H$3,0,0,'Données projet'!$E$12+1,1))</f>
        <v>192.4785660463869</v>
      </c>
      <c r="CE158" s="59">
        <f t="shared" si="148"/>
        <v>165.11095806515362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6.8117025526672106E-2</v>
      </c>
      <c r="CL158" s="21">
        <f>EXP(-LN(2)/25)*CL157+(1-EXP(-LN(2)/25))/(LN(2)/25)*Calculateur!CG158*Calculateur!CI158*VLOOKUP('Données projet'!$B$12,Paramètres!$A$1:$I$89,3,0)*0.475*44/12</f>
        <v>0.14753722557706916</v>
      </c>
      <c r="CM158" s="21">
        <f>EXP(-LN(2)/2)*CM157+(1-EXP(-LN(2)/2))/(LN(2)/2)*CG158*CJ158*VLOOKUP('Données projet'!$B$12,Paramètres!$A$1:$I$89,3,0)*0.475*44/12</f>
        <v>1.122772563743841E-18</v>
      </c>
      <c r="CN158" s="22">
        <f t="shared" si="172"/>
        <v>0.21565425110374126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275.00000000000057</v>
      </c>
      <c r="CU158" s="17">
        <f>CT158*VLOOKUP('Données projet'!$B$13,Paramètres!$A$1:$I$89,3,0)*VLOOKUP('Données projet'!$B$13,Paramètres!$A$1:$I$89,5,0)</f>
        <v>231.66000000000051</v>
      </c>
      <c r="CV158" s="13">
        <f t="shared" si="173"/>
        <v>56.641461975682923</v>
      </c>
      <c r="CW158" s="20">
        <f t="shared" si="174"/>
        <v>502.12504627431525</v>
      </c>
      <c r="CX158" s="59">
        <f t="shared" si="122"/>
        <v>795.45837960764857</v>
      </c>
      <c r="CY158" s="59">
        <f ca="1">AVERAGE(OFFSET($CX$3,0,0,'Données projet'!$E$13+1,1))-AVERAGE(OFFSET($H$3,0,0,'Données projet'!$E$13+1,1))</f>
        <v>247.67539667223065</v>
      </c>
      <c r="CZ158" s="59">
        <f t="shared" si="150"/>
        <v>174.54442616983778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0.1077895788553932</v>
      </c>
      <c r="DG158" s="21">
        <f>EXP(-LN(2)/25)*DG157+(1-EXP(-LN(2)/25))/(LN(2)/25)*Calculateur!DB158*Calculateur!DD158*VLOOKUP('Données projet'!$B$13,Paramètres!$A$1:$I$89,3,0)*0.475*44/12</f>
        <v>0.20546417041960505</v>
      </c>
      <c r="DH158" s="21">
        <f>EXP(-LN(2)/2)*DH157+(1-EXP(-LN(2)/2))/(LN(2)/2)*DB158*DE158*VLOOKUP('Données projet'!$B$13,Paramètres!$A$1:$I$89,3,0)*0.475*44/12</f>
        <v>1.7654057201639899E-18</v>
      </c>
      <c r="DI158" s="22">
        <f t="shared" si="175"/>
        <v>0.31325374927499827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1.8717948717948687</v>
      </c>
      <c r="DO158" s="12">
        <f>IF('Données projet'!$A$166&gt;35,DO157+DN158-DW157,IF(A158&lt;'Données projet'!$A$166,$DL$205^A158,IF(A158='Données projet'!$A$166,'Données projet'!$B$166,DO157+DN158-DW157)))</f>
        <v>128.68589743589686</v>
      </c>
      <c r="DP158" s="17">
        <f>DO158*VLOOKUP('Données projet'!$B$14,Paramètres!$A$1:$I$89,3,0)*VLOOKUP('Données projet'!$B$14,Paramètres!$A$1:$I$89,5,0)</f>
        <v>128.47999999999945</v>
      </c>
      <c r="DQ158" s="13">
        <f t="shared" si="176"/>
        <v>33.644891906697445</v>
      </c>
      <c r="DR158" s="20">
        <f t="shared" si="177"/>
        <v>282.36752007083038</v>
      </c>
      <c r="DS158" s="59">
        <f t="shared" si="125"/>
        <v>575.70085340416369</v>
      </c>
      <c r="DT158" s="59">
        <f ca="1">AVERAGE(OFFSET($DS$3,0,0,'Données projet'!$E$14+1,1))-AVERAGE(OFFSET($H$3,0,0,'Données projet'!$E$14+1,1))</f>
        <v>245.06609107649069</v>
      </c>
      <c r="DU158" s="59">
        <f t="shared" si="152"/>
        <v>156.24531945456499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-2.5579538487363607E-13</v>
      </c>
      <c r="EK158" s="17">
        <f>EJ158*VLOOKUP('Données projet'!$B$15,Paramètres!$A$1:$I$89,3,0)*VLOOKUP('Données projet'!$B$15,Paramètres!$A$1:$I$89,5,0)</f>
        <v>-2.7932856028201057E-13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173.63857221119594</v>
      </c>
      <c r="EP158" s="59">
        <f t="shared" si="154"/>
        <v>52.373745617370105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199.58634493109349</v>
      </c>
      <c r="T159" s="59">
        <f t="shared" si="142"/>
        <v>288.66487031729008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0.41211236767318143</v>
      </c>
      <c r="AA159" s="21">
        <f>EXP(-LN(2)/25)*AA158+(1-EXP(-LN(2)/25))/(LN(2)/25)*Calculateur!V159*Calculateur!X159*VLOOKUP('Données projet'!$B$9,Paramètres!$A$1:$I$89,3,0)*0.475*44/12</f>
        <v>0.52066897335566409</v>
      </c>
      <c r="AB159" s="21">
        <f>EXP(-LN(2)/2)*AB158+(1-EXP(-LN(2)/2))/(LN(2)/2)*V159*Y159*VLOOKUP('Données projet'!$B$9,Paramètres!$A$1:$I$89,3,0)*0.475*44/12</f>
        <v>3.1982899980840938E-19</v>
      </c>
      <c r="AC159" s="22">
        <f t="shared" si="163"/>
        <v>0.93278134102884547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606.99999999999989</v>
      </c>
      <c r="AJ159" s="13">
        <f>AI159*VLOOKUP('Données projet'!$B$10,Paramètres!$A$1:$I$89,3,0)*VLOOKUP('Données projet'!$B$10,Paramètres!$A$1:$I$89,5,0)</f>
        <v>362.98599999999999</v>
      </c>
      <c r="AK159" s="13">
        <f t="shared" si="164"/>
        <v>84.230767602863935</v>
      </c>
      <c r="AL159" s="20">
        <f t="shared" si="165"/>
        <v>778.90253690832139</v>
      </c>
      <c r="AM159" s="59">
        <f t="shared" si="113"/>
        <v>1072.2358702416548</v>
      </c>
      <c r="AN159" s="59">
        <f ca="1">AVERAGE(OFFSET($AM$3,0,0,'Données projet'!$E$10+1,1))-AVERAGE(OFFSET($H$3,0,0,'Données projet'!$E$10+1,1))</f>
        <v>395.40396173178527</v>
      </c>
      <c r="AO159" s="59">
        <f t="shared" si="144"/>
        <v>304.68075128568756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0.24729387273880304</v>
      </c>
      <c r="AV159" s="21">
        <f>EXP(-LN(2)/25)*AV158+(1-EXP(-LN(2)/25))/(LN(2)/25)*Calculateur!AQ159*Calculateur!AS159*VLOOKUP('Données projet'!$B$10,Paramètres!$A$1:$I$89,3,0)*0.475*44/12</f>
        <v>0.56825535060758281</v>
      </c>
      <c r="AW159" s="21">
        <f>EXP(-LN(2)/2)*AW158+(1-EXP(-LN(2)/2))/(LN(2)/2)*AQ159*AT159*VLOOKUP('Données projet'!$B$10,Paramètres!$A$1:$I$89,3,0)*0.475*44/12</f>
        <v>2.8195788013280618E-18</v>
      </c>
      <c r="AX159" s="21">
        <f t="shared" si="166"/>
        <v>0.81554922334638591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36.10000000000008</v>
      </c>
      <c r="BE159" s="13">
        <f>BD159*VLOOKUP('Données projet'!$B$11,Paramètres!$A$1:$I$89,3,0)*VLOOKUP('Données projet'!$B$11,Paramètres!$A$1:$I$89,5,0)</f>
        <v>31.536960000000075</v>
      </c>
      <c r="BF159" s="13">
        <f t="shared" si="167"/>
        <v>9.725440120377133</v>
      </c>
      <c r="BG159" s="20">
        <f t="shared" si="168"/>
        <v>71.865346876323642</v>
      </c>
      <c r="BH159" s="59">
        <f t="shared" si="116"/>
        <v>365.19868020965697</v>
      </c>
      <c r="BI159" s="59">
        <f ca="1">AVERAGE(OFFSET($BH$3,0,0,'Données projet'!$E$11+1,1))-AVERAGE(OFFSET($H$3,0,0,'Données projet'!$E$11+1,1))</f>
        <v>249.21292089724221</v>
      </c>
      <c r="BJ159" s="59">
        <f t="shared" si="146"/>
        <v>640.80644476065254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9.3003136382299285</v>
      </c>
      <c r="BQ159" s="21">
        <f>EXP(-LN(2)/25)*BQ158+(1-EXP(-LN(2)/25))/(LN(2)/25)*Calculateur!BL159*Calculateur!BN159*VLOOKUP('Données projet'!$B$11,Paramètres!$A$1:$I$89,3,0)*0.475*44/12</f>
        <v>3.2577315587049682</v>
      </c>
      <c r="BR159" s="21">
        <f>EXP(-LN(2)/2)*BR158+(1-EXP(-LN(2)/2))/(LN(2)/2)*BL159*BO159*VLOOKUP('Données projet'!$B$11,Paramètres!$A$1:$I$89,3,0)*0.475*44/12</f>
        <v>8.9489550571597668E-18</v>
      </c>
      <c r="BS159" s="22">
        <f t="shared" si="169"/>
        <v>12.558045196934897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234.00000000000045</v>
      </c>
      <c r="BZ159" s="13">
        <f>BY159*VLOOKUP('Données projet'!$B$12,Paramètres!$A$1:$I$89,3,0)*VLOOKUP('Données projet'!$B$12,Paramètres!$A$1:$I$89,5,0)</f>
        <v>189.82080000000036</v>
      </c>
      <c r="CA159" s="13">
        <f t="shared" si="170"/>
        <v>47.500332100049881</v>
      </c>
      <c r="CB159" s="20">
        <f t="shared" si="171"/>
        <v>413.33430507425419</v>
      </c>
      <c r="CC159" s="59">
        <f t="shared" si="119"/>
        <v>706.66763840758745</v>
      </c>
      <c r="CD159" s="59">
        <f ca="1">AVERAGE(OFFSET($CC$3,0,0,'Données projet'!$E$12+1,1))-AVERAGE(OFFSET($H$3,0,0,'Données projet'!$E$12+1,1))</f>
        <v>192.4785660463869</v>
      </c>
      <c r="CE159" s="59">
        <f t="shared" si="148"/>
        <v>165.11095806515362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6.6781292203377182E-2</v>
      </c>
      <c r="CL159" s="21">
        <f>EXP(-LN(2)/25)*CL158+(1-EXP(-LN(2)/25))/(LN(2)/25)*Calculateur!CG159*Calculateur!CI159*VLOOKUP('Données projet'!$B$12,Paramètres!$A$1:$I$89,3,0)*0.475*44/12</f>
        <v>0.14350281238501872</v>
      </c>
      <c r="CM159" s="21">
        <f>EXP(-LN(2)/2)*CM158+(1-EXP(-LN(2)/2))/(LN(2)/2)*CG159*CJ159*VLOOKUP('Données projet'!$B$12,Paramètres!$A$1:$I$89,3,0)*0.475*44/12</f>
        <v>7.9392009355347515E-19</v>
      </c>
      <c r="CN159" s="22">
        <f t="shared" si="172"/>
        <v>0.21028410458839591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275.00000000000057</v>
      </c>
      <c r="CU159" s="17">
        <f>CT159*VLOOKUP('Données projet'!$B$13,Paramètres!$A$1:$I$89,3,0)*VLOOKUP('Données projet'!$B$13,Paramètres!$A$1:$I$89,5,0)</f>
        <v>231.66000000000051</v>
      </c>
      <c r="CV159" s="13">
        <f t="shared" si="173"/>
        <v>56.641461975682923</v>
      </c>
      <c r="CW159" s="20">
        <f t="shared" si="174"/>
        <v>502.12504627431525</v>
      </c>
      <c r="CX159" s="59">
        <f t="shared" si="122"/>
        <v>795.45837960764857</v>
      </c>
      <c r="CY159" s="59">
        <f ca="1">AVERAGE(OFFSET($CX$3,0,0,'Données projet'!$E$13+1,1))-AVERAGE(OFFSET($H$3,0,0,'Données projet'!$E$13+1,1))</f>
        <v>247.67539667223065</v>
      </c>
      <c r="CZ159" s="59">
        <f t="shared" si="150"/>
        <v>174.54442616983778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0.10567589095919025</v>
      </c>
      <c r="DG159" s="21">
        <f>EXP(-LN(2)/25)*DG158+(1-EXP(-LN(2)/25))/(LN(2)/25)*Calculateur!DB159*Calculateur!DD159*VLOOKUP('Données projet'!$B$13,Paramètres!$A$1:$I$89,3,0)*0.475*44/12</f>
        <v>0.19984574187458981</v>
      </c>
      <c r="DH159" s="21">
        <f>EXP(-LN(2)/2)*DH158+(1-EXP(-LN(2)/2))/(LN(2)/2)*DB159*DE159*VLOOKUP('Données projet'!$B$13,Paramètres!$A$1:$I$89,3,0)*0.475*44/12</f>
        <v>1.2483303562734778E-18</v>
      </c>
      <c r="DI159" s="22">
        <f t="shared" si="175"/>
        <v>0.30552163283378009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1.8717948717948687</v>
      </c>
      <c r="DO159" s="12">
        <f>IF('Données projet'!$A$166&gt;35,DO158+DN159-DW158,IF(A159&lt;'Données projet'!$A$166,$DL$205^A159,IF(A159='Données projet'!$A$166,'Données projet'!$B$166,DO158+DN159-DW158)))</f>
        <v>130.55769230769172</v>
      </c>
      <c r="DP159" s="17">
        <f>DO159*VLOOKUP('Données projet'!$B$14,Paramètres!$A$1:$I$89,3,0)*VLOOKUP('Données projet'!$B$14,Paramètres!$A$1:$I$89,5,0)</f>
        <v>130.34879999999941</v>
      </c>
      <c r="DQ159" s="13">
        <f t="shared" si="176"/>
        <v>34.076944198178857</v>
      </c>
      <c r="DR159" s="20">
        <f t="shared" si="177"/>
        <v>286.37483781182715</v>
      </c>
      <c r="DS159" s="59">
        <f t="shared" si="125"/>
        <v>579.70817114516046</v>
      </c>
      <c r="DT159" s="59">
        <f ca="1">AVERAGE(OFFSET($DS$3,0,0,'Données projet'!$E$14+1,1))-AVERAGE(OFFSET($H$3,0,0,'Données projet'!$E$14+1,1))</f>
        <v>245.06609107649069</v>
      </c>
      <c r="DU159" s="59">
        <f t="shared" si="152"/>
        <v>156.24531945456499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-2.5579538487363607E-13</v>
      </c>
      <c r="EK159" s="17">
        <f>EJ159*VLOOKUP('Données projet'!$B$15,Paramètres!$A$1:$I$89,3,0)*VLOOKUP('Données projet'!$B$15,Paramètres!$A$1:$I$89,5,0)</f>
        <v>-2.7932856028201057E-13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173.63857221119594</v>
      </c>
      <c r="EP159" s="59">
        <f t="shared" si="154"/>
        <v>52.373745617370105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199.58634493109349</v>
      </c>
      <c r="T160" s="59">
        <f t="shared" si="142"/>
        <v>288.66487031729008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0.40403109550683453</v>
      </c>
      <c r="AA160" s="21">
        <f>EXP(-LN(2)/25)*AA159+(1-EXP(-LN(2)/25))/(LN(2)/25)*Calculateur!V160*Calculateur!X160*VLOOKUP('Données projet'!$B$9,Paramètres!$A$1:$I$89,3,0)*0.475*44/12</f>
        <v>0.50643125289846214</v>
      </c>
      <c r="AB160" s="21">
        <f>EXP(-LN(2)/2)*AB159+(1-EXP(-LN(2)/2))/(LN(2)/2)*V160*Y160*VLOOKUP('Données projet'!$B$9,Paramètres!$A$1:$I$89,3,0)*0.475*44/12</f>
        <v>2.2615325458463728E-19</v>
      </c>
      <c r="AC160" s="22">
        <f t="shared" si="163"/>
        <v>0.91046234840529672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606.99999999999989</v>
      </c>
      <c r="AJ160" s="13">
        <f>AI160*VLOOKUP('Données projet'!$B$10,Paramètres!$A$1:$I$89,3,0)*VLOOKUP('Données projet'!$B$10,Paramètres!$A$1:$I$89,5,0)</f>
        <v>362.98599999999999</v>
      </c>
      <c r="AK160" s="13">
        <f t="shared" si="164"/>
        <v>84.230767602863935</v>
      </c>
      <c r="AL160" s="20">
        <f t="shared" si="165"/>
        <v>778.90253690832139</v>
      </c>
      <c r="AM160" s="59">
        <f t="shared" si="113"/>
        <v>1072.2358702416548</v>
      </c>
      <c r="AN160" s="59">
        <f ca="1">AVERAGE(OFFSET($AM$3,0,0,'Données projet'!$E$10+1,1))-AVERAGE(OFFSET($H$3,0,0,'Données projet'!$E$10+1,1))</f>
        <v>395.40396173178527</v>
      </c>
      <c r="AO160" s="59">
        <f t="shared" si="144"/>
        <v>304.68075128568756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0.24244459072876384</v>
      </c>
      <c r="AV160" s="21">
        <f>EXP(-LN(2)/25)*AV159+(1-EXP(-LN(2)/25))/(LN(2)/25)*Calculateur!AQ160*Calculateur!AS160*VLOOKUP('Données projet'!$B$10,Paramètres!$A$1:$I$89,3,0)*0.475*44/12</f>
        <v>0.55271637816196828</v>
      </c>
      <c r="AW160" s="21">
        <f>EXP(-LN(2)/2)*AW159+(1-EXP(-LN(2)/2))/(LN(2)/2)*AQ160*AT160*VLOOKUP('Données projet'!$B$10,Paramètres!$A$1:$I$89,3,0)*0.475*44/12</f>
        <v>1.9937432905089097E-18</v>
      </c>
      <c r="AX160" s="21">
        <f t="shared" si="166"/>
        <v>0.79516096889073218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36.10000000000008</v>
      </c>
      <c r="BE160" s="13">
        <f>BD160*VLOOKUP('Données projet'!$B$11,Paramètres!$A$1:$I$89,3,0)*VLOOKUP('Données projet'!$B$11,Paramètres!$A$1:$I$89,5,0)</f>
        <v>31.536960000000075</v>
      </c>
      <c r="BF160" s="13">
        <f t="shared" si="167"/>
        <v>9.725440120377133</v>
      </c>
      <c r="BG160" s="20">
        <f t="shared" si="168"/>
        <v>71.865346876323642</v>
      </c>
      <c r="BH160" s="59">
        <f t="shared" si="116"/>
        <v>365.19868020965697</v>
      </c>
      <c r="BI160" s="59">
        <f ca="1">AVERAGE(OFFSET($BH$3,0,0,'Données projet'!$E$11+1,1))-AVERAGE(OFFSET($H$3,0,0,'Données projet'!$E$11+1,1))</f>
        <v>249.21292089724221</v>
      </c>
      <c r="BJ160" s="59">
        <f t="shared" si="146"/>
        <v>640.80644476065254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9.1179401604154329</v>
      </c>
      <c r="BQ160" s="21">
        <f>EXP(-LN(2)/25)*BQ159+(1-EXP(-LN(2)/25))/(LN(2)/25)*Calculateur!BL160*Calculateur!BN160*VLOOKUP('Données projet'!$B$11,Paramètres!$A$1:$I$89,3,0)*0.475*44/12</f>
        <v>3.168648717915524</v>
      </c>
      <c r="BR160" s="21">
        <f>EXP(-LN(2)/2)*BR159+(1-EXP(-LN(2)/2))/(LN(2)/2)*BL160*BO160*VLOOKUP('Données projet'!$B$11,Paramètres!$A$1:$I$89,3,0)*0.475*44/12</f>
        <v>6.3278668054513192E-18</v>
      </c>
      <c r="BS160" s="22">
        <f t="shared" si="169"/>
        <v>12.286588878330956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234.00000000000045</v>
      </c>
      <c r="BZ160" s="13">
        <f>BY160*VLOOKUP('Données projet'!$B$12,Paramètres!$A$1:$I$89,3,0)*VLOOKUP('Données projet'!$B$12,Paramètres!$A$1:$I$89,5,0)</f>
        <v>189.82080000000036</v>
      </c>
      <c r="CA160" s="13">
        <f t="shared" si="170"/>
        <v>47.500332100049881</v>
      </c>
      <c r="CB160" s="20">
        <f t="shared" si="171"/>
        <v>413.33430507425419</v>
      </c>
      <c r="CC160" s="59">
        <f t="shared" si="119"/>
        <v>706.66763840758745</v>
      </c>
      <c r="CD160" s="59">
        <f ca="1">AVERAGE(OFFSET($CC$3,0,0,'Données projet'!$E$12+1,1))-AVERAGE(OFFSET($H$3,0,0,'Données projet'!$E$12+1,1))</f>
        <v>192.4785660463869</v>
      </c>
      <c r="CE160" s="59">
        <f t="shared" si="148"/>
        <v>165.11095806515362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6.5471751795835198E-2</v>
      </c>
      <c r="CL160" s="21">
        <f>EXP(-LN(2)/25)*CL159+(1-EXP(-LN(2)/25))/(LN(2)/25)*Calculateur!CG160*Calculateur!CI160*VLOOKUP('Données projet'!$B$12,Paramètres!$A$1:$I$89,3,0)*0.475*44/12</f>
        <v>0.13957872043386546</v>
      </c>
      <c r="CM160" s="21">
        <f>EXP(-LN(2)/2)*CM159+(1-EXP(-LN(2)/2))/(LN(2)/2)*CG160*CJ160*VLOOKUP('Données projet'!$B$12,Paramètres!$A$1:$I$89,3,0)*0.475*44/12</f>
        <v>5.6138628187192049E-19</v>
      </c>
      <c r="CN160" s="22">
        <f t="shared" si="172"/>
        <v>0.20505047222970066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275.00000000000057</v>
      </c>
      <c r="CU160" s="17">
        <f>CT160*VLOOKUP('Données projet'!$B$13,Paramètres!$A$1:$I$89,3,0)*VLOOKUP('Données projet'!$B$13,Paramètres!$A$1:$I$89,5,0)</f>
        <v>231.66000000000051</v>
      </c>
      <c r="CV160" s="13">
        <f t="shared" si="173"/>
        <v>56.641461975682923</v>
      </c>
      <c r="CW160" s="20">
        <f t="shared" si="174"/>
        <v>502.12504627431525</v>
      </c>
      <c r="CX160" s="59">
        <f t="shared" si="122"/>
        <v>795.45837960764857</v>
      </c>
      <c r="CY160" s="59">
        <f ca="1">AVERAGE(OFFSET($CX$3,0,0,'Données projet'!$E$13+1,1))-AVERAGE(OFFSET($H$3,0,0,'Données projet'!$E$13+1,1))</f>
        <v>247.67539667223065</v>
      </c>
      <c r="CZ160" s="59">
        <f t="shared" si="150"/>
        <v>174.54442616983778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0.10360365119340952</v>
      </c>
      <c r="DG160" s="21">
        <f>EXP(-LN(2)/25)*DG159+(1-EXP(-LN(2)/25))/(LN(2)/25)*Calculateur!DB160*Calculateur!DD160*VLOOKUP('Données projet'!$B$13,Paramètres!$A$1:$I$89,3,0)*0.475*44/12</f>
        <v>0.19438094955359833</v>
      </c>
      <c r="DH160" s="21">
        <f>EXP(-LN(2)/2)*DH159+(1-EXP(-LN(2)/2))/(LN(2)/2)*DB160*DE160*VLOOKUP('Données projet'!$B$13,Paramètres!$A$1:$I$89,3,0)*0.475*44/12</f>
        <v>8.8270286008199497E-19</v>
      </c>
      <c r="DI160" s="22">
        <f t="shared" si="175"/>
        <v>0.29798460074700783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132.42948717948718</v>
      </c>
      <c r="DM160" s="12">
        <f>VLOOKUP(A160,'Données projet'!$A$165:$I$185,9,0)</f>
        <v>1.8717948717948687</v>
      </c>
      <c r="DN160" s="12">
        <f t="array" ref="DN160">INDEX(DM:DM,MIN(IF(ISNUMBER(DM160:DM356),ROW(DM160:DM356),"")))</f>
        <v>1.8717948717948687</v>
      </c>
      <c r="DO160" s="12">
        <f>IF('Données projet'!$A$166&gt;35,DO159+DN160-DW159,IF(A160&lt;'Données projet'!$A$166,$DL$205^A160,IF(A160='Données projet'!$A$166,'Données projet'!$B$166,DO159+DN160-DW159)))</f>
        <v>132.42948717948659</v>
      </c>
      <c r="DP160" s="17">
        <f>DO160*VLOOKUP('Données projet'!$B$14,Paramètres!$A$1:$I$89,3,0)*VLOOKUP('Données projet'!$B$14,Paramètres!$A$1:$I$89,5,0)</f>
        <v>132.21759999999941</v>
      </c>
      <c r="DQ160" s="13">
        <f t="shared" si="176"/>
        <v>34.508276048554009</v>
      </c>
      <c r="DR160" s="20">
        <f t="shared" si="177"/>
        <v>290.38090078456383</v>
      </c>
      <c r="DS160" s="59">
        <f t="shared" si="125"/>
        <v>583.71423411789715</v>
      </c>
      <c r="DT160" s="59">
        <f ca="1">AVERAGE(OFFSET($DS$3,0,0,'Données projet'!$E$14+1,1))-AVERAGE(OFFSET($H$3,0,0,'Données projet'!$E$14+1,1))</f>
        <v>245.06609107649069</v>
      </c>
      <c r="DU160" s="59">
        <f t="shared" si="152"/>
        <v>156.24531945456499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45.71153846153846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-2.5579538487363607E-13</v>
      </c>
      <c r="EK160" s="17">
        <f>EJ160*VLOOKUP('Données projet'!$B$15,Paramètres!$A$1:$I$89,3,0)*VLOOKUP('Données projet'!$B$15,Paramètres!$A$1:$I$89,5,0)</f>
        <v>-2.7932856028201057E-13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173.63857221119594</v>
      </c>
      <c r="EP160" s="59">
        <f t="shared" si="154"/>
        <v>52.373745617370105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199.58634493109349</v>
      </c>
      <c r="T161" s="59">
        <f t="shared" si="142"/>
        <v>288.66487031729008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0.39610829215858034</v>
      </c>
      <c r="AA161" s="21">
        <f>EXP(-LN(2)/25)*AA160+(1-EXP(-LN(2)/25))/(LN(2)/25)*Calculateur!V161*Calculateur!X161*VLOOKUP('Données projet'!$B$9,Paramètres!$A$1:$I$89,3,0)*0.475*44/12</f>
        <v>0.49258286365589155</v>
      </c>
      <c r="AB161" s="21">
        <f>EXP(-LN(2)/2)*AB160+(1-EXP(-LN(2)/2))/(LN(2)/2)*V161*Y161*VLOOKUP('Données projet'!$B$9,Paramètres!$A$1:$I$89,3,0)*0.475*44/12</f>
        <v>1.5991449990420469E-19</v>
      </c>
      <c r="AC161" s="22">
        <f t="shared" si="163"/>
        <v>0.88869115581447189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606.99999999999989</v>
      </c>
      <c r="AJ161" s="13">
        <f>AI161*VLOOKUP('Données projet'!$B$10,Paramètres!$A$1:$I$89,3,0)*VLOOKUP('Données projet'!$B$10,Paramètres!$A$1:$I$89,5,0)</f>
        <v>362.98599999999999</v>
      </c>
      <c r="AK161" s="13">
        <f t="shared" si="164"/>
        <v>84.230767602863935</v>
      </c>
      <c r="AL161" s="20">
        <f t="shared" si="165"/>
        <v>778.90253690832139</v>
      </c>
      <c r="AM161" s="59">
        <f t="shared" si="113"/>
        <v>1072.2358702416548</v>
      </c>
      <c r="AN161" s="59">
        <f ca="1">AVERAGE(OFFSET($AM$3,0,0,'Données projet'!$E$10+1,1))-AVERAGE(OFFSET($H$3,0,0,'Données projet'!$E$10+1,1))</f>
        <v>395.40396173178527</v>
      </c>
      <c r="AO161" s="59">
        <f t="shared" si="144"/>
        <v>304.68075128568756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0.23769040018117152</v>
      </c>
      <c r="AV161" s="21">
        <f>EXP(-LN(2)/25)*AV160+(1-EXP(-LN(2)/25))/(LN(2)/25)*Calculateur!AQ161*Calculateur!AS161*VLOOKUP('Données projet'!$B$10,Paramètres!$A$1:$I$89,3,0)*0.475*44/12</f>
        <v>0.53760231973503814</v>
      </c>
      <c r="AW161" s="21">
        <f>EXP(-LN(2)/2)*AW160+(1-EXP(-LN(2)/2))/(LN(2)/2)*AQ161*AT161*VLOOKUP('Données projet'!$B$10,Paramètres!$A$1:$I$89,3,0)*0.475*44/12</f>
        <v>1.4097894006640309E-18</v>
      </c>
      <c r="AX161" s="21">
        <f t="shared" si="166"/>
        <v>0.77529271991620963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36.10000000000008</v>
      </c>
      <c r="BE161" s="13">
        <f>BD161*VLOOKUP('Données projet'!$B$11,Paramètres!$A$1:$I$89,3,0)*VLOOKUP('Données projet'!$B$11,Paramètres!$A$1:$I$89,5,0)</f>
        <v>31.536960000000075</v>
      </c>
      <c r="BF161" s="13">
        <f t="shared" si="167"/>
        <v>9.725440120377133</v>
      </c>
      <c r="BG161" s="20">
        <f t="shared" si="168"/>
        <v>71.865346876323642</v>
      </c>
      <c r="BH161" s="59">
        <f t="shared" si="116"/>
        <v>365.19868020965697</v>
      </c>
      <c r="BI161" s="59">
        <f ca="1">AVERAGE(OFFSET($BH$3,0,0,'Données projet'!$E$11+1,1))-AVERAGE(OFFSET($H$3,0,0,'Données projet'!$E$11+1,1))</f>
        <v>249.21292089724221</v>
      </c>
      <c r="BJ161" s="59">
        <f t="shared" si="146"/>
        <v>640.80644476065254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8.9391429152640427</v>
      </c>
      <c r="BQ161" s="21">
        <f>EXP(-LN(2)/25)*BQ160+(1-EXP(-LN(2)/25))/(LN(2)/25)*Calculateur!BL161*Calculateur!BN161*VLOOKUP('Données projet'!$B$11,Paramètres!$A$1:$I$89,3,0)*0.475*44/12</f>
        <v>3.0820018520921302</v>
      </c>
      <c r="BR161" s="21">
        <f>EXP(-LN(2)/2)*BR160+(1-EXP(-LN(2)/2))/(LN(2)/2)*BL161*BO161*VLOOKUP('Données projet'!$B$11,Paramètres!$A$1:$I$89,3,0)*0.475*44/12</f>
        <v>4.4744775285798834E-18</v>
      </c>
      <c r="BS161" s="22">
        <f t="shared" si="169"/>
        <v>12.021144767356173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234.00000000000045</v>
      </c>
      <c r="BZ161" s="13">
        <f>BY161*VLOOKUP('Données projet'!$B$12,Paramètres!$A$1:$I$89,3,0)*VLOOKUP('Données projet'!$B$12,Paramètres!$A$1:$I$89,5,0)</f>
        <v>189.82080000000036</v>
      </c>
      <c r="CA161" s="13">
        <f t="shared" si="170"/>
        <v>47.500332100049881</v>
      </c>
      <c r="CB161" s="20">
        <f t="shared" si="171"/>
        <v>413.33430507425419</v>
      </c>
      <c r="CC161" s="59">
        <f t="shared" si="119"/>
        <v>706.66763840758745</v>
      </c>
      <c r="CD161" s="59">
        <f ca="1">AVERAGE(OFFSET($CC$3,0,0,'Données projet'!$E$12+1,1))-AVERAGE(OFFSET($H$3,0,0,'Données projet'!$E$12+1,1))</f>
        <v>192.4785660463869</v>
      </c>
      <c r="CE161" s="59">
        <f t="shared" si="148"/>
        <v>165.11095806515362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6.4187890676944331E-2</v>
      </c>
      <c r="CL161" s="21">
        <f>EXP(-LN(2)/25)*CL160+(1-EXP(-LN(2)/25))/(LN(2)/25)*Calculateur!CG161*Calculateur!CI161*VLOOKUP('Données projet'!$B$12,Paramètres!$A$1:$I$89,3,0)*0.475*44/12</f>
        <v>0.13576193298347553</v>
      </c>
      <c r="CM161" s="21">
        <f>EXP(-LN(2)/2)*CM160+(1-EXP(-LN(2)/2))/(LN(2)/2)*CG161*CJ161*VLOOKUP('Données projet'!$B$12,Paramètres!$A$1:$I$89,3,0)*0.475*44/12</f>
        <v>3.9696004677673758E-19</v>
      </c>
      <c r="CN161" s="22">
        <f t="shared" si="172"/>
        <v>0.19994982366041986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275.00000000000057</v>
      </c>
      <c r="CU161" s="17">
        <f>CT161*VLOOKUP('Données projet'!$B$13,Paramètres!$A$1:$I$89,3,0)*VLOOKUP('Données projet'!$B$13,Paramètres!$A$1:$I$89,5,0)</f>
        <v>231.66000000000051</v>
      </c>
      <c r="CV161" s="13">
        <f t="shared" si="173"/>
        <v>56.641461975682923</v>
      </c>
      <c r="CW161" s="20">
        <f t="shared" si="174"/>
        <v>502.12504627431525</v>
      </c>
      <c r="CX161" s="59">
        <f t="shared" si="122"/>
        <v>795.45837960764857</v>
      </c>
      <c r="CY161" s="59">
        <f ca="1">AVERAGE(OFFSET($CX$3,0,0,'Données projet'!$E$13+1,1))-AVERAGE(OFFSET($H$3,0,0,'Données projet'!$E$13+1,1))</f>
        <v>247.67539667223065</v>
      </c>
      <c r="CZ161" s="59">
        <f t="shared" si="150"/>
        <v>174.54442616983778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0.10157204678549429</v>
      </c>
      <c r="DG161" s="21">
        <f>EXP(-LN(2)/25)*DG160+(1-EXP(-LN(2)/25))/(LN(2)/25)*Calculateur!DB161*Calculateur!DD161*VLOOKUP('Données projet'!$B$13,Paramètres!$A$1:$I$89,3,0)*0.475*44/12</f>
        <v>0.18906559226600531</v>
      </c>
      <c r="DH161" s="21">
        <f>EXP(-LN(2)/2)*DH160+(1-EXP(-LN(2)/2))/(LN(2)/2)*DB161*DE161*VLOOKUP('Données projet'!$B$13,Paramètres!$A$1:$I$89,3,0)*0.475*44/12</f>
        <v>6.2416517813673891E-19</v>
      </c>
      <c r="DI161" s="22">
        <f t="shared" si="175"/>
        <v>0.29063763905149959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1.1618589743589709</v>
      </c>
      <c r="DO161" s="12">
        <f>IF('Données projet'!$A$166&gt;35,DO160+DN161-DW160,IF(A161&lt;'Données projet'!$A$166,$DL$205^A161,IF(A161='Données projet'!$A$166,'Données projet'!$B$166,DO160+DN161-DW160)))</f>
        <v>87.879807692307111</v>
      </c>
      <c r="DP161" s="17">
        <f>DO161*VLOOKUP('Données projet'!$B$14,Paramètres!$A$1:$I$89,3,0)*VLOOKUP('Données projet'!$B$14,Paramètres!$A$1:$I$89,5,0)</f>
        <v>87.739199999999428</v>
      </c>
      <c r="DQ161" s="13">
        <f t="shared" si="176"/>
        <v>24.019169773975587</v>
      </c>
      <c r="DR161" s="20">
        <f t="shared" si="177"/>
        <v>194.64582735633982</v>
      </c>
      <c r="DS161" s="59">
        <f t="shared" si="125"/>
        <v>487.97916068967311</v>
      </c>
      <c r="DT161" s="59">
        <f ca="1">AVERAGE(OFFSET($DS$3,0,0,'Données projet'!$E$14+1,1))-AVERAGE(OFFSET($H$3,0,0,'Données projet'!$E$14+1,1))</f>
        <v>245.06609107649069</v>
      </c>
      <c r="DU161" s="59">
        <f t="shared" si="152"/>
        <v>156.24531945456499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-2.5579538487363607E-13</v>
      </c>
      <c r="EK161" s="17">
        <f>EJ161*VLOOKUP('Données projet'!$B$15,Paramètres!$A$1:$I$89,3,0)*VLOOKUP('Données projet'!$B$15,Paramètres!$A$1:$I$89,5,0)</f>
        <v>-2.7932856028201057E-13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173.63857221119594</v>
      </c>
      <c r="EP161" s="59">
        <f t="shared" si="154"/>
        <v>52.373745617370105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199.58634493109349</v>
      </c>
      <c r="T162" s="59">
        <f t="shared" si="142"/>
        <v>288.66487031729008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0.38834085015155256</v>
      </c>
      <c r="AA162" s="21">
        <f>EXP(-LN(2)/25)*AA161+(1-EXP(-LN(2)/25))/(LN(2)/25)*Calculateur!V162*Calculateur!X162*VLOOKUP('Données projet'!$B$9,Paramètres!$A$1:$I$89,3,0)*0.475*44/12</f>
        <v>0.47911315934541421</v>
      </c>
      <c r="AB162" s="21">
        <f>EXP(-LN(2)/2)*AB161+(1-EXP(-LN(2)/2))/(LN(2)/2)*V162*Y162*VLOOKUP('Données projet'!$B$9,Paramètres!$A$1:$I$89,3,0)*0.475*44/12</f>
        <v>1.1307662729231864E-19</v>
      </c>
      <c r="AC162" s="22">
        <f t="shared" si="163"/>
        <v>0.86745400949696672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606.99999999999989</v>
      </c>
      <c r="AJ162" s="13">
        <f>AI162*VLOOKUP('Données projet'!$B$10,Paramètres!$A$1:$I$89,3,0)*VLOOKUP('Données projet'!$B$10,Paramètres!$A$1:$I$89,5,0)</f>
        <v>362.98599999999999</v>
      </c>
      <c r="AK162" s="13">
        <f t="shared" si="164"/>
        <v>84.230767602863935</v>
      </c>
      <c r="AL162" s="20">
        <f t="shared" si="165"/>
        <v>778.90253690832139</v>
      </c>
      <c r="AM162" s="59">
        <f t="shared" si="113"/>
        <v>1072.2358702416548</v>
      </c>
      <c r="AN162" s="59">
        <f ca="1">AVERAGE(OFFSET($AM$3,0,0,'Données projet'!$E$10+1,1))-AVERAGE(OFFSET($H$3,0,0,'Données projet'!$E$10+1,1))</f>
        <v>395.40396173178527</v>
      </c>
      <c r="AO162" s="59">
        <f t="shared" si="144"/>
        <v>304.68075128568756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0.23302943641044757</v>
      </c>
      <c r="AV162" s="21">
        <f>EXP(-LN(2)/25)*AV161+(1-EXP(-LN(2)/25))/(LN(2)/25)*Calculateur!AQ162*Calculateur!AS162*VLOOKUP('Données projet'!$B$10,Paramètres!$A$1:$I$89,3,0)*0.475*44/12</f>
        <v>0.52290155603060628</v>
      </c>
      <c r="AW162" s="21">
        <f>EXP(-LN(2)/2)*AW161+(1-EXP(-LN(2)/2))/(LN(2)/2)*AQ162*AT162*VLOOKUP('Données projet'!$B$10,Paramètres!$A$1:$I$89,3,0)*0.475*44/12</f>
        <v>9.9687164525445484E-19</v>
      </c>
      <c r="AX162" s="21">
        <f t="shared" si="166"/>
        <v>0.75593099244105388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36.10000000000008</v>
      </c>
      <c r="BE162" s="13">
        <f>BD162*VLOOKUP('Données projet'!$B$11,Paramètres!$A$1:$I$89,3,0)*VLOOKUP('Données projet'!$B$11,Paramètres!$A$1:$I$89,5,0)</f>
        <v>31.536960000000075</v>
      </c>
      <c r="BF162" s="13">
        <f t="shared" si="167"/>
        <v>9.725440120377133</v>
      </c>
      <c r="BG162" s="20">
        <f t="shared" si="168"/>
        <v>71.865346876323642</v>
      </c>
      <c r="BH162" s="59">
        <f t="shared" si="116"/>
        <v>365.19868020965697</v>
      </c>
      <c r="BI162" s="59">
        <f ca="1">AVERAGE(OFFSET($BH$3,0,0,'Données projet'!$E$11+1,1))-AVERAGE(OFFSET($H$3,0,0,'Données projet'!$E$11+1,1))</f>
        <v>249.21292089724221</v>
      </c>
      <c r="BJ162" s="59">
        <f t="shared" si="146"/>
        <v>640.80644476065254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8.7638517750345191</v>
      </c>
      <c r="BQ162" s="21">
        <f>EXP(-LN(2)/25)*BQ161+(1-EXP(-LN(2)/25))/(LN(2)/25)*Calculateur!BL162*Calculateur!BN162*VLOOKUP('Données projet'!$B$11,Paramètres!$A$1:$I$89,3,0)*0.475*44/12</f>
        <v>2.9977243493712376</v>
      </c>
      <c r="BR162" s="21">
        <f>EXP(-LN(2)/2)*BR161+(1-EXP(-LN(2)/2))/(LN(2)/2)*BL162*BO162*VLOOKUP('Données projet'!$B$11,Paramètres!$A$1:$I$89,3,0)*0.475*44/12</f>
        <v>3.1639334027256596E-18</v>
      </c>
      <c r="BS162" s="22">
        <f t="shared" si="169"/>
        <v>11.761576124405757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234.00000000000045</v>
      </c>
      <c r="BZ162" s="13">
        <f>BY162*VLOOKUP('Données projet'!$B$12,Paramètres!$A$1:$I$89,3,0)*VLOOKUP('Données projet'!$B$12,Paramètres!$A$1:$I$89,5,0)</f>
        <v>189.82080000000036</v>
      </c>
      <c r="CA162" s="13">
        <f t="shared" si="170"/>
        <v>47.500332100049881</v>
      </c>
      <c r="CB162" s="20">
        <f t="shared" si="171"/>
        <v>413.33430507425419</v>
      </c>
      <c r="CC162" s="59">
        <f t="shared" si="119"/>
        <v>706.66763840758745</v>
      </c>
      <c r="CD162" s="59">
        <f ca="1">AVERAGE(OFFSET($CC$3,0,0,'Données projet'!$E$12+1,1))-AVERAGE(OFFSET($H$3,0,0,'Données projet'!$E$12+1,1))</f>
        <v>192.4785660463869</v>
      </c>
      <c r="CE162" s="59">
        <f t="shared" si="148"/>
        <v>165.11095806515362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6.2929205291516951E-2</v>
      </c>
      <c r="CL162" s="21">
        <f>EXP(-LN(2)/25)*CL161+(1-EXP(-LN(2)/25))/(LN(2)/25)*Calculateur!CG162*Calculateur!CI162*VLOOKUP('Données projet'!$B$12,Paramètres!$A$1:$I$89,3,0)*0.475*44/12</f>
        <v>0.13204951578663263</v>
      </c>
      <c r="CM162" s="21">
        <f>EXP(-LN(2)/2)*CM161+(1-EXP(-LN(2)/2))/(LN(2)/2)*CG162*CJ162*VLOOKUP('Données projet'!$B$12,Paramètres!$A$1:$I$89,3,0)*0.475*44/12</f>
        <v>2.8069314093596024E-19</v>
      </c>
      <c r="CN162" s="22">
        <f t="shared" si="172"/>
        <v>0.19497872107814956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275.00000000000057</v>
      </c>
      <c r="CU162" s="17">
        <f>CT162*VLOOKUP('Données projet'!$B$13,Paramètres!$A$1:$I$89,3,0)*VLOOKUP('Données projet'!$B$13,Paramètres!$A$1:$I$89,5,0)</f>
        <v>231.66000000000051</v>
      </c>
      <c r="CV162" s="13">
        <f t="shared" si="173"/>
        <v>56.641461975682923</v>
      </c>
      <c r="CW162" s="20">
        <f t="shared" si="174"/>
        <v>502.12504627431525</v>
      </c>
      <c r="CX162" s="59">
        <f t="shared" si="122"/>
        <v>795.45837960764857</v>
      </c>
      <c r="CY162" s="59">
        <f ca="1">AVERAGE(OFFSET($CX$3,0,0,'Données projet'!$E$13+1,1))-AVERAGE(OFFSET($H$3,0,0,'Données projet'!$E$13+1,1))</f>
        <v>247.67539667223065</v>
      </c>
      <c r="CZ162" s="59">
        <f t="shared" si="150"/>
        <v>174.54442616983778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9.9580280900861962E-2</v>
      </c>
      <c r="DG162" s="21">
        <f>EXP(-LN(2)/25)*DG161+(1-EXP(-LN(2)/25))/(LN(2)/25)*Calculateur!DB162*Calculateur!DD162*VLOOKUP('Données projet'!$B$13,Paramètres!$A$1:$I$89,3,0)*0.475*44/12</f>
        <v>0.18389558370296402</v>
      </c>
      <c r="DH162" s="21">
        <f>EXP(-LN(2)/2)*DH161+(1-EXP(-LN(2)/2))/(LN(2)/2)*DB162*DE162*VLOOKUP('Données projet'!$B$13,Paramètres!$A$1:$I$89,3,0)*0.475*44/12</f>
        <v>4.4135143004099749E-19</v>
      </c>
      <c r="DI162" s="22">
        <f t="shared" si="175"/>
        <v>0.28347586460382601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1.1618589743589709</v>
      </c>
      <c r="DO162" s="12">
        <f>IF('Données projet'!$A$166&gt;35,DO161+DN162-DW161,IF(A162&lt;'Données projet'!$A$166,$DL$205^A162,IF(A162='Données projet'!$A$166,'Données projet'!$B$166,DO161+DN162-DW161)))</f>
        <v>89.041666666666089</v>
      </c>
      <c r="DP162" s="17">
        <f>DO162*VLOOKUP('Données projet'!$B$14,Paramètres!$A$1:$I$89,3,0)*VLOOKUP('Données projet'!$B$14,Paramètres!$A$1:$I$89,5,0)</f>
        <v>88.899199999999425</v>
      </c>
      <c r="DQ162" s="13">
        <f t="shared" si="176"/>
        <v>24.299548688606205</v>
      </c>
      <c r="DR162" s="20">
        <f t="shared" si="177"/>
        <v>197.15448729932146</v>
      </c>
      <c r="DS162" s="59">
        <f t="shared" si="125"/>
        <v>490.4878206326548</v>
      </c>
      <c r="DT162" s="59">
        <f ca="1">AVERAGE(OFFSET($DS$3,0,0,'Données projet'!$E$14+1,1))-AVERAGE(OFFSET($H$3,0,0,'Données projet'!$E$14+1,1))</f>
        <v>245.06609107649069</v>
      </c>
      <c r="DU162" s="59">
        <f t="shared" si="152"/>
        <v>156.24531945456499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-2.5579538487363607E-13</v>
      </c>
      <c r="EK162" s="17">
        <f>EJ162*VLOOKUP('Données projet'!$B$15,Paramètres!$A$1:$I$89,3,0)*VLOOKUP('Données projet'!$B$15,Paramètres!$A$1:$I$89,5,0)</f>
        <v>-2.7932856028201057E-13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173.63857221119594</v>
      </c>
      <c r="EP162" s="59">
        <f t="shared" si="154"/>
        <v>52.373745617370105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199.58634493109349</v>
      </c>
      <c r="T163" s="59">
        <f t="shared" si="142"/>
        <v>288.66487031729008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0.38072572294461077</v>
      </c>
      <c r="AA163" s="21">
        <f>EXP(-LN(2)/25)*AA162+(1-EXP(-LN(2)/25))/(LN(2)/25)*Calculateur!V163*Calculateur!X163*VLOOKUP('Données projet'!$B$9,Paramètres!$A$1:$I$89,3,0)*0.475*44/12</f>
        <v>0.46601178480764782</v>
      </c>
      <c r="AB163" s="21">
        <f>EXP(-LN(2)/2)*AB162+(1-EXP(-LN(2)/2))/(LN(2)/2)*V163*Y163*VLOOKUP('Données projet'!$B$9,Paramètres!$A$1:$I$89,3,0)*0.475*44/12</f>
        <v>7.9957249952102344E-20</v>
      </c>
      <c r="AC163" s="22">
        <f t="shared" si="163"/>
        <v>0.84673750775225853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606.99999999999989</v>
      </c>
      <c r="AJ163" s="13">
        <f>AI163*VLOOKUP('Données projet'!$B$10,Paramètres!$A$1:$I$89,3,0)*VLOOKUP('Données projet'!$B$10,Paramètres!$A$1:$I$89,5,0)</f>
        <v>362.98599999999999</v>
      </c>
      <c r="AK163" s="13">
        <f t="shared" si="164"/>
        <v>84.230767602863935</v>
      </c>
      <c r="AL163" s="20">
        <f t="shared" si="165"/>
        <v>778.90253690832139</v>
      </c>
      <c r="AM163" s="59">
        <f t="shared" si="113"/>
        <v>1072.2358702416548</v>
      </c>
      <c r="AN163" s="59">
        <f ca="1">AVERAGE(OFFSET($AM$3,0,0,'Données projet'!$E$10+1,1))-AVERAGE(OFFSET($H$3,0,0,'Données projet'!$E$10+1,1))</f>
        <v>395.40396173178527</v>
      </c>
      <c r="AO163" s="59">
        <f t="shared" si="144"/>
        <v>304.68075128568756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0.22845987129636033</v>
      </c>
      <c r="AV163" s="21">
        <f>EXP(-LN(2)/25)*AV162+(1-EXP(-LN(2)/25))/(LN(2)/25)*Calculateur!AQ163*Calculateur!AS163*VLOOKUP('Données projet'!$B$10,Paramètres!$A$1:$I$89,3,0)*0.475*44/12</f>
        <v>0.50860278548275162</v>
      </c>
      <c r="AW163" s="21">
        <f>EXP(-LN(2)/2)*AW162+(1-EXP(-LN(2)/2))/(LN(2)/2)*AQ163*AT163*VLOOKUP('Données projet'!$B$10,Paramètres!$A$1:$I$89,3,0)*0.475*44/12</f>
        <v>7.0489470033201544E-19</v>
      </c>
      <c r="AX163" s="21">
        <f t="shared" si="166"/>
        <v>0.73706265677911198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36.10000000000008</v>
      </c>
      <c r="BE163" s="13">
        <f>BD163*VLOOKUP('Données projet'!$B$11,Paramètres!$A$1:$I$89,3,0)*VLOOKUP('Données projet'!$B$11,Paramètres!$A$1:$I$89,5,0)</f>
        <v>31.536960000000075</v>
      </c>
      <c r="BF163" s="13">
        <f t="shared" si="167"/>
        <v>9.725440120377133</v>
      </c>
      <c r="BG163" s="20">
        <f t="shared" si="168"/>
        <v>71.865346876323642</v>
      </c>
      <c r="BH163" s="59">
        <f t="shared" si="116"/>
        <v>365.19868020965697</v>
      </c>
      <c r="BI163" s="59">
        <f ca="1">AVERAGE(OFFSET($BH$3,0,0,'Données projet'!$E$11+1,1))-AVERAGE(OFFSET($H$3,0,0,'Données projet'!$E$11+1,1))</f>
        <v>249.21292089724221</v>
      </c>
      <c r="BJ163" s="59">
        <f t="shared" si="146"/>
        <v>640.80644476065254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8.5919979871478578</v>
      </c>
      <c r="BQ163" s="21">
        <f>EXP(-LN(2)/25)*BQ162+(1-EXP(-LN(2)/25))/(LN(2)/25)*Calculateur!BL163*Calculateur!BN163*VLOOKUP('Données projet'!$B$11,Paramètres!$A$1:$I$89,3,0)*0.475*44/12</f>
        <v>2.9157514193942089</v>
      </c>
      <c r="BR163" s="21">
        <f>EXP(-LN(2)/2)*BR162+(1-EXP(-LN(2)/2))/(LN(2)/2)*BL163*BO163*VLOOKUP('Données projet'!$B$11,Paramètres!$A$1:$I$89,3,0)*0.475*44/12</f>
        <v>2.2372387642899417E-18</v>
      </c>
      <c r="BS163" s="22">
        <f t="shared" si="169"/>
        <v>11.507749406542066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234.00000000000045</v>
      </c>
      <c r="BZ163" s="13">
        <f>BY163*VLOOKUP('Données projet'!$B$12,Paramètres!$A$1:$I$89,3,0)*VLOOKUP('Données projet'!$B$12,Paramètres!$A$1:$I$89,5,0)</f>
        <v>189.82080000000036</v>
      </c>
      <c r="CA163" s="13">
        <f t="shared" si="170"/>
        <v>47.500332100049881</v>
      </c>
      <c r="CB163" s="20">
        <f t="shared" si="171"/>
        <v>413.33430507425419</v>
      </c>
      <c r="CC163" s="59">
        <f t="shared" si="119"/>
        <v>706.66763840758745</v>
      </c>
      <c r="CD163" s="59">
        <f ca="1">AVERAGE(OFFSET($CC$3,0,0,'Données projet'!$E$12+1,1))-AVERAGE(OFFSET($H$3,0,0,'Données projet'!$E$12+1,1))</f>
        <v>192.4785660463869</v>
      </c>
      <c r="CE163" s="59">
        <f t="shared" si="148"/>
        <v>165.11095806515362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6.1695201958775522E-2</v>
      </c>
      <c r="CL163" s="21">
        <f>EXP(-LN(2)/25)*CL162+(1-EXP(-LN(2)/25))/(LN(2)/25)*Calculateur!CG163*Calculateur!CI163*VLOOKUP('Données projet'!$B$12,Paramètres!$A$1:$I$89,3,0)*0.475*44/12</f>
        <v>0.12843861483326494</v>
      </c>
      <c r="CM163" s="21">
        <f>EXP(-LN(2)/2)*CM162+(1-EXP(-LN(2)/2))/(LN(2)/2)*CG163*CJ163*VLOOKUP('Données projet'!$B$12,Paramètres!$A$1:$I$89,3,0)*0.475*44/12</f>
        <v>1.9848002338836879E-19</v>
      </c>
      <c r="CN163" s="22">
        <f t="shared" si="172"/>
        <v>0.19013381679204044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275.00000000000057</v>
      </c>
      <c r="CU163" s="17">
        <f>CT163*VLOOKUP('Données projet'!$B$13,Paramètres!$A$1:$I$89,3,0)*VLOOKUP('Données projet'!$B$13,Paramètres!$A$1:$I$89,5,0)</f>
        <v>231.66000000000051</v>
      </c>
      <c r="CV163" s="13">
        <f t="shared" si="173"/>
        <v>56.641461975682923</v>
      </c>
      <c r="CW163" s="20">
        <f t="shared" si="174"/>
        <v>502.12504627431525</v>
      </c>
      <c r="CX163" s="59">
        <f t="shared" si="122"/>
        <v>795.45837960764857</v>
      </c>
      <c r="CY163" s="59">
        <f ca="1">AVERAGE(OFFSET($CX$3,0,0,'Données projet'!$E$13+1,1))-AVERAGE(OFFSET($H$3,0,0,'Données projet'!$E$13+1,1))</f>
        <v>247.67539667223065</v>
      </c>
      <c r="CZ163" s="59">
        <f t="shared" si="150"/>
        <v>174.54442616983778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9.7627572330370033E-2</v>
      </c>
      <c r="DG163" s="21">
        <f>EXP(-LN(2)/25)*DG162+(1-EXP(-LN(2)/25))/(LN(2)/25)*Calculateur!DB163*Calculateur!DD163*VLOOKUP('Données projet'!$B$13,Paramètres!$A$1:$I$89,3,0)*0.475*44/12</f>
        <v>0.17886694929595803</v>
      </c>
      <c r="DH163" s="21">
        <f>EXP(-LN(2)/2)*DH162+(1-EXP(-LN(2)/2))/(LN(2)/2)*DB163*DE163*VLOOKUP('Données projet'!$B$13,Paramètres!$A$1:$I$89,3,0)*0.475*44/12</f>
        <v>3.1208258906836945E-19</v>
      </c>
      <c r="DI163" s="22">
        <f t="shared" si="175"/>
        <v>0.27649452162632804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1.1618589743589709</v>
      </c>
      <c r="DO163" s="12">
        <f>IF('Données projet'!$A$166&gt;35,DO162+DN163-DW162,IF(A163&lt;'Données projet'!$A$166,$DL$205^A163,IF(A163='Données projet'!$A$166,'Données projet'!$B$166,DO162+DN163-DW162)))</f>
        <v>90.203525641025067</v>
      </c>
      <c r="DP163" s="17">
        <f>DO163*VLOOKUP('Données projet'!$B$14,Paramètres!$A$1:$I$89,3,0)*VLOOKUP('Données projet'!$B$14,Paramètres!$A$1:$I$89,5,0)</f>
        <v>90.059199999999436</v>
      </c>
      <c r="DQ163" s="13">
        <f t="shared" si="176"/>
        <v>24.579502061924938</v>
      </c>
      <c r="DR163" s="20">
        <f t="shared" si="177"/>
        <v>199.66240609118495</v>
      </c>
      <c r="DS163" s="59">
        <f t="shared" si="125"/>
        <v>492.99573942451826</v>
      </c>
      <c r="DT163" s="59">
        <f ca="1">AVERAGE(OFFSET($DS$3,0,0,'Données projet'!$E$14+1,1))-AVERAGE(OFFSET($H$3,0,0,'Données projet'!$E$14+1,1))</f>
        <v>245.06609107649069</v>
      </c>
      <c r="DU163" s="59">
        <f t="shared" si="152"/>
        <v>156.24531945456499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-2.5579538487363607E-13</v>
      </c>
      <c r="EK163" s="17">
        <f>EJ163*VLOOKUP('Données projet'!$B$15,Paramètres!$A$1:$I$89,3,0)*VLOOKUP('Données projet'!$B$15,Paramètres!$A$1:$I$89,5,0)</f>
        <v>-2.7932856028201057E-13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173.63857221119594</v>
      </c>
      <c r="EP163" s="59">
        <f t="shared" si="154"/>
        <v>52.373745617370105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199.58634493109349</v>
      </c>
      <c r="T164" s="59">
        <f t="shared" si="142"/>
        <v>288.66487031729008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0.37325992373742817</v>
      </c>
      <c r="AA164" s="21">
        <f>EXP(-LN(2)/25)*AA163+(1-EXP(-LN(2)/25))/(LN(2)/25)*Calculateur!V164*Calculateur!X164*VLOOKUP('Données projet'!$B$9,Paramètres!$A$1:$I$89,3,0)*0.475*44/12</f>
        <v>0.45326866804558802</v>
      </c>
      <c r="AB164" s="21">
        <f>EXP(-LN(2)/2)*AB163+(1-EXP(-LN(2)/2))/(LN(2)/2)*V164*Y164*VLOOKUP('Données projet'!$B$9,Paramètres!$A$1:$I$89,3,0)*0.475*44/12</f>
        <v>5.653831364615932E-20</v>
      </c>
      <c r="AC164" s="22">
        <f t="shared" si="163"/>
        <v>0.82652859178301619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606.99999999999989</v>
      </c>
      <c r="AJ164" s="13">
        <f>AI164*VLOOKUP('Données projet'!$B$10,Paramètres!$A$1:$I$89,3,0)*VLOOKUP('Données projet'!$B$10,Paramètres!$A$1:$I$89,5,0)</f>
        <v>362.98599999999999</v>
      </c>
      <c r="AK164" s="13">
        <f t="shared" si="164"/>
        <v>84.230767602863935</v>
      </c>
      <c r="AL164" s="20">
        <f t="shared" si="165"/>
        <v>778.90253690832139</v>
      </c>
      <c r="AM164" s="59">
        <f t="shared" si="113"/>
        <v>1072.2358702416548</v>
      </c>
      <c r="AN164" s="59">
        <f ca="1">AVERAGE(OFFSET($AM$3,0,0,'Données projet'!$E$10+1,1))-AVERAGE(OFFSET($H$3,0,0,'Données projet'!$E$10+1,1))</f>
        <v>395.40396173178527</v>
      </c>
      <c r="AO164" s="59">
        <f t="shared" si="144"/>
        <v>304.68075128568756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0.22397991256700084</v>
      </c>
      <c r="AV164" s="21">
        <f>EXP(-LN(2)/25)*AV163+(1-EXP(-LN(2)/25))/(LN(2)/25)*Calculateur!AQ164*Calculateur!AS164*VLOOKUP('Données projet'!$B$10,Paramètres!$A$1:$I$89,3,0)*0.475*44/12</f>
        <v>0.4946950155674677</v>
      </c>
      <c r="AW164" s="21">
        <f>EXP(-LN(2)/2)*AW163+(1-EXP(-LN(2)/2))/(LN(2)/2)*AQ164*AT164*VLOOKUP('Données projet'!$B$10,Paramètres!$A$1:$I$89,3,0)*0.475*44/12</f>
        <v>4.9843582262722742E-19</v>
      </c>
      <c r="AX164" s="21">
        <f t="shared" si="166"/>
        <v>0.71867492813446854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36.10000000000008</v>
      </c>
      <c r="BE164" s="13">
        <f>BD164*VLOOKUP('Données projet'!$B$11,Paramètres!$A$1:$I$89,3,0)*VLOOKUP('Données projet'!$B$11,Paramètres!$A$1:$I$89,5,0)</f>
        <v>31.536960000000075</v>
      </c>
      <c r="BF164" s="13">
        <f t="shared" si="167"/>
        <v>9.725440120377133</v>
      </c>
      <c r="BG164" s="20">
        <f t="shared" si="168"/>
        <v>71.865346876323642</v>
      </c>
      <c r="BH164" s="59">
        <f t="shared" si="116"/>
        <v>365.19868020965697</v>
      </c>
      <c r="BI164" s="59">
        <f ca="1">AVERAGE(OFFSET($BH$3,0,0,'Données projet'!$E$11+1,1))-AVERAGE(OFFSET($H$3,0,0,'Données projet'!$E$11+1,1))</f>
        <v>249.21292089724221</v>
      </c>
      <c r="BJ164" s="59">
        <f t="shared" si="146"/>
        <v>640.80644476065254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8.4235141472211943</v>
      </c>
      <c r="BQ164" s="21">
        <f>EXP(-LN(2)/25)*BQ163+(1-EXP(-LN(2)/25))/(LN(2)/25)*Calculateur!BL164*Calculateur!BN164*VLOOKUP('Données projet'!$B$11,Paramètres!$A$1:$I$89,3,0)*0.475*44/12</f>
        <v>2.8360200434981713</v>
      </c>
      <c r="BR164" s="21">
        <f>EXP(-LN(2)/2)*BR163+(1-EXP(-LN(2)/2))/(LN(2)/2)*BL164*BO164*VLOOKUP('Données projet'!$B$11,Paramètres!$A$1:$I$89,3,0)*0.475*44/12</f>
        <v>1.5819667013628298E-18</v>
      </c>
      <c r="BS164" s="22">
        <f t="shared" si="169"/>
        <v>11.259534190719366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234.00000000000045</v>
      </c>
      <c r="BZ164" s="13">
        <f>BY164*VLOOKUP('Données projet'!$B$12,Paramètres!$A$1:$I$89,3,0)*VLOOKUP('Données projet'!$B$12,Paramètres!$A$1:$I$89,5,0)</f>
        <v>189.82080000000036</v>
      </c>
      <c r="CA164" s="13">
        <f t="shared" si="170"/>
        <v>47.500332100049881</v>
      </c>
      <c r="CB164" s="20">
        <f t="shared" si="171"/>
        <v>413.33430507425419</v>
      </c>
      <c r="CC164" s="59">
        <f t="shared" si="119"/>
        <v>706.66763840758745</v>
      </c>
      <c r="CD164" s="59">
        <f ca="1">AVERAGE(OFFSET($CC$3,0,0,'Données projet'!$E$12+1,1))-AVERAGE(OFFSET($H$3,0,0,'Données projet'!$E$12+1,1))</f>
        <v>192.4785660463869</v>
      </c>
      <c r="CE164" s="59">
        <f t="shared" si="148"/>
        <v>165.11095806515362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6.0485396678721437E-2</v>
      </c>
      <c r="CL164" s="21">
        <f>EXP(-LN(2)/25)*CL163+(1-EXP(-LN(2)/25))/(LN(2)/25)*Calculateur!CG164*Calculateur!CI164*VLOOKUP('Données projet'!$B$12,Paramètres!$A$1:$I$89,3,0)*0.475*44/12</f>
        <v>0.1249264541563561</v>
      </c>
      <c r="CM164" s="21">
        <f>EXP(-LN(2)/2)*CM163+(1-EXP(-LN(2)/2))/(LN(2)/2)*CG164*CJ164*VLOOKUP('Données projet'!$B$12,Paramètres!$A$1:$I$89,3,0)*0.475*44/12</f>
        <v>1.4034657046798012E-19</v>
      </c>
      <c r="CN164" s="22">
        <f t="shared" si="172"/>
        <v>0.18541185083507755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275.00000000000057</v>
      </c>
      <c r="CU164" s="17">
        <f>CT164*VLOOKUP('Données projet'!$B$13,Paramètres!$A$1:$I$89,3,0)*VLOOKUP('Données projet'!$B$13,Paramètres!$A$1:$I$89,5,0)</f>
        <v>231.66000000000051</v>
      </c>
      <c r="CV164" s="13">
        <f t="shared" si="173"/>
        <v>56.641461975682923</v>
      </c>
      <c r="CW164" s="20">
        <f t="shared" si="174"/>
        <v>502.12504627431525</v>
      </c>
      <c r="CX164" s="59">
        <f t="shared" si="122"/>
        <v>795.45837960764857</v>
      </c>
      <c r="CY164" s="59">
        <f ca="1">AVERAGE(OFFSET($CX$3,0,0,'Données projet'!$E$13+1,1))-AVERAGE(OFFSET($H$3,0,0,'Données projet'!$E$13+1,1))</f>
        <v>247.67539667223065</v>
      </c>
      <c r="CZ164" s="59">
        <f t="shared" si="150"/>
        <v>174.54442616983778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9.5713155183910825E-2</v>
      </c>
      <c r="DG164" s="21">
        <f>EXP(-LN(2)/25)*DG163+(1-EXP(-LN(2)/25))/(LN(2)/25)*Calculateur!DB164*Calculateur!DD164*VLOOKUP('Données projet'!$B$13,Paramètres!$A$1:$I$89,3,0)*0.475*44/12</f>
        <v>0.17397582316125601</v>
      </c>
      <c r="DH164" s="21">
        <f>EXP(-LN(2)/2)*DH163+(1-EXP(-LN(2)/2))/(LN(2)/2)*DB164*DE164*VLOOKUP('Données projet'!$B$13,Paramètres!$A$1:$I$89,3,0)*0.475*44/12</f>
        <v>2.2067571502049874E-19</v>
      </c>
      <c r="DI164" s="22">
        <f t="shared" si="175"/>
        <v>0.26968897834516681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91.365384615384613</v>
      </c>
      <c r="DM164" s="12">
        <f>VLOOKUP(A164,'Données projet'!$A$165:$I$185,9,0)</f>
        <v>1.1618589743589709</v>
      </c>
      <c r="DN164" s="12">
        <f t="array" ref="DN164">INDEX(DM:DM,MIN(IF(ISNUMBER(DM164:DM360),ROW(DM164:DM360),"")))</f>
        <v>1.1618589743589709</v>
      </c>
      <c r="DO164" s="12">
        <f>IF('Données projet'!$A$166&gt;35,DO163+DN164-DW163,IF(A164&lt;'Données projet'!$A$166,$DL$205^A164,IF(A164='Données projet'!$A$166,'Données projet'!$B$166,DO163+DN164-DW163)))</f>
        <v>91.365384615384045</v>
      </c>
      <c r="DP164" s="17">
        <f>DO164*VLOOKUP('Données projet'!$B$14,Paramètres!$A$1:$I$89,3,0)*VLOOKUP('Données projet'!$B$14,Paramètres!$A$1:$I$89,5,0)</f>
        <v>91.219199999999432</v>
      </c>
      <c r="DQ164" s="13">
        <f t="shared" si="176"/>
        <v>24.859036008842132</v>
      </c>
      <c r="DR164" s="20">
        <f t="shared" si="177"/>
        <v>202.16959438206572</v>
      </c>
      <c r="DS164" s="59">
        <f t="shared" si="125"/>
        <v>495.50292771539904</v>
      </c>
      <c r="DT164" s="59">
        <f ca="1">AVERAGE(OFFSET($DS$3,0,0,'Données projet'!$E$14+1,1))-AVERAGE(OFFSET($H$3,0,0,'Données projet'!$E$14+1,1))</f>
        <v>245.06609107649069</v>
      </c>
      <c r="DU164" s="59">
        <f t="shared" si="152"/>
        <v>156.24531945456499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91.365384615384613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-2.5579538487363607E-13</v>
      </c>
      <c r="EK164" s="17">
        <f>EJ164*VLOOKUP('Données projet'!$B$15,Paramètres!$A$1:$I$89,3,0)*VLOOKUP('Données projet'!$B$15,Paramètres!$A$1:$I$89,5,0)</f>
        <v>-2.7932856028201057E-13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173.63857221119594</v>
      </c>
      <c r="EP164" s="59">
        <f t="shared" si="154"/>
        <v>52.373745617370105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199.58634493109349</v>
      </c>
      <c r="T165" s="59">
        <f t="shared" si="142"/>
        <v>288.66487031729008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0.36594052429901053</v>
      </c>
      <c r="AA165" s="21">
        <f>EXP(-LN(2)/25)*AA164+(1-EXP(-LN(2)/25))/(LN(2)/25)*Calculateur!V165*Calculateur!X165*VLOOKUP('Données projet'!$B$9,Paramètres!$A$1:$I$89,3,0)*0.475*44/12</f>
        <v>0.44087401248151814</v>
      </c>
      <c r="AB165" s="21">
        <f>EXP(-LN(2)/2)*AB164+(1-EXP(-LN(2)/2))/(LN(2)/2)*V165*Y165*VLOOKUP('Données projet'!$B$9,Paramètres!$A$1:$I$89,3,0)*0.475*44/12</f>
        <v>3.9978624976051172E-20</v>
      </c>
      <c r="AC165" s="22">
        <f t="shared" si="163"/>
        <v>0.80681453678052861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606.99999999999989</v>
      </c>
      <c r="AJ165" s="13">
        <f>AI165*VLOOKUP('Données projet'!$B$10,Paramètres!$A$1:$I$89,3,0)*VLOOKUP('Données projet'!$B$10,Paramètres!$A$1:$I$89,5,0)</f>
        <v>362.98599999999999</v>
      </c>
      <c r="AK165" s="13">
        <f t="shared" si="164"/>
        <v>84.230767602863935</v>
      </c>
      <c r="AL165" s="20">
        <f t="shared" si="165"/>
        <v>778.90253690832139</v>
      </c>
      <c r="AM165" s="59">
        <f t="shared" si="113"/>
        <v>1072.2358702416548</v>
      </c>
      <c r="AN165" s="59">
        <f ca="1">AVERAGE(OFFSET($AM$3,0,0,'Données projet'!$E$10+1,1))-AVERAGE(OFFSET($H$3,0,0,'Données projet'!$E$10+1,1))</f>
        <v>395.40396173178527</v>
      </c>
      <c r="AO165" s="59">
        <f t="shared" si="144"/>
        <v>304.68075128568756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0.21958780309581907</v>
      </c>
      <c r="AV165" s="21">
        <f>EXP(-LN(2)/25)*AV164+(1-EXP(-LN(2)/25))/(LN(2)/25)*Calculateur!AQ165*Calculateur!AS165*VLOOKUP('Données projet'!$B$10,Paramètres!$A$1:$I$89,3,0)*0.475*44/12</f>
        <v>0.48116755435189507</v>
      </c>
      <c r="AW165" s="21">
        <f>EXP(-LN(2)/2)*AW164+(1-EXP(-LN(2)/2))/(LN(2)/2)*AQ165*AT165*VLOOKUP('Données projet'!$B$10,Paramètres!$A$1:$I$89,3,0)*0.475*44/12</f>
        <v>3.5244735016600772E-19</v>
      </c>
      <c r="AX165" s="21">
        <f t="shared" si="166"/>
        <v>0.70075535744771411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36.10000000000008</v>
      </c>
      <c r="BE165" s="13">
        <f>BD165*VLOOKUP('Données projet'!$B$11,Paramètres!$A$1:$I$89,3,0)*VLOOKUP('Données projet'!$B$11,Paramètres!$A$1:$I$89,5,0)</f>
        <v>31.536960000000075</v>
      </c>
      <c r="BF165" s="13">
        <f t="shared" si="167"/>
        <v>9.725440120377133</v>
      </c>
      <c r="BG165" s="20">
        <f t="shared" si="168"/>
        <v>71.865346876323642</v>
      </c>
      <c r="BH165" s="59">
        <f t="shared" si="116"/>
        <v>365.19868020965697</v>
      </c>
      <c r="BI165" s="59">
        <f ca="1">AVERAGE(OFFSET($BH$3,0,0,'Données projet'!$E$11+1,1))-AVERAGE(OFFSET($H$3,0,0,'Données projet'!$E$11+1,1))</f>
        <v>249.21292089724221</v>
      </c>
      <c r="BJ165" s="59">
        <f t="shared" si="146"/>
        <v>640.80644476065254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8.258334172630498</v>
      </c>
      <c r="BQ165" s="21">
        <f>EXP(-LN(2)/25)*BQ164+(1-EXP(-LN(2)/25))/(LN(2)/25)*Calculateur!BL165*Calculateur!BN165*VLOOKUP('Données projet'!$B$11,Paramètres!$A$1:$I$89,3,0)*0.475*44/12</f>
        <v>2.7584689262689017</v>
      </c>
      <c r="BR165" s="21">
        <f>EXP(-LN(2)/2)*BR164+(1-EXP(-LN(2)/2))/(LN(2)/2)*BL165*BO165*VLOOKUP('Données projet'!$B$11,Paramètres!$A$1:$I$89,3,0)*0.475*44/12</f>
        <v>1.1186193821449709E-18</v>
      </c>
      <c r="BS165" s="22">
        <f t="shared" si="169"/>
        <v>11.0168030988994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234.00000000000045</v>
      </c>
      <c r="BZ165" s="13">
        <f>BY165*VLOOKUP('Données projet'!$B$12,Paramètres!$A$1:$I$89,3,0)*VLOOKUP('Données projet'!$B$12,Paramètres!$A$1:$I$89,5,0)</f>
        <v>189.82080000000036</v>
      </c>
      <c r="CA165" s="13">
        <f t="shared" si="170"/>
        <v>47.500332100049881</v>
      </c>
      <c r="CB165" s="20">
        <f t="shared" si="171"/>
        <v>413.33430507425419</v>
      </c>
      <c r="CC165" s="59">
        <f t="shared" si="119"/>
        <v>706.66763840758745</v>
      </c>
      <c r="CD165" s="59">
        <f ca="1">AVERAGE(OFFSET($CC$3,0,0,'Données projet'!$E$12+1,1))-AVERAGE(OFFSET($H$3,0,0,'Données projet'!$E$12+1,1))</f>
        <v>192.4785660463869</v>
      </c>
      <c r="CE165" s="59">
        <f t="shared" si="148"/>
        <v>165.11095806515362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5.9299314942300854E-2</v>
      </c>
      <c r="CL165" s="21">
        <f>EXP(-LN(2)/25)*CL164+(1-EXP(-LN(2)/25))/(LN(2)/25)*Calculateur!CG165*Calculateur!CI165*VLOOKUP('Données projet'!$B$12,Paramètres!$A$1:$I$89,3,0)*0.475*44/12</f>
        <v>0.12151033369785384</v>
      </c>
      <c r="CM165" s="21">
        <f>EXP(-LN(2)/2)*CM164+(1-EXP(-LN(2)/2))/(LN(2)/2)*CG165*CJ165*VLOOKUP('Données projet'!$B$12,Paramètres!$A$1:$I$89,3,0)*0.475*44/12</f>
        <v>9.9240011694184394E-20</v>
      </c>
      <c r="CN165" s="22">
        <f t="shared" si="172"/>
        <v>0.1808096486401547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275.00000000000057</v>
      </c>
      <c r="CU165" s="17">
        <f>CT165*VLOOKUP('Données projet'!$B$13,Paramètres!$A$1:$I$89,3,0)*VLOOKUP('Données projet'!$B$13,Paramètres!$A$1:$I$89,5,0)</f>
        <v>231.66000000000051</v>
      </c>
      <c r="CV165" s="13">
        <f t="shared" si="173"/>
        <v>56.641461975682923</v>
      </c>
      <c r="CW165" s="20">
        <f t="shared" si="174"/>
        <v>502.12504627431525</v>
      </c>
      <c r="CX165" s="59">
        <f t="shared" si="122"/>
        <v>795.45837960764857</v>
      </c>
      <c r="CY165" s="59">
        <f ca="1">AVERAGE(OFFSET($CX$3,0,0,'Données projet'!$E$13+1,1))-AVERAGE(OFFSET($H$3,0,0,'Données projet'!$E$13+1,1))</f>
        <v>247.67539667223065</v>
      </c>
      <c r="CZ165" s="59">
        <f t="shared" si="150"/>
        <v>174.54442616983778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9.3836278590014519E-2</v>
      </c>
      <c r="DG165" s="21">
        <f>EXP(-LN(2)/25)*DG164+(1-EXP(-LN(2)/25))/(LN(2)/25)*Calculateur!DB165*Calculateur!DD165*VLOOKUP('Données projet'!$B$13,Paramètres!$A$1:$I$89,3,0)*0.475*44/12</f>
        <v>0.16921844512792056</v>
      </c>
      <c r="DH165" s="21">
        <f>EXP(-LN(2)/2)*DH164+(1-EXP(-LN(2)/2))/(LN(2)/2)*DB165*DE165*VLOOKUP('Données projet'!$B$13,Paramètres!$A$1:$I$89,3,0)*0.475*44/12</f>
        <v>1.5604129453418473E-19</v>
      </c>
      <c r="DI165" s="22">
        <f t="shared" si="175"/>
        <v>0.26305472371793509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-5.6843418860808015E-13</v>
      </c>
      <c r="DP165" s="17">
        <f>DO165*VLOOKUP('Données projet'!$B$14,Paramètres!$A$1:$I$89,3,0)*VLOOKUP('Données projet'!$B$14,Paramètres!$A$1:$I$89,5,0)</f>
        <v>-5.6752469390630732E-13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245.06609107649069</v>
      </c>
      <c r="DU165" s="59">
        <f t="shared" si="152"/>
        <v>156.24531945456499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-2.5579538487363607E-13</v>
      </c>
      <c r="EK165" s="17">
        <f>EJ165*VLOOKUP('Données projet'!$B$15,Paramètres!$A$1:$I$89,3,0)*VLOOKUP('Données projet'!$B$15,Paramètres!$A$1:$I$89,5,0)</f>
        <v>-2.7932856028201057E-13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173.63857221119594</v>
      </c>
      <c r="EP165" s="59">
        <f t="shared" si="154"/>
        <v>52.373745617370105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199.58634493109349</v>
      </c>
      <c r="T166" s="59">
        <f t="shared" si="142"/>
        <v>288.66487031729008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0.35876465381918743</v>
      </c>
      <c r="AA166" s="21">
        <f>EXP(-LN(2)/25)*AA165+(1-EXP(-LN(2)/25))/(LN(2)/25)*Calculateur!V166*Calculateur!X166*VLOOKUP('Données projet'!$B$9,Paramètres!$A$1:$I$89,3,0)*0.475*44/12</f>
        <v>0.42881828942565436</v>
      </c>
      <c r="AB166" s="21">
        <f>EXP(-LN(2)/2)*AB165+(1-EXP(-LN(2)/2))/(LN(2)/2)*V166*Y166*VLOOKUP('Données projet'!$B$9,Paramètres!$A$1:$I$89,3,0)*0.475*44/12</f>
        <v>2.826915682307966E-20</v>
      </c>
      <c r="AC166" s="22">
        <f t="shared" si="163"/>
        <v>0.78758294324484179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606.99999999999989</v>
      </c>
      <c r="AJ166" s="13">
        <f>AI166*VLOOKUP('Données projet'!$B$10,Paramètres!$A$1:$I$89,3,0)*VLOOKUP('Données projet'!$B$10,Paramètres!$A$1:$I$89,5,0)</f>
        <v>362.98599999999999</v>
      </c>
      <c r="AK166" s="13">
        <f t="shared" si="164"/>
        <v>84.230767602863935</v>
      </c>
      <c r="AL166" s="20">
        <f t="shared" si="165"/>
        <v>778.90253690832139</v>
      </c>
      <c r="AM166" s="59">
        <f t="shared" si="113"/>
        <v>1072.2358702416548</v>
      </c>
      <c r="AN166" s="59">
        <f ca="1">AVERAGE(OFFSET($AM$3,0,0,'Données projet'!$E$10+1,1))-AVERAGE(OFFSET($H$3,0,0,'Données projet'!$E$10+1,1))</f>
        <v>395.40396173178527</v>
      </c>
      <c r="AO166" s="59">
        <f t="shared" si="144"/>
        <v>304.68075128568756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0.21528182021244494</v>
      </c>
      <c r="AV166" s="21">
        <f>EXP(-LN(2)/25)*AV165+(1-EXP(-LN(2)/25))/(LN(2)/25)*Calculateur!AQ166*Calculateur!AS166*VLOOKUP('Données projet'!$B$10,Paramètres!$A$1:$I$89,3,0)*0.475*44/12</f>
        <v>0.46801000227464051</v>
      </c>
      <c r="AW166" s="21">
        <f>EXP(-LN(2)/2)*AW165+(1-EXP(-LN(2)/2))/(LN(2)/2)*AQ166*AT166*VLOOKUP('Données projet'!$B$10,Paramètres!$A$1:$I$89,3,0)*0.475*44/12</f>
        <v>2.4921791131361371E-19</v>
      </c>
      <c r="AX166" s="21">
        <f t="shared" si="166"/>
        <v>0.68329182248708542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36.10000000000008</v>
      </c>
      <c r="BE166" s="13">
        <f>BD166*VLOOKUP('Données projet'!$B$11,Paramètres!$A$1:$I$89,3,0)*VLOOKUP('Données projet'!$B$11,Paramètres!$A$1:$I$89,5,0)</f>
        <v>31.536960000000075</v>
      </c>
      <c r="BF166" s="13">
        <f t="shared" si="167"/>
        <v>9.725440120377133</v>
      </c>
      <c r="BG166" s="20">
        <f t="shared" si="168"/>
        <v>71.865346876323642</v>
      </c>
      <c r="BH166" s="59">
        <f t="shared" si="116"/>
        <v>365.19868020965697</v>
      </c>
      <c r="BI166" s="59">
        <f ca="1">AVERAGE(OFFSET($BH$3,0,0,'Données projet'!$E$11+1,1))-AVERAGE(OFFSET($H$3,0,0,'Données projet'!$E$11+1,1))</f>
        <v>249.21292089724221</v>
      </c>
      <c r="BJ166" s="59">
        <f t="shared" si="146"/>
        <v>640.80644476065254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8.0963932765916891</v>
      </c>
      <c r="BQ166" s="21">
        <f>EXP(-LN(2)/25)*BQ165+(1-EXP(-LN(2)/25))/(LN(2)/25)*Calculateur!BL166*Calculateur!BN166*VLOOKUP('Données projet'!$B$11,Paramètres!$A$1:$I$89,3,0)*0.475*44/12</f>
        <v>2.6830384484185021</v>
      </c>
      <c r="BR166" s="21">
        <f>EXP(-LN(2)/2)*BR165+(1-EXP(-LN(2)/2))/(LN(2)/2)*BL166*BO166*VLOOKUP('Données projet'!$B$11,Paramètres!$A$1:$I$89,3,0)*0.475*44/12</f>
        <v>7.909833506814149E-19</v>
      </c>
      <c r="BS166" s="22">
        <f t="shared" si="169"/>
        <v>10.779431725010191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234.00000000000045</v>
      </c>
      <c r="BZ166" s="13">
        <f>BY166*VLOOKUP('Données projet'!$B$12,Paramètres!$A$1:$I$89,3,0)*VLOOKUP('Données projet'!$B$12,Paramètres!$A$1:$I$89,5,0)</f>
        <v>189.82080000000036</v>
      </c>
      <c r="CA166" s="13">
        <f t="shared" si="170"/>
        <v>47.500332100049881</v>
      </c>
      <c r="CB166" s="20">
        <f t="shared" si="171"/>
        <v>413.33430507425419</v>
      </c>
      <c r="CC166" s="59">
        <f t="shared" si="119"/>
        <v>706.66763840758745</v>
      </c>
      <c r="CD166" s="59">
        <f ca="1">AVERAGE(OFFSET($CC$3,0,0,'Données projet'!$E$12+1,1))-AVERAGE(OFFSET($H$3,0,0,'Données projet'!$E$12+1,1))</f>
        <v>192.4785660463869</v>
      </c>
      <c r="CE166" s="59">
        <f t="shared" si="148"/>
        <v>165.11095806515362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5.8136491545293059E-2</v>
      </c>
      <c r="CL166" s="21">
        <f>EXP(-LN(2)/25)*CL165+(1-EXP(-LN(2)/25))/(LN(2)/25)*Calculateur!CG166*Calculateur!CI166*VLOOKUP('Données projet'!$B$12,Paramètres!$A$1:$I$89,3,0)*0.475*44/12</f>
        <v>0.1181876272329353</v>
      </c>
      <c r="CM166" s="21">
        <f>EXP(-LN(2)/2)*CM165+(1-EXP(-LN(2)/2))/(LN(2)/2)*CG166*CJ166*VLOOKUP('Données projet'!$B$12,Paramètres!$A$1:$I$89,3,0)*0.475*44/12</f>
        <v>7.0173285233990061E-20</v>
      </c>
      <c r="CN166" s="22">
        <f t="shared" si="172"/>
        <v>0.17632411877822834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275.00000000000057</v>
      </c>
      <c r="CU166" s="17">
        <f>CT166*VLOOKUP('Données projet'!$B$13,Paramètres!$A$1:$I$89,3,0)*VLOOKUP('Données projet'!$B$13,Paramètres!$A$1:$I$89,5,0)</f>
        <v>231.66000000000051</v>
      </c>
      <c r="CV166" s="13">
        <f t="shared" si="173"/>
        <v>56.641461975682923</v>
      </c>
      <c r="CW166" s="20">
        <f t="shared" si="174"/>
        <v>502.12504627431525</v>
      </c>
      <c r="CX166" s="59">
        <f t="shared" si="122"/>
        <v>795.45837960764857</v>
      </c>
      <c r="CY166" s="59">
        <f ca="1">AVERAGE(OFFSET($CX$3,0,0,'Données projet'!$E$13+1,1))-AVERAGE(OFFSET($H$3,0,0,'Données projet'!$E$13+1,1))</f>
        <v>247.67539667223065</v>
      </c>
      <c r="CZ166" s="59">
        <f t="shared" si="150"/>
        <v>174.54442616983778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9.1996206401342845E-2</v>
      </c>
      <c r="DG166" s="21">
        <f>EXP(-LN(2)/25)*DG165+(1-EXP(-LN(2)/25))/(LN(2)/25)*Calculateur!DB166*Calculateur!DD166*VLOOKUP('Données projet'!$B$13,Paramètres!$A$1:$I$89,3,0)*0.475*44/12</f>
        <v>0.16459115784708631</v>
      </c>
      <c r="DH166" s="21">
        <f>EXP(-LN(2)/2)*DH165+(1-EXP(-LN(2)/2))/(LN(2)/2)*DB166*DE166*VLOOKUP('Données projet'!$B$13,Paramètres!$A$1:$I$89,3,0)*0.475*44/12</f>
        <v>1.1033785751024937E-19</v>
      </c>
      <c r="DI166" s="22">
        <f t="shared" si="175"/>
        <v>0.25658736424842915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-5.6843418860808015E-13</v>
      </c>
      <c r="DP166" s="17">
        <f>DO166*VLOOKUP('Données projet'!$B$14,Paramètres!$A$1:$I$89,3,0)*VLOOKUP('Données projet'!$B$14,Paramètres!$A$1:$I$89,5,0)</f>
        <v>-5.6752469390630732E-13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245.06609107649069</v>
      </c>
      <c r="DU166" s="59">
        <f t="shared" si="152"/>
        <v>156.24531945456499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-2.5579538487363607E-13</v>
      </c>
      <c r="EK166" s="17">
        <f>EJ166*VLOOKUP('Données projet'!$B$15,Paramètres!$A$1:$I$89,3,0)*VLOOKUP('Données projet'!$B$15,Paramètres!$A$1:$I$89,5,0)</f>
        <v>-2.7932856028201057E-13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173.63857221119594</v>
      </c>
      <c r="EP166" s="59">
        <f t="shared" si="154"/>
        <v>52.373745617370105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199.58634493109349</v>
      </c>
      <c r="T167" s="59">
        <f t="shared" si="142"/>
        <v>288.66487031729008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0.35172949778262486</v>
      </c>
      <c r="AA167" s="21">
        <f>EXP(-LN(2)/25)*AA166+(1-EXP(-LN(2)/25))/(LN(2)/25)*Calculateur!V167*Calculateur!X167*VLOOKUP('Données projet'!$B$9,Paramètres!$A$1:$I$89,3,0)*0.475*44/12</f>
        <v>0.41709223075073609</v>
      </c>
      <c r="AB167" s="21">
        <f>EXP(-LN(2)/2)*AB166+(1-EXP(-LN(2)/2))/(LN(2)/2)*V167*Y167*VLOOKUP('Données projet'!$B$9,Paramètres!$A$1:$I$89,3,0)*0.475*44/12</f>
        <v>1.9989312488025586E-20</v>
      </c>
      <c r="AC167" s="22">
        <f t="shared" si="163"/>
        <v>0.76882172853336095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606.99999999999989</v>
      </c>
      <c r="AJ167" s="13">
        <f>AI167*VLOOKUP('Données projet'!$B$10,Paramètres!$A$1:$I$89,3,0)*VLOOKUP('Données projet'!$B$10,Paramètres!$A$1:$I$89,5,0)</f>
        <v>362.98599999999999</v>
      </c>
      <c r="AK167" s="13">
        <f t="shared" si="164"/>
        <v>84.230767602863935</v>
      </c>
      <c r="AL167" s="20">
        <f t="shared" si="165"/>
        <v>778.90253690832139</v>
      </c>
      <c r="AM167" s="59">
        <f t="shared" si="113"/>
        <v>1072.2358702416548</v>
      </c>
      <c r="AN167" s="59">
        <f ca="1">AVERAGE(OFFSET($AM$3,0,0,'Données projet'!$E$10+1,1))-AVERAGE(OFFSET($H$3,0,0,'Données projet'!$E$10+1,1))</f>
        <v>395.40396173178527</v>
      </c>
      <c r="AO167" s="59">
        <f t="shared" si="144"/>
        <v>304.68075128568756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0.21106027502702354</v>
      </c>
      <c r="AV167" s="21">
        <f>EXP(-LN(2)/25)*AV166+(1-EXP(-LN(2)/25))/(LN(2)/25)*Calculateur!AQ167*Calculateur!AS167*VLOOKUP('Données projet'!$B$10,Paramètres!$A$1:$I$89,3,0)*0.475*44/12</f>
        <v>0.45521224415086409</v>
      </c>
      <c r="AW167" s="21">
        <f>EXP(-LN(2)/2)*AW166+(1-EXP(-LN(2)/2))/(LN(2)/2)*AQ167*AT167*VLOOKUP('Données projet'!$B$10,Paramètres!$A$1:$I$89,3,0)*0.475*44/12</f>
        <v>1.7622367508300386E-19</v>
      </c>
      <c r="AX167" s="21">
        <f t="shared" si="166"/>
        <v>0.66627251917788766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36.10000000000008</v>
      </c>
      <c r="BE167" s="13">
        <f>BD167*VLOOKUP('Données projet'!$B$11,Paramètres!$A$1:$I$89,3,0)*VLOOKUP('Données projet'!$B$11,Paramètres!$A$1:$I$89,5,0)</f>
        <v>31.536960000000075</v>
      </c>
      <c r="BF167" s="13">
        <f t="shared" si="167"/>
        <v>9.725440120377133</v>
      </c>
      <c r="BG167" s="20">
        <f t="shared" si="168"/>
        <v>71.865346876323642</v>
      </c>
      <c r="BH167" s="59">
        <f t="shared" si="116"/>
        <v>365.19868020965697</v>
      </c>
      <c r="BI167" s="59">
        <f ca="1">AVERAGE(OFFSET($BH$3,0,0,'Données projet'!$E$11+1,1))-AVERAGE(OFFSET($H$3,0,0,'Données projet'!$E$11+1,1))</f>
        <v>249.21292089724221</v>
      </c>
      <c r="BJ167" s="59">
        <f t="shared" si="146"/>
        <v>640.80644476065254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7.9376279427500069</v>
      </c>
      <c r="BQ167" s="21">
        <f>EXP(-LN(2)/25)*BQ166+(1-EXP(-LN(2)/25))/(LN(2)/25)*Calculateur!BL167*Calculateur!BN167*VLOOKUP('Données projet'!$B$11,Paramètres!$A$1:$I$89,3,0)*0.475*44/12</f>
        <v>2.6096706209516385</v>
      </c>
      <c r="BR167" s="21">
        <f>EXP(-LN(2)/2)*BR166+(1-EXP(-LN(2)/2))/(LN(2)/2)*BL167*BO167*VLOOKUP('Données projet'!$B$11,Paramètres!$A$1:$I$89,3,0)*0.475*44/12</f>
        <v>5.5930969107248543E-19</v>
      </c>
      <c r="BS167" s="22">
        <f t="shared" si="169"/>
        <v>10.547298563701645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234.00000000000045</v>
      </c>
      <c r="BZ167" s="13">
        <f>BY167*VLOOKUP('Données projet'!$B$12,Paramètres!$A$1:$I$89,3,0)*VLOOKUP('Données projet'!$B$12,Paramètres!$A$1:$I$89,5,0)</f>
        <v>189.82080000000036</v>
      </c>
      <c r="CA167" s="13">
        <f t="shared" si="170"/>
        <v>47.500332100049881</v>
      </c>
      <c r="CB167" s="20">
        <f t="shared" si="171"/>
        <v>413.33430507425419</v>
      </c>
      <c r="CC167" s="59">
        <f t="shared" si="119"/>
        <v>706.66763840758745</v>
      </c>
      <c r="CD167" s="59">
        <f ca="1">AVERAGE(OFFSET($CC$3,0,0,'Données projet'!$E$12+1,1))-AVERAGE(OFFSET($H$3,0,0,'Données projet'!$E$12+1,1))</f>
        <v>192.4785660463869</v>
      </c>
      <c r="CE167" s="59">
        <f t="shared" si="148"/>
        <v>165.11095806515362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5.6996470405848342E-2</v>
      </c>
      <c r="CL167" s="21">
        <f>EXP(-LN(2)/25)*CL166+(1-EXP(-LN(2)/25))/(LN(2)/25)*Calculateur!CG167*Calculateur!CI167*VLOOKUP('Données projet'!$B$12,Paramètres!$A$1:$I$89,3,0)*0.475*44/12</f>
        <v>0.11495578035103349</v>
      </c>
      <c r="CM167" s="21">
        <f>EXP(-LN(2)/2)*CM166+(1-EXP(-LN(2)/2))/(LN(2)/2)*CG167*CJ167*VLOOKUP('Données projet'!$B$12,Paramètres!$A$1:$I$89,3,0)*0.475*44/12</f>
        <v>4.9620005847092197E-20</v>
      </c>
      <c r="CN167" s="22">
        <f t="shared" si="172"/>
        <v>0.17195225075688184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275.00000000000057</v>
      </c>
      <c r="CU167" s="17">
        <f>CT167*VLOOKUP('Données projet'!$B$13,Paramètres!$A$1:$I$89,3,0)*VLOOKUP('Données projet'!$B$13,Paramètres!$A$1:$I$89,5,0)</f>
        <v>231.66000000000051</v>
      </c>
      <c r="CV167" s="13">
        <f t="shared" si="173"/>
        <v>56.641461975682923</v>
      </c>
      <c r="CW167" s="20">
        <f t="shared" si="174"/>
        <v>502.12504627431525</v>
      </c>
      <c r="CX167" s="59">
        <f t="shared" si="122"/>
        <v>795.45837960764857</v>
      </c>
      <c r="CY167" s="59">
        <f ca="1">AVERAGE(OFFSET($CX$3,0,0,'Données projet'!$E$13+1,1))-AVERAGE(OFFSET($H$3,0,0,'Données projet'!$E$13+1,1))</f>
        <v>247.67539667223065</v>
      </c>
      <c r="CZ167" s="59">
        <f t="shared" si="150"/>
        <v>174.54442616983778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9.01922169059578E-2</v>
      </c>
      <c r="DG167" s="21">
        <f>EXP(-LN(2)/25)*DG166+(1-EXP(-LN(2)/25))/(LN(2)/25)*Calculateur!DB167*Calculateur!DD167*VLOOKUP('Données projet'!$B$13,Paramètres!$A$1:$I$89,3,0)*0.475*44/12</f>
        <v>0.16009040398028493</v>
      </c>
      <c r="DH167" s="21">
        <f>EXP(-LN(2)/2)*DH166+(1-EXP(-LN(2)/2))/(LN(2)/2)*DB167*DE167*VLOOKUP('Données projet'!$B$13,Paramètres!$A$1:$I$89,3,0)*0.475*44/12</f>
        <v>7.8020647267092363E-20</v>
      </c>
      <c r="DI167" s="22">
        <f t="shared" si="175"/>
        <v>0.25028262088624276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-5.6843418860808015E-13</v>
      </c>
      <c r="DP167" s="17">
        <f>DO167*VLOOKUP('Données projet'!$B$14,Paramètres!$A$1:$I$89,3,0)*VLOOKUP('Données projet'!$B$14,Paramètres!$A$1:$I$89,5,0)</f>
        <v>-5.6752469390630732E-13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245.06609107649069</v>
      </c>
      <c r="DU167" s="59">
        <f t="shared" si="152"/>
        <v>156.24531945456499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-2.5579538487363607E-13</v>
      </c>
      <c r="EK167" s="17">
        <f>EJ167*VLOOKUP('Données projet'!$B$15,Paramètres!$A$1:$I$89,3,0)*VLOOKUP('Données projet'!$B$15,Paramètres!$A$1:$I$89,5,0)</f>
        <v>-2.7932856028201057E-13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173.63857221119594</v>
      </c>
      <c r="EP167" s="59">
        <f t="shared" si="154"/>
        <v>52.373745617370105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199.58634493109349</v>
      </c>
      <c r="T168" s="59">
        <f t="shared" si="142"/>
        <v>288.66487031729008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0.34483229686491779</v>
      </c>
      <c r="AA168" s="21">
        <f>EXP(-LN(2)/25)*AA167+(1-EXP(-LN(2)/25))/(LN(2)/25)*Calculateur!V168*Calculateur!X168*VLOOKUP('Données projet'!$B$9,Paramètres!$A$1:$I$89,3,0)*0.475*44/12</f>
        <v>0.40568682176693005</v>
      </c>
      <c r="AB168" s="21">
        <f>EXP(-LN(2)/2)*AB167+(1-EXP(-LN(2)/2))/(LN(2)/2)*V168*Y168*VLOOKUP('Données projet'!$B$9,Paramètres!$A$1:$I$89,3,0)*0.475*44/12</f>
        <v>1.413457841153983E-20</v>
      </c>
      <c r="AC168" s="22">
        <f t="shared" si="163"/>
        <v>0.75051911863184784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606.99999999999989</v>
      </c>
      <c r="AJ168" s="13">
        <f>AI168*VLOOKUP('Données projet'!$B$10,Paramètres!$A$1:$I$89,3,0)*VLOOKUP('Données projet'!$B$10,Paramètres!$A$1:$I$89,5,0)</f>
        <v>362.98599999999999</v>
      </c>
      <c r="AK168" s="13">
        <f t="shared" si="164"/>
        <v>84.230767602863935</v>
      </c>
      <c r="AL168" s="20">
        <f t="shared" si="165"/>
        <v>778.90253690832139</v>
      </c>
      <c r="AM168" s="59">
        <f t="shared" si="113"/>
        <v>1072.2358702416548</v>
      </c>
      <c r="AN168" s="59">
        <f ca="1">AVERAGE(OFFSET($AM$3,0,0,'Données projet'!$E$10+1,1))-AVERAGE(OFFSET($H$3,0,0,'Données projet'!$E$10+1,1))</f>
        <v>395.40396173178527</v>
      </c>
      <c r="AO168" s="59">
        <f t="shared" si="144"/>
        <v>304.68075128568756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0.20692151176779994</v>
      </c>
      <c r="AV168" s="21">
        <f>EXP(-LN(2)/25)*AV167+(1-EXP(-LN(2)/25))/(LN(2)/25)*Calculateur!AQ168*Calculateur!AS168*VLOOKUP('Données projet'!$B$10,Paramètres!$A$1:$I$89,3,0)*0.475*44/12</f>
        <v>0.4427644413959872</v>
      </c>
      <c r="AW168" s="21">
        <f>EXP(-LN(2)/2)*AW167+(1-EXP(-LN(2)/2))/(LN(2)/2)*AQ168*AT168*VLOOKUP('Données projet'!$B$10,Paramètres!$A$1:$I$89,3,0)*0.475*44/12</f>
        <v>1.2460895565680686E-19</v>
      </c>
      <c r="AX168" s="21">
        <f t="shared" si="166"/>
        <v>0.64968595316378708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36.10000000000008</v>
      </c>
      <c r="BE168" s="13">
        <f>BD168*VLOOKUP('Données projet'!$B$11,Paramètres!$A$1:$I$89,3,0)*VLOOKUP('Données projet'!$B$11,Paramètres!$A$1:$I$89,5,0)</f>
        <v>31.536960000000075</v>
      </c>
      <c r="BF168" s="13">
        <f t="shared" si="167"/>
        <v>9.725440120377133</v>
      </c>
      <c r="BG168" s="20">
        <f t="shared" si="168"/>
        <v>71.865346876323642</v>
      </c>
      <c r="BH168" s="59">
        <f t="shared" si="116"/>
        <v>365.19868020965697</v>
      </c>
      <c r="BI168" s="59">
        <f ca="1">AVERAGE(OFFSET($BH$3,0,0,'Données projet'!$E$11+1,1))-AVERAGE(OFFSET($H$3,0,0,'Données projet'!$E$11+1,1))</f>
        <v>249.21292089724221</v>
      </c>
      <c r="BJ168" s="59">
        <f t="shared" si="146"/>
        <v>640.80644476065254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7.7819759002676685</v>
      </c>
      <c r="BQ168" s="21">
        <f>EXP(-LN(2)/25)*BQ167+(1-EXP(-LN(2)/25))/(LN(2)/25)*Calculateur!BL168*Calculateur!BN168*VLOOKUP('Données projet'!$B$11,Paramètres!$A$1:$I$89,3,0)*0.475*44/12</f>
        <v>2.5383090405851023</v>
      </c>
      <c r="BR168" s="21">
        <f>EXP(-LN(2)/2)*BR167+(1-EXP(-LN(2)/2))/(LN(2)/2)*BL168*BO168*VLOOKUP('Données projet'!$B$11,Paramètres!$A$1:$I$89,3,0)*0.475*44/12</f>
        <v>3.9549167534070745E-19</v>
      </c>
      <c r="BS168" s="22">
        <f t="shared" si="169"/>
        <v>10.320284940852771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234.00000000000045</v>
      </c>
      <c r="BZ168" s="13">
        <f>BY168*VLOOKUP('Données projet'!$B$12,Paramètres!$A$1:$I$89,3,0)*VLOOKUP('Données projet'!$B$12,Paramètres!$A$1:$I$89,5,0)</f>
        <v>189.82080000000036</v>
      </c>
      <c r="CA168" s="13">
        <f t="shared" si="170"/>
        <v>47.500332100049881</v>
      </c>
      <c r="CB168" s="20">
        <f t="shared" si="171"/>
        <v>413.33430507425419</v>
      </c>
      <c r="CC168" s="59">
        <f t="shared" si="119"/>
        <v>706.66763840758745</v>
      </c>
      <c r="CD168" s="59">
        <f ca="1">AVERAGE(OFFSET($CC$3,0,0,'Données projet'!$E$12+1,1))-AVERAGE(OFFSET($H$3,0,0,'Données projet'!$E$12+1,1))</f>
        <v>192.4785660463869</v>
      </c>
      <c r="CE168" s="59">
        <f t="shared" si="148"/>
        <v>165.11095806515362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5.58788043856039E-2</v>
      </c>
      <c r="CL168" s="21">
        <f>EXP(-LN(2)/25)*CL167+(1-EXP(-LN(2)/25))/(LN(2)/25)*Calculateur!CG168*Calculateur!CI168*VLOOKUP('Données projet'!$B$12,Paramètres!$A$1:$I$89,3,0)*0.475*44/12</f>
        <v>0.11181230849207273</v>
      </c>
      <c r="CM168" s="21">
        <f>EXP(-LN(2)/2)*CM167+(1-EXP(-LN(2)/2))/(LN(2)/2)*CG168*CJ168*VLOOKUP('Données projet'!$B$12,Paramètres!$A$1:$I$89,3,0)*0.475*44/12</f>
        <v>3.508664261699503E-20</v>
      </c>
      <c r="CN168" s="22">
        <f t="shared" si="172"/>
        <v>0.16769111287767663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275.00000000000057</v>
      </c>
      <c r="CU168" s="17">
        <f>CT168*VLOOKUP('Données projet'!$B$13,Paramètres!$A$1:$I$89,3,0)*VLOOKUP('Données projet'!$B$13,Paramètres!$A$1:$I$89,5,0)</f>
        <v>231.66000000000051</v>
      </c>
      <c r="CV168" s="13">
        <f t="shared" si="173"/>
        <v>56.641461975682923</v>
      </c>
      <c r="CW168" s="20">
        <f t="shared" si="174"/>
        <v>502.12504627431525</v>
      </c>
      <c r="CX168" s="59">
        <f t="shared" si="122"/>
        <v>795.45837960764857</v>
      </c>
      <c r="CY168" s="59">
        <f ca="1">AVERAGE(OFFSET($CX$3,0,0,'Données projet'!$E$13+1,1))-AVERAGE(OFFSET($H$3,0,0,'Données projet'!$E$13+1,1))</f>
        <v>247.67539667223065</v>
      </c>
      <c r="CZ168" s="59">
        <f t="shared" si="150"/>
        <v>174.54442616983778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8.8423602544252314E-2</v>
      </c>
      <c r="DG168" s="21">
        <f>EXP(-LN(2)/25)*DG167+(1-EXP(-LN(2)/25))/(LN(2)/25)*Calculateur!DB168*Calculateur!DD168*VLOOKUP('Données projet'!$B$13,Paramètres!$A$1:$I$89,3,0)*0.475*44/12</f>
        <v>0.15571272346465559</v>
      </c>
      <c r="DH168" s="21">
        <f>EXP(-LN(2)/2)*DH167+(1-EXP(-LN(2)/2))/(LN(2)/2)*DB168*DE168*VLOOKUP('Données projet'!$B$13,Paramètres!$A$1:$I$89,3,0)*0.475*44/12</f>
        <v>5.5168928755124686E-20</v>
      </c>
      <c r="DI168" s="22">
        <f t="shared" si="175"/>
        <v>0.24413632600890789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-5.6843418860808015E-13</v>
      </c>
      <c r="DP168" s="17">
        <f>DO168*VLOOKUP('Données projet'!$B$14,Paramètres!$A$1:$I$89,3,0)*VLOOKUP('Données projet'!$B$14,Paramètres!$A$1:$I$89,5,0)</f>
        <v>-5.6752469390630732E-13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245.06609107649069</v>
      </c>
      <c r="DU168" s="59">
        <f t="shared" si="152"/>
        <v>156.24531945456499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-2.5579538487363607E-13</v>
      </c>
      <c r="EK168" s="17">
        <f>EJ168*VLOOKUP('Données projet'!$B$15,Paramètres!$A$1:$I$89,3,0)*VLOOKUP('Données projet'!$B$15,Paramètres!$A$1:$I$89,5,0)</f>
        <v>-2.7932856028201057E-13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173.63857221119594</v>
      </c>
      <c r="EP168" s="59">
        <f t="shared" si="154"/>
        <v>52.373745617370105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199.58634493109349</v>
      </c>
      <c r="T169" s="59">
        <f t="shared" si="142"/>
        <v>288.66487031729008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0.3380703458503298</v>
      </c>
      <c r="AA169" s="21">
        <f>EXP(-LN(2)/25)*AA168+(1-EXP(-LN(2)/25))/(LN(2)/25)*Calculateur!V169*Calculateur!X169*VLOOKUP('Données projet'!$B$9,Paramètres!$A$1:$I$89,3,0)*0.475*44/12</f>
        <v>0.39459329429157058</v>
      </c>
      <c r="AB169" s="21">
        <f>EXP(-LN(2)/2)*AB168+(1-EXP(-LN(2)/2))/(LN(2)/2)*V169*Y169*VLOOKUP('Données projet'!$B$9,Paramètres!$A$1:$I$89,3,0)*0.475*44/12</f>
        <v>9.9946562440127931E-21</v>
      </c>
      <c r="AC169" s="22">
        <f t="shared" si="163"/>
        <v>0.73266364014190044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606.99999999999989</v>
      </c>
      <c r="AJ169" s="13">
        <f>AI169*VLOOKUP('Données projet'!$B$10,Paramètres!$A$1:$I$89,3,0)*VLOOKUP('Données projet'!$B$10,Paramètres!$A$1:$I$89,5,0)</f>
        <v>362.98599999999999</v>
      </c>
      <c r="AK169" s="13">
        <f t="shared" si="164"/>
        <v>84.230767602863935</v>
      </c>
      <c r="AL169" s="20">
        <f t="shared" si="165"/>
        <v>778.90253690832139</v>
      </c>
      <c r="AM169" s="59">
        <f t="shared" si="113"/>
        <v>1072.2358702416548</v>
      </c>
      <c r="AN169" s="59">
        <f ca="1">AVERAGE(OFFSET($AM$3,0,0,'Données projet'!$E$10+1,1))-AVERAGE(OFFSET($H$3,0,0,'Données projet'!$E$10+1,1))</f>
        <v>395.40396173178527</v>
      </c>
      <c r="AO169" s="59">
        <f t="shared" si="144"/>
        <v>304.68075128568756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0.20286390713169339</v>
      </c>
      <c r="AV169" s="21">
        <f>EXP(-LN(2)/25)*AV168+(1-EXP(-LN(2)/25))/(LN(2)/25)*Calculateur!AQ169*Calculateur!AS169*VLOOKUP('Données projet'!$B$10,Paramètres!$A$1:$I$89,3,0)*0.475*44/12</f>
        <v>0.4306570244620439</v>
      </c>
      <c r="AW169" s="21">
        <f>EXP(-LN(2)/2)*AW168+(1-EXP(-LN(2)/2))/(LN(2)/2)*AQ169*AT169*VLOOKUP('Données projet'!$B$10,Paramètres!$A$1:$I$89,3,0)*0.475*44/12</f>
        <v>8.811183754150193E-20</v>
      </c>
      <c r="AX169" s="21">
        <f t="shared" si="166"/>
        <v>0.63352093159373735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36.10000000000008</v>
      </c>
      <c r="BE169" s="13">
        <f>BD169*VLOOKUP('Données projet'!$B$11,Paramètres!$A$1:$I$89,3,0)*VLOOKUP('Données projet'!$B$11,Paramètres!$A$1:$I$89,5,0)</f>
        <v>31.536960000000075</v>
      </c>
      <c r="BF169" s="13">
        <f t="shared" si="167"/>
        <v>9.725440120377133</v>
      </c>
      <c r="BG169" s="20">
        <f t="shared" si="168"/>
        <v>71.865346876323642</v>
      </c>
      <c r="BH169" s="59">
        <f t="shared" si="116"/>
        <v>365.19868020965697</v>
      </c>
      <c r="BI169" s="59">
        <f ca="1">AVERAGE(OFFSET($BH$3,0,0,'Données projet'!$E$11+1,1))-AVERAGE(OFFSET($H$3,0,0,'Données projet'!$E$11+1,1))</f>
        <v>249.21292089724221</v>
      </c>
      <c r="BJ169" s="59">
        <f t="shared" si="146"/>
        <v>640.80644476065254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7.6293760994000372</v>
      </c>
      <c r="BQ169" s="21">
        <f>EXP(-LN(2)/25)*BQ168+(1-EXP(-LN(2)/25))/(LN(2)/25)*Calculateur!BL169*Calculateur!BN169*VLOOKUP('Données projet'!$B$11,Paramètres!$A$1:$I$89,3,0)*0.475*44/12</f>
        <v>2.4688988463864314</v>
      </c>
      <c r="BR169" s="21">
        <f>EXP(-LN(2)/2)*BR168+(1-EXP(-LN(2)/2))/(LN(2)/2)*BL169*BO169*VLOOKUP('Données projet'!$B$11,Paramètres!$A$1:$I$89,3,0)*0.475*44/12</f>
        <v>2.7965484553624271E-19</v>
      </c>
      <c r="BS169" s="22">
        <f t="shared" si="169"/>
        <v>10.098274945786468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234.00000000000045</v>
      </c>
      <c r="BZ169" s="13">
        <f>BY169*VLOOKUP('Données projet'!$B$12,Paramètres!$A$1:$I$89,3,0)*VLOOKUP('Données projet'!$B$12,Paramètres!$A$1:$I$89,5,0)</f>
        <v>189.82080000000036</v>
      </c>
      <c r="CA169" s="13">
        <f t="shared" si="170"/>
        <v>47.500332100049881</v>
      </c>
      <c r="CB169" s="20">
        <f t="shared" si="171"/>
        <v>413.33430507425419</v>
      </c>
      <c r="CC169" s="59">
        <f t="shared" si="119"/>
        <v>706.66763840758745</v>
      </c>
      <c r="CD169" s="59">
        <f ca="1">AVERAGE(OFFSET($CC$3,0,0,'Données projet'!$E$12+1,1))-AVERAGE(OFFSET($H$3,0,0,'Données projet'!$E$12+1,1))</f>
        <v>192.4785660463869</v>
      </c>
      <c r="CE169" s="59">
        <f t="shared" si="148"/>
        <v>165.11095806515362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5.4783055114307498E-2</v>
      </c>
      <c r="CL169" s="21">
        <f>EXP(-LN(2)/25)*CL168+(1-EXP(-LN(2)/25))/(LN(2)/25)*Calculateur!CG169*Calculateur!CI169*VLOOKUP('Données projet'!$B$12,Paramètres!$A$1:$I$89,3,0)*0.475*44/12</f>
        <v>0.10875479503640324</v>
      </c>
      <c r="CM169" s="21">
        <f>EXP(-LN(2)/2)*CM168+(1-EXP(-LN(2)/2))/(LN(2)/2)*CG169*CJ169*VLOOKUP('Données projet'!$B$12,Paramètres!$A$1:$I$89,3,0)*0.475*44/12</f>
        <v>2.4810002923546099E-20</v>
      </c>
      <c r="CN169" s="22">
        <f t="shared" si="172"/>
        <v>0.16353785015071073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275.00000000000057</v>
      </c>
      <c r="CU169" s="17">
        <f>CT169*VLOOKUP('Données projet'!$B$13,Paramètres!$A$1:$I$89,3,0)*VLOOKUP('Données projet'!$B$13,Paramètres!$A$1:$I$89,5,0)</f>
        <v>231.66000000000051</v>
      </c>
      <c r="CV169" s="13">
        <f t="shared" si="173"/>
        <v>56.641461975682923</v>
      </c>
      <c r="CW169" s="20">
        <f t="shared" si="174"/>
        <v>502.12504627431525</v>
      </c>
      <c r="CX169" s="59">
        <f t="shared" si="122"/>
        <v>795.45837960764857</v>
      </c>
      <c r="CY169" s="59">
        <f ca="1">AVERAGE(OFFSET($CX$3,0,0,'Données projet'!$E$13+1,1))-AVERAGE(OFFSET($H$3,0,0,'Données projet'!$E$13+1,1))</f>
        <v>247.67539667223065</v>
      </c>
      <c r="CZ169" s="59">
        <f t="shared" si="150"/>
        <v>174.54442616983778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8.6689669631431626E-2</v>
      </c>
      <c r="DG169" s="21">
        <f>EXP(-LN(2)/25)*DG168+(1-EXP(-LN(2)/25))/(LN(2)/25)*Calculateur!DB169*Calculateur!DD169*VLOOKUP('Données projet'!$B$13,Paramètres!$A$1:$I$89,3,0)*0.475*44/12</f>
        <v>0.15145475085293833</v>
      </c>
      <c r="DH169" s="21">
        <f>EXP(-LN(2)/2)*DH168+(1-EXP(-LN(2)/2))/(LN(2)/2)*DB169*DE169*VLOOKUP('Données projet'!$B$13,Paramètres!$A$1:$I$89,3,0)*0.475*44/12</f>
        <v>3.9010323633546182E-20</v>
      </c>
      <c r="DI169" s="22">
        <f t="shared" si="175"/>
        <v>0.23814442048436996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-5.6843418860808015E-13</v>
      </c>
      <c r="DP169" s="17">
        <f>DO169*VLOOKUP('Données projet'!$B$14,Paramètres!$A$1:$I$89,3,0)*VLOOKUP('Données projet'!$B$14,Paramètres!$A$1:$I$89,5,0)</f>
        <v>-5.6752469390630732E-13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245.06609107649069</v>
      </c>
      <c r="DU169" s="59">
        <f t="shared" si="152"/>
        <v>156.24531945456499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-2.5579538487363607E-13</v>
      </c>
      <c r="EK169" s="17">
        <f>EJ169*VLOOKUP('Données projet'!$B$15,Paramètres!$A$1:$I$89,3,0)*VLOOKUP('Données projet'!$B$15,Paramètres!$A$1:$I$89,5,0)</f>
        <v>-2.7932856028201057E-13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173.63857221119594</v>
      </c>
      <c r="EP169" s="59">
        <f t="shared" si="154"/>
        <v>52.373745617370105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199.58634493109349</v>
      </c>
      <c r="T170" s="59">
        <f t="shared" si="142"/>
        <v>288.66487031729008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0.33144099257075499</v>
      </c>
      <c r="AA170" s="21">
        <f>EXP(-LN(2)/25)*AA169+(1-EXP(-LN(2)/25))/(LN(2)/25)*Calculateur!V170*Calculateur!X170*VLOOKUP('Données projet'!$B$9,Paramètres!$A$1:$I$89,3,0)*0.475*44/12</f>
        <v>0.3838031199084081</v>
      </c>
      <c r="AB170" s="21">
        <f>EXP(-LN(2)/2)*AB169+(1-EXP(-LN(2)/2))/(LN(2)/2)*V170*Y170*VLOOKUP('Données projet'!$B$9,Paramètres!$A$1:$I$89,3,0)*0.475*44/12</f>
        <v>7.067289205769915E-21</v>
      </c>
      <c r="AC170" s="22">
        <f t="shared" si="163"/>
        <v>0.71524411247916309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606.99999999999989</v>
      </c>
      <c r="AJ170" s="13">
        <f>AI170*VLOOKUP('Données projet'!$B$10,Paramètres!$A$1:$I$89,3,0)*VLOOKUP('Données projet'!$B$10,Paramètres!$A$1:$I$89,5,0)</f>
        <v>362.98599999999999</v>
      </c>
      <c r="AK170" s="13">
        <f t="shared" si="164"/>
        <v>84.230767602863935</v>
      </c>
      <c r="AL170" s="20">
        <f t="shared" si="165"/>
        <v>778.90253690832139</v>
      </c>
      <c r="AM170" s="59">
        <f t="shared" si="113"/>
        <v>1072.2358702416548</v>
      </c>
      <c r="AN170" s="59">
        <f ca="1">AVERAGE(OFFSET($AM$3,0,0,'Données projet'!$E$10+1,1))-AVERAGE(OFFSET($H$3,0,0,'Données projet'!$E$10+1,1))</f>
        <v>395.40396173178527</v>
      </c>
      <c r="AO170" s="59">
        <f t="shared" si="144"/>
        <v>304.68075128568756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0.19888586964760643</v>
      </c>
      <c r="AV170" s="21">
        <f>EXP(-LN(2)/25)*AV169+(1-EXP(-LN(2)/25))/(LN(2)/25)*Calculateur!AQ170*Calculateur!AS170*VLOOKUP('Données projet'!$B$10,Paramètres!$A$1:$I$89,3,0)*0.475*44/12</f>
        <v>0.41888068548086066</v>
      </c>
      <c r="AW170" s="21">
        <f>EXP(-LN(2)/2)*AW169+(1-EXP(-LN(2)/2))/(LN(2)/2)*AQ170*AT170*VLOOKUP('Données projet'!$B$10,Paramètres!$A$1:$I$89,3,0)*0.475*44/12</f>
        <v>6.2304477828403428E-20</v>
      </c>
      <c r="AX170" s="21">
        <f t="shared" si="166"/>
        <v>0.61776655512846712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36.10000000000008</v>
      </c>
      <c r="BE170" s="13">
        <f>BD170*VLOOKUP('Données projet'!$B$11,Paramètres!$A$1:$I$89,3,0)*VLOOKUP('Données projet'!$B$11,Paramètres!$A$1:$I$89,5,0)</f>
        <v>31.536960000000075</v>
      </c>
      <c r="BF170" s="13">
        <f t="shared" si="167"/>
        <v>9.725440120377133</v>
      </c>
      <c r="BG170" s="20">
        <f t="shared" si="168"/>
        <v>71.865346876323642</v>
      </c>
      <c r="BH170" s="59">
        <f t="shared" si="116"/>
        <v>365.19868020965697</v>
      </c>
      <c r="BI170" s="59">
        <f ca="1">AVERAGE(OFFSET($BH$3,0,0,'Données projet'!$E$11+1,1))-AVERAGE(OFFSET($H$3,0,0,'Données projet'!$E$11+1,1))</f>
        <v>249.21292089724221</v>
      </c>
      <c r="BJ170" s="59">
        <f t="shared" si="146"/>
        <v>640.80644476065254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7.4797686875507319</v>
      </c>
      <c r="BQ170" s="21">
        <f>EXP(-LN(2)/25)*BQ169+(1-EXP(-LN(2)/25))/(LN(2)/25)*Calculateur!BL170*Calculateur!BN170*VLOOKUP('Données projet'!$B$11,Paramètres!$A$1:$I$89,3,0)*0.475*44/12</f>
        <v>2.4013866775982469</v>
      </c>
      <c r="BR170" s="21">
        <f>EXP(-LN(2)/2)*BR169+(1-EXP(-LN(2)/2))/(LN(2)/2)*BL170*BO170*VLOOKUP('Données projet'!$B$11,Paramètres!$A$1:$I$89,3,0)*0.475*44/12</f>
        <v>1.9774583767035373E-19</v>
      </c>
      <c r="BS170" s="22">
        <f t="shared" si="169"/>
        <v>9.8811553651489792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234.00000000000045</v>
      </c>
      <c r="BZ170" s="13">
        <f>BY170*VLOOKUP('Données projet'!$B$12,Paramètres!$A$1:$I$89,3,0)*VLOOKUP('Données projet'!$B$12,Paramètres!$A$1:$I$89,5,0)</f>
        <v>189.82080000000036</v>
      </c>
      <c r="CA170" s="13">
        <f t="shared" si="170"/>
        <v>47.500332100049881</v>
      </c>
      <c r="CB170" s="20">
        <f t="shared" si="171"/>
        <v>413.33430507425419</v>
      </c>
      <c r="CC170" s="59">
        <f t="shared" si="119"/>
        <v>706.66763840758745</v>
      </c>
      <c r="CD170" s="59">
        <f ca="1">AVERAGE(OFFSET($CC$3,0,0,'Données projet'!$E$12+1,1))-AVERAGE(OFFSET($H$3,0,0,'Données projet'!$E$12+1,1))</f>
        <v>192.4785660463869</v>
      </c>
      <c r="CE170" s="59">
        <f t="shared" si="148"/>
        <v>165.11095806515362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5.3708792817880151E-2</v>
      </c>
      <c r="CL170" s="21">
        <f>EXP(-LN(2)/25)*CL169+(1-EXP(-LN(2)/25))/(LN(2)/25)*Calculateur!CG170*Calculateur!CI170*VLOOKUP('Données projet'!$B$12,Paramètres!$A$1:$I$89,3,0)*0.475*44/12</f>
        <v>0.10578088944696669</v>
      </c>
      <c r="CM170" s="21">
        <f>EXP(-LN(2)/2)*CM169+(1-EXP(-LN(2)/2))/(LN(2)/2)*CG170*CJ170*VLOOKUP('Données projet'!$B$12,Paramètres!$A$1:$I$89,3,0)*0.475*44/12</f>
        <v>1.7543321308497515E-20</v>
      </c>
      <c r="CN170" s="22">
        <f t="shared" si="172"/>
        <v>0.15948968226484683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275.00000000000057</v>
      </c>
      <c r="CU170" s="17">
        <f>CT170*VLOOKUP('Données projet'!$B$13,Paramètres!$A$1:$I$89,3,0)*VLOOKUP('Données projet'!$B$13,Paramètres!$A$1:$I$89,5,0)</f>
        <v>231.66000000000051</v>
      </c>
      <c r="CV170" s="13">
        <f t="shared" si="173"/>
        <v>56.641461975682923</v>
      </c>
      <c r="CW170" s="20">
        <f t="shared" si="174"/>
        <v>502.12504627431525</v>
      </c>
      <c r="CX170" s="59">
        <f t="shared" si="122"/>
        <v>795.45837960764857</v>
      </c>
      <c r="CY170" s="59">
        <f ca="1">AVERAGE(OFFSET($CX$3,0,0,'Données projet'!$E$13+1,1))-AVERAGE(OFFSET($H$3,0,0,'Données projet'!$E$13+1,1))</f>
        <v>247.67539667223065</v>
      </c>
      <c r="CZ170" s="59">
        <f t="shared" si="150"/>
        <v>174.54442616983778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8.4989738085436708E-2</v>
      </c>
      <c r="DG170" s="21">
        <f>EXP(-LN(2)/25)*DG169+(1-EXP(-LN(2)/25))/(LN(2)/25)*Calculateur!DB170*Calculateur!DD170*VLOOKUP('Données projet'!$B$13,Paramètres!$A$1:$I$89,3,0)*0.475*44/12</f>
        <v>0.14731321272620554</v>
      </c>
      <c r="DH170" s="21">
        <f>EXP(-LN(2)/2)*DH169+(1-EXP(-LN(2)/2))/(LN(2)/2)*DB170*DE170*VLOOKUP('Données projet'!$B$13,Paramètres!$A$1:$I$89,3,0)*0.475*44/12</f>
        <v>2.7584464377562343E-20</v>
      </c>
      <c r="DI170" s="22">
        <f t="shared" si="175"/>
        <v>0.23230295081164226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-5.6843418860808015E-13</v>
      </c>
      <c r="DP170" s="17">
        <f>DO170*VLOOKUP('Données projet'!$B$14,Paramètres!$A$1:$I$89,3,0)*VLOOKUP('Données projet'!$B$14,Paramètres!$A$1:$I$89,5,0)</f>
        <v>-5.6752469390630732E-13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245.06609107649069</v>
      </c>
      <c r="DU170" s="59">
        <f t="shared" si="152"/>
        <v>156.24531945456499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-2.5579538487363607E-13</v>
      </c>
      <c r="EK170" s="17">
        <f>EJ170*VLOOKUP('Données projet'!$B$15,Paramètres!$A$1:$I$89,3,0)*VLOOKUP('Données projet'!$B$15,Paramètres!$A$1:$I$89,5,0)</f>
        <v>-2.7932856028201057E-13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173.63857221119594</v>
      </c>
      <c r="EP170" s="59">
        <f t="shared" si="154"/>
        <v>52.373745617370105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199.58634493109349</v>
      </c>
      <c r="T171" s="59">
        <f t="shared" si="142"/>
        <v>288.66487031729008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0.32494163686548638</v>
      </c>
      <c r="AA171" s="21">
        <f>EXP(-LN(2)/25)*AA170+(1-EXP(-LN(2)/25))/(LN(2)/25)*Calculateur!V171*Calculateur!X171*VLOOKUP('Données projet'!$B$9,Paramètres!$A$1:$I$89,3,0)*0.475*44/12</f>
        <v>0.37330800341118381</v>
      </c>
      <c r="AB171" s="21">
        <f>EXP(-LN(2)/2)*AB170+(1-EXP(-LN(2)/2))/(LN(2)/2)*V171*Y171*VLOOKUP('Données projet'!$B$9,Paramètres!$A$1:$I$89,3,0)*0.475*44/12</f>
        <v>4.9973281220063965E-21</v>
      </c>
      <c r="AC171" s="22">
        <f t="shared" si="163"/>
        <v>0.69824964027667025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606.99999999999989</v>
      </c>
      <c r="AJ171" s="13">
        <f>AI171*VLOOKUP('Données projet'!$B$10,Paramètres!$A$1:$I$89,3,0)*VLOOKUP('Données projet'!$B$10,Paramètres!$A$1:$I$89,5,0)</f>
        <v>362.98599999999999</v>
      </c>
      <c r="AK171" s="13">
        <f t="shared" si="164"/>
        <v>84.230767602863935</v>
      </c>
      <c r="AL171" s="20">
        <f t="shared" si="165"/>
        <v>778.90253690832139</v>
      </c>
      <c r="AM171" s="59">
        <f t="shared" si="113"/>
        <v>1072.2358702416548</v>
      </c>
      <c r="AN171" s="59">
        <f ca="1">AVERAGE(OFFSET($AM$3,0,0,'Données projet'!$E$10+1,1))-AVERAGE(OFFSET($H$3,0,0,'Données projet'!$E$10+1,1))</f>
        <v>395.40396173178527</v>
      </c>
      <c r="AO171" s="59">
        <f t="shared" si="144"/>
        <v>304.68075128568756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0.19498583905221914</v>
      </c>
      <c r="AV171" s="21">
        <f>EXP(-LN(2)/25)*AV170+(1-EXP(-LN(2)/25))/(LN(2)/25)*Calculateur!AQ171*Calculateur!AS171*VLOOKUP('Données projet'!$B$10,Paramètres!$A$1:$I$89,3,0)*0.475*44/12</f>
        <v>0.40742637110840862</v>
      </c>
      <c r="AW171" s="21">
        <f>EXP(-LN(2)/2)*AW170+(1-EXP(-LN(2)/2))/(LN(2)/2)*AQ171*AT171*VLOOKUP('Données projet'!$B$10,Paramètres!$A$1:$I$89,3,0)*0.475*44/12</f>
        <v>4.4055918770750965E-20</v>
      </c>
      <c r="AX171" s="21">
        <f t="shared" si="166"/>
        <v>0.60241221016062774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36.10000000000008</v>
      </c>
      <c r="BE171" s="13">
        <f>BD171*VLOOKUP('Données projet'!$B$11,Paramètres!$A$1:$I$89,3,0)*VLOOKUP('Données projet'!$B$11,Paramètres!$A$1:$I$89,5,0)</f>
        <v>31.536960000000075</v>
      </c>
      <c r="BF171" s="13">
        <f t="shared" si="167"/>
        <v>9.725440120377133</v>
      </c>
      <c r="BG171" s="20">
        <f t="shared" si="168"/>
        <v>71.865346876323642</v>
      </c>
      <c r="BH171" s="59">
        <f t="shared" si="116"/>
        <v>365.19868020965697</v>
      </c>
      <c r="BI171" s="59">
        <f ca="1">AVERAGE(OFFSET($BH$3,0,0,'Données projet'!$E$11+1,1))-AVERAGE(OFFSET($H$3,0,0,'Données projet'!$E$11+1,1))</f>
        <v>249.21292089724221</v>
      </c>
      <c r="BJ171" s="59">
        <f t="shared" si="146"/>
        <v>640.80644476065254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7.3330949857962811</v>
      </c>
      <c r="BQ171" s="21">
        <f>EXP(-LN(2)/25)*BQ170+(1-EXP(-LN(2)/25))/(LN(2)/25)*Calculateur!BL171*Calculateur!BN171*VLOOKUP('Données projet'!$B$11,Paramètres!$A$1:$I$89,3,0)*0.475*44/12</f>
        <v>2.3357206326158857</v>
      </c>
      <c r="BR171" s="21">
        <f>EXP(-LN(2)/2)*BR170+(1-EXP(-LN(2)/2))/(LN(2)/2)*BL171*BO171*VLOOKUP('Données projet'!$B$11,Paramètres!$A$1:$I$89,3,0)*0.475*44/12</f>
        <v>1.3982742276812136E-19</v>
      </c>
      <c r="BS171" s="22">
        <f t="shared" si="169"/>
        <v>9.6688156184121663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234.00000000000045</v>
      </c>
      <c r="BZ171" s="13">
        <f>BY171*VLOOKUP('Données projet'!$B$12,Paramètres!$A$1:$I$89,3,0)*VLOOKUP('Données projet'!$B$12,Paramètres!$A$1:$I$89,5,0)</f>
        <v>189.82080000000036</v>
      </c>
      <c r="CA171" s="13">
        <f t="shared" si="170"/>
        <v>47.500332100049881</v>
      </c>
      <c r="CB171" s="20">
        <f t="shared" si="171"/>
        <v>413.33430507425419</v>
      </c>
      <c r="CC171" s="59">
        <f t="shared" si="119"/>
        <v>706.66763840758745</v>
      </c>
      <c r="CD171" s="59">
        <f ca="1">AVERAGE(OFFSET($CC$3,0,0,'Données projet'!$E$12+1,1))-AVERAGE(OFFSET($H$3,0,0,'Données projet'!$E$12+1,1))</f>
        <v>192.4785660463869</v>
      </c>
      <c r="CE171" s="59">
        <f t="shared" si="148"/>
        <v>165.11095806515362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5.2655596149850444E-2</v>
      </c>
      <c r="CL171" s="21">
        <f>EXP(-LN(2)/25)*CL170+(1-EXP(-LN(2)/25))/(LN(2)/25)*Calculateur!CG171*Calculateur!CI171*VLOOKUP('Données projet'!$B$12,Paramètres!$A$1:$I$89,3,0)*0.475*44/12</f>
        <v>0.10288830546226417</v>
      </c>
      <c r="CM171" s="21">
        <f>EXP(-LN(2)/2)*CM170+(1-EXP(-LN(2)/2))/(LN(2)/2)*CG171*CJ171*VLOOKUP('Données projet'!$B$12,Paramètres!$A$1:$I$89,3,0)*0.475*44/12</f>
        <v>1.2405001461773049E-20</v>
      </c>
      <c r="CN171" s="22">
        <f t="shared" si="172"/>
        <v>0.15554390161211462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275.00000000000057</v>
      </c>
      <c r="CU171" s="17">
        <f>CT171*VLOOKUP('Données projet'!$B$13,Paramètres!$A$1:$I$89,3,0)*VLOOKUP('Données projet'!$B$13,Paramètres!$A$1:$I$89,5,0)</f>
        <v>231.66000000000051</v>
      </c>
      <c r="CV171" s="13">
        <f t="shared" si="173"/>
        <v>56.641461975682923</v>
      </c>
      <c r="CW171" s="20">
        <f t="shared" si="174"/>
        <v>502.12504627431525</v>
      </c>
      <c r="CX171" s="59">
        <f t="shared" si="122"/>
        <v>795.45837960764857</v>
      </c>
      <c r="CY171" s="59">
        <f ca="1">AVERAGE(OFFSET($CX$3,0,0,'Données projet'!$E$13+1,1))-AVERAGE(OFFSET($H$3,0,0,'Données projet'!$E$13+1,1))</f>
        <v>247.67539667223065</v>
      </c>
      <c r="CZ171" s="59">
        <f t="shared" si="150"/>
        <v>174.54442616983778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8.3323141160202882E-2</v>
      </c>
      <c r="DG171" s="21">
        <f>EXP(-LN(2)/25)*DG170+(1-EXP(-LN(2)/25))/(LN(2)/25)*Calculateur!DB171*Calculateur!DD171*VLOOKUP('Données projet'!$B$13,Paramètres!$A$1:$I$89,3,0)*0.475*44/12</f>
        <v>0.14328492517734229</v>
      </c>
      <c r="DH171" s="21">
        <f>EXP(-LN(2)/2)*DH170+(1-EXP(-LN(2)/2))/(LN(2)/2)*DB171*DE171*VLOOKUP('Données projet'!$B$13,Paramètres!$A$1:$I$89,3,0)*0.475*44/12</f>
        <v>1.9505161816773091E-20</v>
      </c>
      <c r="DI171" s="22">
        <f t="shared" si="175"/>
        <v>0.22660806633754516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-5.6843418860808015E-13</v>
      </c>
      <c r="DP171" s="17">
        <f>DO171*VLOOKUP('Données projet'!$B$14,Paramètres!$A$1:$I$89,3,0)*VLOOKUP('Données projet'!$B$14,Paramètres!$A$1:$I$89,5,0)</f>
        <v>-5.6752469390630732E-13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245.06609107649069</v>
      </c>
      <c r="DU171" s="59">
        <f t="shared" si="152"/>
        <v>156.24531945456499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-2.5579538487363607E-13</v>
      </c>
      <c r="EK171" s="17">
        <f>EJ171*VLOOKUP('Données projet'!$B$15,Paramètres!$A$1:$I$89,3,0)*VLOOKUP('Données projet'!$B$15,Paramètres!$A$1:$I$89,5,0)</f>
        <v>-2.7932856028201057E-13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173.63857221119594</v>
      </c>
      <c r="EP171" s="59">
        <f t="shared" si="154"/>
        <v>52.373745617370105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199.58634493109349</v>
      </c>
      <c r="T172" s="59">
        <f t="shared" si="142"/>
        <v>288.66487031729008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0.31856972956138258</v>
      </c>
      <c r="AA172" s="21">
        <f>EXP(-LN(2)/25)*AA171+(1-EXP(-LN(2)/25))/(LN(2)/25)*Calculateur!V172*Calculateur!X172*VLOOKUP('Données projet'!$B$9,Paramètres!$A$1:$I$89,3,0)*0.475*44/12</f>
        <v>0.36309987642649028</v>
      </c>
      <c r="AB172" s="21">
        <f>EXP(-LN(2)/2)*AB171+(1-EXP(-LN(2)/2))/(LN(2)/2)*V172*Y172*VLOOKUP('Données projet'!$B$9,Paramètres!$A$1:$I$89,3,0)*0.475*44/12</f>
        <v>3.5336446028849575E-21</v>
      </c>
      <c r="AC172" s="22">
        <f t="shared" si="163"/>
        <v>0.68166960598787285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606.99999999999989</v>
      </c>
      <c r="AJ172" s="13">
        <f>AI172*VLOOKUP('Données projet'!$B$10,Paramètres!$A$1:$I$89,3,0)*VLOOKUP('Données projet'!$B$10,Paramètres!$A$1:$I$89,5,0)</f>
        <v>362.98599999999999</v>
      </c>
      <c r="AK172" s="13">
        <f t="shared" si="164"/>
        <v>84.230767602863935</v>
      </c>
      <c r="AL172" s="20">
        <f t="shared" si="165"/>
        <v>778.90253690832139</v>
      </c>
      <c r="AM172" s="59">
        <f t="shared" si="113"/>
        <v>1072.2358702416548</v>
      </c>
      <c r="AN172" s="59">
        <f ca="1">AVERAGE(OFFSET($AM$3,0,0,'Données projet'!$E$10+1,1))-AVERAGE(OFFSET($H$3,0,0,'Données projet'!$E$10+1,1))</f>
        <v>395.40396173178527</v>
      </c>
      <c r="AO172" s="59">
        <f t="shared" si="144"/>
        <v>304.68075128568756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0.19116228567802362</v>
      </c>
      <c r="AV172" s="21">
        <f>EXP(-LN(2)/25)*AV171+(1-EXP(-LN(2)/25))/(LN(2)/25)*Calculateur!AQ172*Calculateur!AS172*VLOOKUP('Données projet'!$B$10,Paramètres!$A$1:$I$89,3,0)*0.475*44/12</f>
        <v>0.39628527556482751</v>
      </c>
      <c r="AW172" s="21">
        <f>EXP(-LN(2)/2)*AW171+(1-EXP(-LN(2)/2))/(LN(2)/2)*AQ172*AT172*VLOOKUP('Données projet'!$B$10,Paramètres!$A$1:$I$89,3,0)*0.475*44/12</f>
        <v>3.1152238914201714E-20</v>
      </c>
      <c r="AX172" s="21">
        <f t="shared" si="166"/>
        <v>0.58744756124285114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36.10000000000008</v>
      </c>
      <c r="BE172" s="13">
        <f>BD172*VLOOKUP('Données projet'!$B$11,Paramètres!$A$1:$I$89,3,0)*VLOOKUP('Données projet'!$B$11,Paramètres!$A$1:$I$89,5,0)</f>
        <v>31.536960000000075</v>
      </c>
      <c r="BF172" s="13">
        <f t="shared" si="167"/>
        <v>9.725440120377133</v>
      </c>
      <c r="BG172" s="20">
        <f t="shared" si="168"/>
        <v>71.865346876323642</v>
      </c>
      <c r="BH172" s="59">
        <f t="shared" si="116"/>
        <v>365.19868020965697</v>
      </c>
      <c r="BI172" s="59">
        <f ca="1">AVERAGE(OFFSET($BH$3,0,0,'Données projet'!$E$11+1,1))-AVERAGE(OFFSET($H$3,0,0,'Données projet'!$E$11+1,1))</f>
        <v>249.21292089724221</v>
      </c>
      <c r="BJ172" s="59">
        <f t="shared" si="146"/>
        <v>640.80644476065254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7.1892974658711104</v>
      </c>
      <c r="BQ172" s="21">
        <f>EXP(-LN(2)/25)*BQ171+(1-EXP(-LN(2)/25))/(LN(2)/25)*Calculateur!BL172*Calculateur!BN172*VLOOKUP('Données projet'!$B$11,Paramètres!$A$1:$I$89,3,0)*0.475*44/12</f>
        <v>2.2718502290867946</v>
      </c>
      <c r="BR172" s="21">
        <f>EXP(-LN(2)/2)*BR171+(1-EXP(-LN(2)/2))/(LN(2)/2)*BL172*BO172*VLOOKUP('Données projet'!$B$11,Paramètres!$A$1:$I$89,3,0)*0.475*44/12</f>
        <v>9.8872918835176863E-20</v>
      </c>
      <c r="BS172" s="22">
        <f t="shared" si="169"/>
        <v>9.461147694957905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234.00000000000045</v>
      </c>
      <c r="BZ172" s="13">
        <f>BY172*VLOOKUP('Données projet'!$B$12,Paramètres!$A$1:$I$89,3,0)*VLOOKUP('Données projet'!$B$12,Paramètres!$A$1:$I$89,5,0)</f>
        <v>189.82080000000036</v>
      </c>
      <c r="CA172" s="13">
        <f t="shared" si="170"/>
        <v>47.500332100049881</v>
      </c>
      <c r="CB172" s="20">
        <f t="shared" si="171"/>
        <v>413.33430507425419</v>
      </c>
      <c r="CC172" s="59">
        <f t="shared" si="119"/>
        <v>706.66763840758745</v>
      </c>
      <c r="CD172" s="59">
        <f ca="1">AVERAGE(OFFSET($CC$3,0,0,'Données projet'!$E$12+1,1))-AVERAGE(OFFSET($H$3,0,0,'Données projet'!$E$12+1,1))</f>
        <v>192.4785660463869</v>
      </c>
      <c r="CE172" s="59">
        <f t="shared" si="148"/>
        <v>165.11095806515362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5.1623052026094261E-2</v>
      </c>
      <c r="CL172" s="21">
        <f>EXP(-LN(2)/25)*CL171+(1-EXP(-LN(2)/25))/(LN(2)/25)*Calculateur!CG172*Calculateur!CI172*VLOOKUP('Données projet'!$B$12,Paramètres!$A$1:$I$89,3,0)*0.475*44/12</f>
        <v>0.10007481933873773</v>
      </c>
      <c r="CM172" s="21">
        <f>EXP(-LN(2)/2)*CM171+(1-EXP(-LN(2)/2))/(LN(2)/2)*CG172*CJ172*VLOOKUP('Données projet'!$B$12,Paramètres!$A$1:$I$89,3,0)*0.475*44/12</f>
        <v>8.7716606542487576E-21</v>
      </c>
      <c r="CN172" s="22">
        <f t="shared" si="172"/>
        <v>0.15169787136483198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275.00000000000057</v>
      </c>
      <c r="CU172" s="17">
        <f>CT172*VLOOKUP('Données projet'!$B$13,Paramètres!$A$1:$I$89,3,0)*VLOOKUP('Données projet'!$B$13,Paramètres!$A$1:$I$89,5,0)</f>
        <v>231.66000000000051</v>
      </c>
      <c r="CV172" s="13">
        <f t="shared" si="173"/>
        <v>56.641461975682923</v>
      </c>
      <c r="CW172" s="20">
        <f t="shared" si="174"/>
        <v>502.12504627431525</v>
      </c>
      <c r="CX172" s="59">
        <f t="shared" si="122"/>
        <v>795.45837960764857</v>
      </c>
      <c r="CY172" s="59">
        <f ca="1">AVERAGE(OFFSET($CX$3,0,0,'Données projet'!$E$13+1,1))-AVERAGE(OFFSET($H$3,0,0,'Données projet'!$E$13+1,1))</f>
        <v>247.67539667223065</v>
      </c>
      <c r="CZ172" s="59">
        <f t="shared" si="150"/>
        <v>174.54442616983778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8.1689225184149145E-2</v>
      </c>
      <c r="DG172" s="21">
        <f>EXP(-LN(2)/25)*DG171+(1-EXP(-LN(2)/25))/(LN(2)/25)*Calculateur!DB172*Calculateur!DD172*VLOOKUP('Données projet'!$B$13,Paramètres!$A$1:$I$89,3,0)*0.475*44/12</f>
        <v>0.13936679136334112</v>
      </c>
      <c r="DH172" s="21">
        <f>EXP(-LN(2)/2)*DH171+(1-EXP(-LN(2)/2))/(LN(2)/2)*DB172*DE172*VLOOKUP('Données projet'!$B$13,Paramètres!$A$1:$I$89,3,0)*0.475*44/12</f>
        <v>1.3792232188781171E-20</v>
      </c>
      <c r="DI172" s="22">
        <f t="shared" si="175"/>
        <v>0.22105601654749027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-5.6843418860808015E-13</v>
      </c>
      <c r="DP172" s="17">
        <f>DO172*VLOOKUP('Données projet'!$B$14,Paramètres!$A$1:$I$89,3,0)*VLOOKUP('Données projet'!$B$14,Paramètres!$A$1:$I$89,5,0)</f>
        <v>-5.6752469390630732E-13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245.06609107649069</v>
      </c>
      <c r="DU172" s="59">
        <f t="shared" si="152"/>
        <v>156.24531945456499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-2.5579538487363607E-13</v>
      </c>
      <c r="EK172" s="17">
        <f>EJ172*VLOOKUP('Données projet'!$B$15,Paramètres!$A$1:$I$89,3,0)*VLOOKUP('Données projet'!$B$15,Paramètres!$A$1:$I$89,5,0)</f>
        <v>-2.7932856028201057E-13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173.63857221119594</v>
      </c>
      <c r="EP172" s="59">
        <f t="shared" si="154"/>
        <v>52.373745617370105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199.58634493109349</v>
      </c>
      <c r="T173" s="59">
        <f t="shared" si="142"/>
        <v>288.66487031729008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0.31232277147303256</v>
      </c>
      <c r="AA173" s="21">
        <f>EXP(-LN(2)/25)*AA172+(1-EXP(-LN(2)/25))/(LN(2)/25)*Calculateur!V173*Calculateur!X173*VLOOKUP('Données projet'!$B$9,Paramètres!$A$1:$I$89,3,0)*0.475*44/12</f>
        <v>0.35317089121101525</v>
      </c>
      <c r="AB173" s="21">
        <f>EXP(-LN(2)/2)*AB172+(1-EXP(-LN(2)/2))/(LN(2)/2)*V173*Y173*VLOOKUP('Données projet'!$B$9,Paramètres!$A$1:$I$89,3,0)*0.475*44/12</f>
        <v>2.4986640610031983E-21</v>
      </c>
      <c r="AC173" s="22">
        <f t="shared" si="163"/>
        <v>0.66549366268404775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606.99999999999989</v>
      </c>
      <c r="AJ173" s="13">
        <f>AI173*VLOOKUP('Données projet'!$B$10,Paramètres!$A$1:$I$89,3,0)*VLOOKUP('Données projet'!$B$10,Paramètres!$A$1:$I$89,5,0)</f>
        <v>362.98599999999999</v>
      </c>
      <c r="AK173" s="13">
        <f t="shared" si="164"/>
        <v>84.230767602863935</v>
      </c>
      <c r="AL173" s="20">
        <f t="shared" si="165"/>
        <v>778.90253690832139</v>
      </c>
      <c r="AM173" s="59">
        <f t="shared" si="113"/>
        <v>1072.2358702416548</v>
      </c>
      <c r="AN173" s="59">
        <f ca="1">AVERAGE(OFFSET($AM$3,0,0,'Données projet'!$E$10+1,1))-AVERAGE(OFFSET($H$3,0,0,'Données projet'!$E$10+1,1))</f>
        <v>395.40396173178527</v>
      </c>
      <c r="AO173" s="59">
        <f t="shared" si="144"/>
        <v>304.68075128568756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0.18741370985335881</v>
      </c>
      <c r="AV173" s="21">
        <f>EXP(-LN(2)/25)*AV172+(1-EXP(-LN(2)/25))/(LN(2)/25)*Calculateur!AQ173*Calculateur!AS173*VLOOKUP('Données projet'!$B$10,Paramètres!$A$1:$I$89,3,0)*0.475*44/12</f>
        <v>0.38544883386477036</v>
      </c>
      <c r="AW173" s="21">
        <f>EXP(-LN(2)/2)*AW172+(1-EXP(-LN(2)/2))/(LN(2)/2)*AQ173*AT173*VLOOKUP('Données projet'!$B$10,Paramètres!$A$1:$I$89,3,0)*0.475*44/12</f>
        <v>2.2027959385375483E-20</v>
      </c>
      <c r="AX173" s="21">
        <f t="shared" si="166"/>
        <v>0.57286254371812917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36.10000000000008</v>
      </c>
      <c r="BE173" s="13">
        <f>BD173*VLOOKUP('Données projet'!$B$11,Paramètres!$A$1:$I$89,3,0)*VLOOKUP('Données projet'!$B$11,Paramètres!$A$1:$I$89,5,0)</f>
        <v>31.536960000000075</v>
      </c>
      <c r="BF173" s="13">
        <f t="shared" si="167"/>
        <v>9.725440120377133</v>
      </c>
      <c r="BG173" s="20">
        <f t="shared" si="168"/>
        <v>71.865346876323642</v>
      </c>
      <c r="BH173" s="59">
        <f t="shared" si="116"/>
        <v>365.19868020965697</v>
      </c>
      <c r="BI173" s="59">
        <f ca="1">AVERAGE(OFFSET($BH$3,0,0,'Données projet'!$E$11+1,1))-AVERAGE(OFFSET($H$3,0,0,'Données projet'!$E$11+1,1))</f>
        <v>249.21292089724221</v>
      </c>
      <c r="BJ173" s="59">
        <f t="shared" si="146"/>
        <v>640.80644476065254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7.0483197276038458</v>
      </c>
      <c r="BQ173" s="21">
        <f>EXP(-LN(2)/25)*BQ172+(1-EXP(-LN(2)/25))/(LN(2)/25)*Calculateur!BL173*Calculateur!BN173*VLOOKUP('Données projet'!$B$11,Paramètres!$A$1:$I$89,3,0)*0.475*44/12</f>
        <v>2.2097263651010048</v>
      </c>
      <c r="BR173" s="21">
        <f>EXP(-LN(2)/2)*BR172+(1-EXP(-LN(2)/2))/(LN(2)/2)*BL173*BO173*VLOOKUP('Données projet'!$B$11,Paramètres!$A$1:$I$89,3,0)*0.475*44/12</f>
        <v>6.9913711384060678E-20</v>
      </c>
      <c r="BS173" s="22">
        <f t="shared" si="169"/>
        <v>9.2580460927048502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234.00000000000045</v>
      </c>
      <c r="BZ173" s="13">
        <f>BY173*VLOOKUP('Données projet'!$B$12,Paramètres!$A$1:$I$89,3,0)*VLOOKUP('Données projet'!$B$12,Paramètres!$A$1:$I$89,5,0)</f>
        <v>189.82080000000036</v>
      </c>
      <c r="CA173" s="13">
        <f t="shared" si="170"/>
        <v>47.500332100049881</v>
      </c>
      <c r="CB173" s="20">
        <f t="shared" si="171"/>
        <v>413.33430507425419</v>
      </c>
      <c r="CC173" s="59">
        <f t="shared" si="119"/>
        <v>706.66763840758745</v>
      </c>
      <c r="CD173" s="59">
        <f ca="1">AVERAGE(OFFSET($CC$3,0,0,'Données projet'!$E$12+1,1))-AVERAGE(OFFSET($H$3,0,0,'Données projet'!$E$12+1,1))</f>
        <v>192.4785660463869</v>
      </c>
      <c r="CE173" s="59">
        <f t="shared" si="148"/>
        <v>165.11095806515362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5.061075546281521E-2</v>
      </c>
      <c r="CL173" s="21">
        <f>EXP(-LN(2)/25)*CL172+(1-EXP(-LN(2)/25))/(LN(2)/25)*Calculateur!CG173*Calculateur!CI173*VLOOKUP('Données projet'!$B$12,Paramètres!$A$1:$I$89,3,0)*0.475*44/12</f>
        <v>9.7338268141213921E-2</v>
      </c>
      <c r="CM173" s="21">
        <f>EXP(-LN(2)/2)*CM172+(1-EXP(-LN(2)/2))/(LN(2)/2)*CG173*CJ173*VLOOKUP('Données projet'!$B$12,Paramètres!$A$1:$I$89,3,0)*0.475*44/12</f>
        <v>6.2025007308865246E-21</v>
      </c>
      <c r="CN173" s="22">
        <f t="shared" si="172"/>
        <v>0.14794902360402912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275.00000000000057</v>
      </c>
      <c r="CU173" s="17">
        <f>CT173*VLOOKUP('Données projet'!$B$13,Paramètres!$A$1:$I$89,3,0)*VLOOKUP('Données projet'!$B$13,Paramètres!$A$1:$I$89,5,0)</f>
        <v>231.66000000000051</v>
      </c>
      <c r="CV173" s="13">
        <f t="shared" si="173"/>
        <v>56.641461975682923</v>
      </c>
      <c r="CW173" s="20">
        <f t="shared" si="174"/>
        <v>502.12504627431525</v>
      </c>
      <c r="CX173" s="59">
        <f t="shared" si="122"/>
        <v>795.45837960764857</v>
      </c>
      <c r="CY173" s="59">
        <f ca="1">AVERAGE(OFFSET($CX$3,0,0,'Données projet'!$E$13+1,1))-AVERAGE(OFFSET($H$3,0,0,'Données projet'!$E$13+1,1))</f>
        <v>247.67539667223065</v>
      </c>
      <c r="CZ173" s="59">
        <f t="shared" si="150"/>
        <v>174.54442616983778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8.0087349303795477E-2</v>
      </c>
      <c r="DG173" s="21">
        <f>EXP(-LN(2)/25)*DG172+(1-EXP(-LN(2)/25))/(LN(2)/25)*Calculateur!DB173*Calculateur!DD173*VLOOKUP('Données projet'!$B$13,Paramètres!$A$1:$I$89,3,0)*0.475*44/12</f>
        <v>0.13555579912452953</v>
      </c>
      <c r="DH173" s="21">
        <f>EXP(-LN(2)/2)*DH172+(1-EXP(-LN(2)/2))/(LN(2)/2)*DB173*DE173*VLOOKUP('Données projet'!$B$13,Paramètres!$A$1:$I$89,3,0)*0.475*44/12</f>
        <v>9.7525809083865454E-21</v>
      </c>
      <c r="DI173" s="22">
        <f t="shared" si="175"/>
        <v>0.21564314842832499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-5.6843418860808015E-13</v>
      </c>
      <c r="DP173" s="17">
        <f>DO173*VLOOKUP('Données projet'!$B$14,Paramètres!$A$1:$I$89,3,0)*VLOOKUP('Données projet'!$B$14,Paramètres!$A$1:$I$89,5,0)</f>
        <v>-5.6752469390630732E-13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245.06609107649069</v>
      </c>
      <c r="DU173" s="59">
        <f t="shared" si="152"/>
        <v>156.24531945456499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-2.5579538487363607E-13</v>
      </c>
      <c r="EK173" s="17">
        <f>EJ173*VLOOKUP('Données projet'!$B$15,Paramètres!$A$1:$I$89,3,0)*VLOOKUP('Données projet'!$B$15,Paramètres!$A$1:$I$89,5,0)</f>
        <v>-2.7932856028201057E-13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173.63857221119594</v>
      </c>
      <c r="EP173" s="59">
        <f t="shared" si="154"/>
        <v>52.373745617370105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199.58634493109349</v>
      </c>
      <c r="T174" s="59">
        <f t="shared" si="142"/>
        <v>288.66487031729008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0.30619831242252687</v>
      </c>
      <c r="AA174" s="21">
        <f>EXP(-LN(2)/25)*AA173+(1-EXP(-LN(2)/25))/(LN(2)/25)*Calculateur!V174*Calculateur!X174*VLOOKUP('Données projet'!$B$9,Paramètres!$A$1:$I$89,3,0)*0.475*44/12</f>
        <v>0.34351341461840007</v>
      </c>
      <c r="AB174" s="21">
        <f>EXP(-LN(2)/2)*AB173+(1-EXP(-LN(2)/2))/(LN(2)/2)*V174*Y174*VLOOKUP('Données projet'!$B$9,Paramètres!$A$1:$I$89,3,0)*0.475*44/12</f>
        <v>1.7668223014424787E-21</v>
      </c>
      <c r="AC174" s="22">
        <f t="shared" si="163"/>
        <v>0.64971172704092695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606.99999999999989</v>
      </c>
      <c r="AJ174" s="13">
        <f>AI174*VLOOKUP('Données projet'!$B$10,Paramètres!$A$1:$I$89,3,0)*VLOOKUP('Données projet'!$B$10,Paramètres!$A$1:$I$89,5,0)</f>
        <v>362.98599999999999</v>
      </c>
      <c r="AK174" s="13">
        <f t="shared" si="164"/>
        <v>84.230767602863935</v>
      </c>
      <c r="AL174" s="20">
        <f t="shared" si="165"/>
        <v>778.90253690832139</v>
      </c>
      <c r="AM174" s="59">
        <f t="shared" si="113"/>
        <v>1072.2358702416548</v>
      </c>
      <c r="AN174" s="59">
        <f ca="1">AVERAGE(OFFSET($AM$3,0,0,'Données projet'!$E$10+1,1))-AVERAGE(OFFSET($H$3,0,0,'Données projet'!$E$10+1,1))</f>
        <v>395.40396173178527</v>
      </c>
      <c r="AO174" s="59">
        <f t="shared" si="144"/>
        <v>304.68075128568756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0.18373864131421017</v>
      </c>
      <c r="AV174" s="21">
        <f>EXP(-LN(2)/25)*AV173+(1-EXP(-LN(2)/25))/(LN(2)/25)*Calculateur!AQ174*Calculateur!AS174*VLOOKUP('Données projet'!$B$10,Paramètres!$A$1:$I$89,3,0)*0.475*44/12</f>
        <v>0.37490871523286501</v>
      </c>
      <c r="AW174" s="21">
        <f>EXP(-LN(2)/2)*AW173+(1-EXP(-LN(2)/2))/(LN(2)/2)*AQ174*AT174*VLOOKUP('Données projet'!$B$10,Paramètres!$A$1:$I$89,3,0)*0.475*44/12</f>
        <v>1.5576119457100857E-20</v>
      </c>
      <c r="AX174" s="21">
        <f t="shared" si="166"/>
        <v>0.5586473565470752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36.10000000000008</v>
      </c>
      <c r="BE174" s="13">
        <f>BD174*VLOOKUP('Données projet'!$B$11,Paramètres!$A$1:$I$89,3,0)*VLOOKUP('Données projet'!$B$11,Paramètres!$A$1:$I$89,5,0)</f>
        <v>31.536960000000075</v>
      </c>
      <c r="BF174" s="13">
        <f t="shared" si="167"/>
        <v>9.725440120377133</v>
      </c>
      <c r="BG174" s="20">
        <f t="shared" si="168"/>
        <v>71.865346876323642</v>
      </c>
      <c r="BH174" s="59">
        <f t="shared" si="116"/>
        <v>365.19868020965697</v>
      </c>
      <c r="BI174" s="59">
        <f ca="1">AVERAGE(OFFSET($BH$3,0,0,'Données projet'!$E$11+1,1))-AVERAGE(OFFSET($H$3,0,0,'Données projet'!$E$11+1,1))</f>
        <v>249.21292089724221</v>
      </c>
      <c r="BJ174" s="59">
        <f t="shared" si="146"/>
        <v>640.80644476065254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6.9101064767960727</v>
      </c>
      <c r="BQ174" s="21">
        <f>EXP(-LN(2)/25)*BQ173+(1-EXP(-LN(2)/25))/(LN(2)/25)*Calculateur!BL174*Calculateur!BN174*VLOOKUP('Données projet'!$B$11,Paramètres!$A$1:$I$89,3,0)*0.475*44/12</f>
        <v>2.1493012814428587</v>
      </c>
      <c r="BR174" s="21">
        <f>EXP(-LN(2)/2)*BR173+(1-EXP(-LN(2)/2))/(LN(2)/2)*BL174*BO174*VLOOKUP('Données projet'!$B$11,Paramètres!$A$1:$I$89,3,0)*0.475*44/12</f>
        <v>4.9436459417588431E-20</v>
      </c>
      <c r="BS174" s="22">
        <f t="shared" si="169"/>
        <v>9.0594077582389314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234.00000000000045</v>
      </c>
      <c r="BZ174" s="13">
        <f>BY174*VLOOKUP('Données projet'!$B$12,Paramètres!$A$1:$I$89,3,0)*VLOOKUP('Données projet'!$B$12,Paramètres!$A$1:$I$89,5,0)</f>
        <v>189.82080000000036</v>
      </c>
      <c r="CA174" s="13">
        <f t="shared" si="170"/>
        <v>47.500332100049881</v>
      </c>
      <c r="CB174" s="20">
        <f t="shared" si="171"/>
        <v>413.33430507425419</v>
      </c>
      <c r="CC174" s="59">
        <f t="shared" si="119"/>
        <v>706.66763840758745</v>
      </c>
      <c r="CD174" s="59">
        <f ca="1">AVERAGE(OFFSET($CC$3,0,0,'Données projet'!$E$12+1,1))-AVERAGE(OFFSET($H$3,0,0,'Données projet'!$E$12+1,1))</f>
        <v>192.4785660463869</v>
      </c>
      <c r="CE174" s="59">
        <f t="shared" si="148"/>
        <v>165.11095806515362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4.9618309417702122E-2</v>
      </c>
      <c r="CL174" s="21">
        <f>EXP(-LN(2)/25)*CL173+(1-EXP(-LN(2)/25))/(LN(2)/25)*Calculateur!CG174*Calculateur!CI174*VLOOKUP('Données projet'!$B$12,Paramètres!$A$1:$I$89,3,0)*0.475*44/12</f>
        <v>9.4676548080095374E-2</v>
      </c>
      <c r="CM174" s="21">
        <f>EXP(-LN(2)/2)*CM173+(1-EXP(-LN(2)/2))/(LN(2)/2)*CG174*CJ174*VLOOKUP('Données projet'!$B$12,Paramètres!$A$1:$I$89,3,0)*0.475*44/12</f>
        <v>4.3858303271243788E-21</v>
      </c>
      <c r="CN174" s="22">
        <f t="shared" si="172"/>
        <v>0.1442948574977975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275.00000000000057</v>
      </c>
      <c r="CU174" s="17">
        <f>CT174*VLOOKUP('Données projet'!$B$13,Paramètres!$A$1:$I$89,3,0)*VLOOKUP('Données projet'!$B$13,Paramètres!$A$1:$I$89,5,0)</f>
        <v>231.66000000000051</v>
      </c>
      <c r="CV174" s="13">
        <f t="shared" si="173"/>
        <v>56.641461975682923</v>
      </c>
      <c r="CW174" s="20">
        <f t="shared" si="174"/>
        <v>502.12504627431525</v>
      </c>
      <c r="CX174" s="59">
        <f t="shared" si="122"/>
        <v>795.45837960764857</v>
      </c>
      <c r="CY174" s="59">
        <f ca="1">AVERAGE(OFFSET($CX$3,0,0,'Données projet'!$E$13+1,1))-AVERAGE(OFFSET($H$3,0,0,'Données projet'!$E$13+1,1))</f>
        <v>247.67539667223065</v>
      </c>
      <c r="CZ174" s="59">
        <f t="shared" si="150"/>
        <v>174.54442616983778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7.851688523240774E-2</v>
      </c>
      <c r="DG174" s="21">
        <f>EXP(-LN(2)/25)*DG173+(1-EXP(-LN(2)/25))/(LN(2)/25)*Calculateur!DB174*Calculateur!DD174*VLOOKUP('Données projet'!$B$13,Paramètres!$A$1:$I$89,3,0)*0.475*44/12</f>
        <v>0.13184901866889961</v>
      </c>
      <c r="DH174" s="21">
        <f>EXP(-LN(2)/2)*DH173+(1-EXP(-LN(2)/2))/(LN(2)/2)*DB174*DE174*VLOOKUP('Données projet'!$B$13,Paramètres!$A$1:$I$89,3,0)*0.475*44/12</f>
        <v>6.8961160943905857E-21</v>
      </c>
      <c r="DI174" s="22">
        <f t="shared" si="175"/>
        <v>0.21036590390130736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-5.6843418860808015E-13</v>
      </c>
      <c r="DP174" s="17">
        <f>DO174*VLOOKUP('Données projet'!$B$14,Paramètres!$A$1:$I$89,3,0)*VLOOKUP('Données projet'!$B$14,Paramètres!$A$1:$I$89,5,0)</f>
        <v>-5.6752469390630732E-13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245.06609107649069</v>
      </c>
      <c r="DU174" s="59">
        <f t="shared" si="152"/>
        <v>156.24531945456499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-2.5579538487363607E-13</v>
      </c>
      <c r="EK174" s="17">
        <f>EJ174*VLOOKUP('Données projet'!$B$15,Paramètres!$A$1:$I$89,3,0)*VLOOKUP('Données projet'!$B$15,Paramètres!$A$1:$I$89,5,0)</f>
        <v>-2.7932856028201057E-13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173.63857221119594</v>
      </c>
      <c r="EP174" s="59">
        <f t="shared" si="154"/>
        <v>52.373745617370105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199.58634493109349</v>
      </c>
      <c r="T175" s="59">
        <f t="shared" si="142"/>
        <v>288.66487031729008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0.30019395027845042</v>
      </c>
      <c r="AA175" s="21">
        <f>EXP(-LN(2)/25)*AA174+(1-EXP(-LN(2)/25))/(LN(2)/25)*Calculateur!V175*Calculateur!X175*VLOOKUP('Données projet'!$B$9,Paramètres!$A$1:$I$89,3,0)*0.475*44/12</f>
        <v>0.33412002223107456</v>
      </c>
      <c r="AB175" s="21">
        <f>EXP(-LN(2)/2)*AB174+(1-EXP(-LN(2)/2))/(LN(2)/2)*V175*Y175*VLOOKUP('Données projet'!$B$9,Paramètres!$A$1:$I$89,3,0)*0.475*44/12</f>
        <v>1.2493320305015991E-21</v>
      </c>
      <c r="AC175" s="22">
        <f t="shared" si="163"/>
        <v>0.63431397250952504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606.99999999999989</v>
      </c>
      <c r="AJ175" s="13">
        <f>AI175*VLOOKUP('Données projet'!$B$10,Paramètres!$A$1:$I$89,3,0)*VLOOKUP('Données projet'!$B$10,Paramètres!$A$1:$I$89,5,0)</f>
        <v>362.98599999999999</v>
      </c>
      <c r="AK175" s="13">
        <f t="shared" si="164"/>
        <v>84.230767602863935</v>
      </c>
      <c r="AL175" s="20">
        <f t="shared" si="165"/>
        <v>778.90253690832139</v>
      </c>
      <c r="AM175" s="59">
        <f t="shared" si="113"/>
        <v>1072.2358702416548</v>
      </c>
      <c r="AN175" s="59">
        <f ca="1">AVERAGE(OFFSET($AM$3,0,0,'Données projet'!$E$10+1,1))-AVERAGE(OFFSET($H$3,0,0,'Données projet'!$E$10+1,1))</f>
        <v>395.40396173178527</v>
      </c>
      <c r="AO175" s="59">
        <f t="shared" si="144"/>
        <v>304.68075128568756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0.18013563862754375</v>
      </c>
      <c r="AV175" s="21">
        <f>EXP(-LN(2)/25)*AV174+(1-EXP(-LN(2)/25))/(LN(2)/25)*Calculateur!AQ175*Calculateur!AS175*VLOOKUP('Données projet'!$B$10,Paramètres!$A$1:$I$89,3,0)*0.475*44/12</f>
        <v>0.36465681669922984</v>
      </c>
      <c r="AW175" s="21">
        <f>EXP(-LN(2)/2)*AW174+(1-EXP(-LN(2)/2))/(LN(2)/2)*AQ175*AT175*VLOOKUP('Données projet'!$B$10,Paramètres!$A$1:$I$89,3,0)*0.475*44/12</f>
        <v>1.1013979692687741E-20</v>
      </c>
      <c r="AX175" s="21">
        <f t="shared" si="166"/>
        <v>0.54479245532677356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36.10000000000008</v>
      </c>
      <c r="BE175" s="13">
        <f>BD175*VLOOKUP('Données projet'!$B$11,Paramètres!$A$1:$I$89,3,0)*VLOOKUP('Données projet'!$B$11,Paramètres!$A$1:$I$89,5,0)</f>
        <v>31.536960000000075</v>
      </c>
      <c r="BF175" s="13">
        <f t="shared" si="167"/>
        <v>9.725440120377133</v>
      </c>
      <c r="BG175" s="20">
        <f t="shared" si="168"/>
        <v>71.865346876323642</v>
      </c>
      <c r="BH175" s="59">
        <f t="shared" si="116"/>
        <v>365.19868020965697</v>
      </c>
      <c r="BI175" s="59">
        <f ca="1">AVERAGE(OFFSET($BH$3,0,0,'Données projet'!$E$11+1,1))-AVERAGE(OFFSET($H$3,0,0,'Données projet'!$E$11+1,1))</f>
        <v>249.21292089724221</v>
      </c>
      <c r="BJ175" s="59">
        <f t="shared" si="146"/>
        <v>640.80644476065254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6.7746035035348804</v>
      </c>
      <c r="BQ175" s="21">
        <f>EXP(-LN(2)/25)*BQ174+(1-EXP(-LN(2)/25))/(LN(2)/25)*Calculateur!BL175*Calculateur!BN175*VLOOKUP('Données projet'!$B$11,Paramètres!$A$1:$I$89,3,0)*0.475*44/12</f>
        <v>2.0905285248749617</v>
      </c>
      <c r="BR175" s="21">
        <f>EXP(-LN(2)/2)*BR174+(1-EXP(-LN(2)/2))/(LN(2)/2)*BL175*BO175*VLOOKUP('Données projet'!$B$11,Paramètres!$A$1:$I$89,3,0)*0.475*44/12</f>
        <v>3.4956855692030339E-20</v>
      </c>
      <c r="BS175" s="22">
        <f t="shared" si="169"/>
        <v>8.8651320284098425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234.00000000000045</v>
      </c>
      <c r="BZ175" s="13">
        <f>BY175*VLOOKUP('Données projet'!$B$12,Paramètres!$A$1:$I$89,3,0)*VLOOKUP('Données projet'!$B$12,Paramètres!$A$1:$I$89,5,0)</f>
        <v>189.82080000000036</v>
      </c>
      <c r="CA175" s="13">
        <f t="shared" si="170"/>
        <v>47.500332100049881</v>
      </c>
      <c r="CB175" s="20">
        <f t="shared" si="171"/>
        <v>413.33430507425419</v>
      </c>
      <c r="CC175" s="59">
        <f t="shared" si="119"/>
        <v>706.66763840758745</v>
      </c>
      <c r="CD175" s="59">
        <f ca="1">AVERAGE(OFFSET($CC$3,0,0,'Données projet'!$E$12+1,1))-AVERAGE(OFFSET($H$3,0,0,'Données projet'!$E$12+1,1))</f>
        <v>192.4785660463869</v>
      </c>
      <c r="CE175" s="59">
        <f t="shared" si="148"/>
        <v>165.11095806515362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4.864532463420139E-2</v>
      </c>
      <c r="CL175" s="21">
        <f>EXP(-LN(2)/25)*CL174+(1-EXP(-LN(2)/25))/(LN(2)/25)*Calculateur!CG175*Calculateur!CI175*VLOOKUP('Données projet'!$B$12,Paramètres!$A$1:$I$89,3,0)*0.475*44/12</f>
        <v>9.2087612894021884E-2</v>
      </c>
      <c r="CM175" s="21">
        <f>EXP(-LN(2)/2)*CM174+(1-EXP(-LN(2)/2))/(LN(2)/2)*CG175*CJ175*VLOOKUP('Données projet'!$B$12,Paramètres!$A$1:$I$89,3,0)*0.475*44/12</f>
        <v>3.1012503654432623E-21</v>
      </c>
      <c r="CN175" s="22">
        <f t="shared" si="172"/>
        <v>0.14073293752822327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275.00000000000057</v>
      </c>
      <c r="CU175" s="17">
        <f>CT175*VLOOKUP('Données projet'!$B$13,Paramètres!$A$1:$I$89,3,0)*VLOOKUP('Données projet'!$B$13,Paramètres!$A$1:$I$89,5,0)</f>
        <v>231.66000000000051</v>
      </c>
      <c r="CV175" s="13">
        <f t="shared" si="173"/>
        <v>56.641461975682923</v>
      </c>
      <c r="CW175" s="20">
        <f t="shared" si="174"/>
        <v>502.12504627431525</v>
      </c>
      <c r="CX175" s="59">
        <f t="shared" si="122"/>
        <v>795.45837960764857</v>
      </c>
      <c r="CY175" s="59">
        <f ca="1">AVERAGE(OFFSET($CX$3,0,0,'Données projet'!$E$13+1,1))-AVERAGE(OFFSET($H$3,0,0,'Données projet'!$E$13+1,1))</f>
        <v>247.67539667223065</v>
      </c>
      <c r="CZ175" s="59">
        <f t="shared" si="150"/>
        <v>174.54442616983778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7.6977217003571421E-2</v>
      </c>
      <c r="DG175" s="21">
        <f>EXP(-LN(2)/25)*DG174+(1-EXP(-LN(2)/25))/(LN(2)/25)*Calculateur!DB175*Calculateur!DD175*VLOOKUP('Données projet'!$B$13,Paramètres!$A$1:$I$89,3,0)*0.475*44/12</f>
        <v>0.12824360031976001</v>
      </c>
      <c r="DH175" s="21">
        <f>EXP(-LN(2)/2)*DH174+(1-EXP(-LN(2)/2))/(LN(2)/2)*DB175*DE175*VLOOKUP('Données projet'!$B$13,Paramètres!$A$1:$I$89,3,0)*0.475*44/12</f>
        <v>4.8762904541932727E-21</v>
      </c>
      <c r="DI175" s="22">
        <f t="shared" si="175"/>
        <v>0.20522081732333142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-5.6843418860808015E-13</v>
      </c>
      <c r="DP175" s="17">
        <f>DO175*VLOOKUP('Données projet'!$B$14,Paramètres!$A$1:$I$89,3,0)*VLOOKUP('Données projet'!$B$14,Paramètres!$A$1:$I$89,5,0)</f>
        <v>-5.6752469390630732E-13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245.06609107649069</v>
      </c>
      <c r="DU175" s="59">
        <f t="shared" si="152"/>
        <v>156.24531945456499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-2.5579538487363607E-13</v>
      </c>
      <c r="EK175" s="17">
        <f>EJ175*VLOOKUP('Données projet'!$B$15,Paramètres!$A$1:$I$89,3,0)*VLOOKUP('Données projet'!$B$15,Paramètres!$A$1:$I$89,5,0)</f>
        <v>-2.7932856028201057E-13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173.63857221119594</v>
      </c>
      <c r="EP175" s="59">
        <f t="shared" si="154"/>
        <v>52.373745617370105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199.58634493109349</v>
      </c>
      <c r="T176" s="59">
        <f t="shared" si="142"/>
        <v>288.66487031729008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0.29430733001372</v>
      </c>
      <c r="AA176" s="21">
        <f>EXP(-LN(2)/25)*AA175+(1-EXP(-LN(2)/25))/(LN(2)/25)*Calculateur!V176*Calculateur!X176*VLOOKUP('Données projet'!$B$9,Paramètres!$A$1:$I$89,3,0)*0.475*44/12</f>
        <v>0.32498349265255749</v>
      </c>
      <c r="AB176" s="21">
        <f>EXP(-LN(2)/2)*AB175+(1-EXP(-LN(2)/2))/(LN(2)/2)*V176*Y176*VLOOKUP('Données projet'!$B$9,Paramètres!$A$1:$I$89,3,0)*0.475*44/12</f>
        <v>8.8341115072123937E-22</v>
      </c>
      <c r="AC176" s="22">
        <f t="shared" si="163"/>
        <v>0.61929082266627744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606.99999999999989</v>
      </c>
      <c r="AJ176" s="13">
        <f>AI176*VLOOKUP('Données projet'!$B$10,Paramètres!$A$1:$I$89,3,0)*VLOOKUP('Données projet'!$B$10,Paramètres!$A$1:$I$89,5,0)</f>
        <v>362.98599999999999</v>
      </c>
      <c r="AK176" s="13">
        <f t="shared" si="164"/>
        <v>84.230767602863935</v>
      </c>
      <c r="AL176" s="20">
        <f t="shared" si="165"/>
        <v>778.90253690832139</v>
      </c>
      <c r="AM176" s="59">
        <f t="shared" si="113"/>
        <v>1072.2358702416548</v>
      </c>
      <c r="AN176" s="59">
        <f ca="1">AVERAGE(OFFSET($AM$3,0,0,'Données projet'!$E$10+1,1))-AVERAGE(OFFSET($H$3,0,0,'Données projet'!$E$10+1,1))</f>
        <v>395.40396173178527</v>
      </c>
      <c r="AO176" s="59">
        <f t="shared" si="144"/>
        <v>304.68075128568756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0.17660328862594823</v>
      </c>
      <c r="AV176" s="21">
        <f>EXP(-LN(2)/25)*AV175+(1-EXP(-LN(2)/25))/(LN(2)/25)*Calculateur!AQ176*Calculateur!AS176*VLOOKUP('Données projet'!$B$10,Paramètres!$A$1:$I$89,3,0)*0.475*44/12</f>
        <v>0.35468525687012081</v>
      </c>
      <c r="AW176" s="21">
        <f>EXP(-LN(2)/2)*AW175+(1-EXP(-LN(2)/2))/(LN(2)/2)*AQ176*AT176*VLOOKUP('Données projet'!$B$10,Paramètres!$A$1:$I$89,3,0)*0.475*44/12</f>
        <v>7.7880597285504285E-21</v>
      </c>
      <c r="AX176" s="21">
        <f t="shared" si="166"/>
        <v>0.53128854549606908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36.10000000000008</v>
      </c>
      <c r="BE176" s="13">
        <f>BD176*VLOOKUP('Données projet'!$B$11,Paramètres!$A$1:$I$89,3,0)*VLOOKUP('Données projet'!$B$11,Paramètres!$A$1:$I$89,5,0)</f>
        <v>31.536960000000075</v>
      </c>
      <c r="BF176" s="13">
        <f t="shared" si="167"/>
        <v>9.725440120377133</v>
      </c>
      <c r="BG176" s="20">
        <f t="shared" si="168"/>
        <v>71.865346876323642</v>
      </c>
      <c r="BH176" s="59">
        <f t="shared" si="116"/>
        <v>365.19868020965697</v>
      </c>
      <c r="BI176" s="59">
        <f ca="1">AVERAGE(OFFSET($BH$3,0,0,'Données projet'!$E$11+1,1))-AVERAGE(OFFSET($H$3,0,0,'Données projet'!$E$11+1,1))</f>
        <v>249.21292089724221</v>
      </c>
      <c r="BJ176" s="59">
        <f t="shared" si="146"/>
        <v>640.80644476065254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6.6417576609306872</v>
      </c>
      <c r="BQ176" s="21">
        <f>EXP(-LN(2)/25)*BQ175+(1-EXP(-LN(2)/25))/(LN(2)/25)*Calculateur!BL176*Calculateur!BN176*VLOOKUP('Données projet'!$B$11,Paramètres!$A$1:$I$89,3,0)*0.475*44/12</f>
        <v>2.0333629124261385</v>
      </c>
      <c r="BR176" s="21">
        <f>EXP(-LN(2)/2)*BR175+(1-EXP(-LN(2)/2))/(LN(2)/2)*BL176*BO176*VLOOKUP('Données projet'!$B$11,Paramètres!$A$1:$I$89,3,0)*0.475*44/12</f>
        <v>2.4718229708794216E-20</v>
      </c>
      <c r="BS176" s="22">
        <f t="shared" si="169"/>
        <v>8.6751205733568248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234.00000000000045</v>
      </c>
      <c r="BZ176" s="13">
        <f>BY176*VLOOKUP('Données projet'!$B$12,Paramètres!$A$1:$I$89,3,0)*VLOOKUP('Données projet'!$B$12,Paramètres!$A$1:$I$89,5,0)</f>
        <v>189.82080000000036</v>
      </c>
      <c r="CA176" s="13">
        <f t="shared" si="170"/>
        <v>47.500332100049881</v>
      </c>
      <c r="CB176" s="20">
        <f t="shared" si="171"/>
        <v>413.33430507425419</v>
      </c>
      <c r="CC176" s="59">
        <f t="shared" si="119"/>
        <v>706.66763840758745</v>
      </c>
      <c r="CD176" s="59">
        <f ca="1">AVERAGE(OFFSET($CC$3,0,0,'Données projet'!$E$12+1,1))-AVERAGE(OFFSET($H$3,0,0,'Données projet'!$E$12+1,1))</f>
        <v>192.4785660463869</v>
      </c>
      <c r="CE176" s="59">
        <f t="shared" si="148"/>
        <v>165.11095806515362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4.7691419488842986E-2</v>
      </c>
      <c r="CL176" s="21">
        <f>EXP(-LN(2)/25)*CL175+(1-EXP(-LN(2)/25))/(LN(2)/25)*Calculateur!CG176*Calculateur!CI176*VLOOKUP('Données projet'!$B$12,Paramètres!$A$1:$I$89,3,0)*0.475*44/12</f>
        <v>8.9569472276757767E-2</v>
      </c>
      <c r="CM176" s="21">
        <f>EXP(-LN(2)/2)*CM175+(1-EXP(-LN(2)/2))/(LN(2)/2)*CG176*CJ176*VLOOKUP('Données projet'!$B$12,Paramètres!$A$1:$I$89,3,0)*0.475*44/12</f>
        <v>2.1929151635621894E-21</v>
      </c>
      <c r="CN176" s="22">
        <f t="shared" si="172"/>
        <v>0.13726089176560075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275.00000000000057</v>
      </c>
      <c r="CU176" s="17">
        <f>CT176*VLOOKUP('Données projet'!$B$13,Paramètres!$A$1:$I$89,3,0)*VLOOKUP('Données projet'!$B$13,Paramètres!$A$1:$I$89,5,0)</f>
        <v>231.66000000000051</v>
      </c>
      <c r="CV176" s="13">
        <f t="shared" si="173"/>
        <v>56.641461975682923</v>
      </c>
      <c r="CW176" s="20">
        <f t="shared" si="174"/>
        <v>502.12504627431525</v>
      </c>
      <c r="CX176" s="59">
        <f t="shared" si="122"/>
        <v>795.45837960764857</v>
      </c>
      <c r="CY176" s="59">
        <f ca="1">AVERAGE(OFFSET($CX$3,0,0,'Données projet'!$E$13+1,1))-AVERAGE(OFFSET($H$3,0,0,'Données projet'!$E$13+1,1))</f>
        <v>247.67539667223065</v>
      </c>
      <c r="CZ176" s="59">
        <f t="shared" si="150"/>
        <v>174.54442616983778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7.5467740729597679E-2</v>
      </c>
      <c r="DG176" s="21">
        <f>EXP(-LN(2)/25)*DG175+(1-EXP(-LN(2)/25))/(LN(2)/25)*Calculateur!DB176*Calculateur!DD176*VLOOKUP('Données projet'!$B$13,Paramètres!$A$1:$I$89,3,0)*0.475*44/12</f>
        <v>0.12473677232497833</v>
      </c>
      <c r="DH176" s="21">
        <f>EXP(-LN(2)/2)*DH175+(1-EXP(-LN(2)/2))/(LN(2)/2)*DB176*DE176*VLOOKUP('Données projet'!$B$13,Paramètres!$A$1:$I$89,3,0)*0.475*44/12</f>
        <v>3.4480580471952929E-21</v>
      </c>
      <c r="DI176" s="22">
        <f t="shared" si="175"/>
        <v>0.20020451305457601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-5.6843418860808015E-13</v>
      </c>
      <c r="DP176" s="17">
        <f>DO176*VLOOKUP('Données projet'!$B$14,Paramètres!$A$1:$I$89,3,0)*VLOOKUP('Données projet'!$B$14,Paramètres!$A$1:$I$89,5,0)</f>
        <v>-5.6752469390630732E-13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245.06609107649069</v>
      </c>
      <c r="DU176" s="59">
        <f t="shared" si="152"/>
        <v>156.24531945456499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-2.5579538487363607E-13</v>
      </c>
      <c r="EK176" s="17">
        <f>EJ176*VLOOKUP('Données projet'!$B$15,Paramètres!$A$1:$I$89,3,0)*VLOOKUP('Données projet'!$B$15,Paramètres!$A$1:$I$89,5,0)</f>
        <v>-2.7932856028201057E-13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173.63857221119594</v>
      </c>
      <c r="EP176" s="59">
        <f t="shared" si="154"/>
        <v>52.373745617370105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199.58634493109349</v>
      </c>
      <c r="T177" s="59">
        <f t="shared" si="142"/>
        <v>288.66487031729008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0.28853614278189715</v>
      </c>
      <c r="AA177" s="21">
        <f>EXP(-LN(2)/25)*AA176+(1-EXP(-LN(2)/25))/(LN(2)/25)*Calculateur!V177*Calculateur!X177*VLOOKUP('Données projet'!$B$9,Paramètres!$A$1:$I$89,3,0)*0.475*44/12</f>
        <v>0.31609680195583417</v>
      </c>
      <c r="AB177" s="21">
        <f>EXP(-LN(2)/2)*AB176+(1-EXP(-LN(2)/2))/(LN(2)/2)*V177*Y177*VLOOKUP('Données projet'!$B$9,Paramètres!$A$1:$I$89,3,0)*0.475*44/12</f>
        <v>6.2466601525079957E-22</v>
      </c>
      <c r="AC177" s="22">
        <f t="shared" si="163"/>
        <v>0.60463294473773133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606.99999999999989</v>
      </c>
      <c r="AJ177" s="13">
        <f>AI177*VLOOKUP('Données projet'!$B$10,Paramètres!$A$1:$I$89,3,0)*VLOOKUP('Données projet'!$B$10,Paramètres!$A$1:$I$89,5,0)</f>
        <v>362.98599999999999</v>
      </c>
      <c r="AK177" s="13">
        <f t="shared" si="164"/>
        <v>84.230767602863935</v>
      </c>
      <c r="AL177" s="20">
        <f t="shared" si="165"/>
        <v>778.90253690832139</v>
      </c>
      <c r="AM177" s="59">
        <f t="shared" si="113"/>
        <v>1072.2358702416548</v>
      </c>
      <c r="AN177" s="59">
        <f ca="1">AVERAGE(OFFSET($AM$3,0,0,'Données projet'!$E$10+1,1))-AVERAGE(OFFSET($H$3,0,0,'Données projet'!$E$10+1,1))</f>
        <v>395.40396173178527</v>
      </c>
      <c r="AO177" s="59">
        <f t="shared" si="144"/>
        <v>304.68075128568756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0.17314020585336323</v>
      </c>
      <c r="AV177" s="21">
        <f>EXP(-LN(2)/25)*AV176+(1-EXP(-LN(2)/25))/(LN(2)/25)*Calculateur!AQ177*Calculateur!AS177*VLOOKUP('Données projet'!$B$10,Paramètres!$A$1:$I$89,3,0)*0.475*44/12</f>
        <v>0.34498636986892034</v>
      </c>
      <c r="AW177" s="21">
        <f>EXP(-LN(2)/2)*AW176+(1-EXP(-LN(2)/2))/(LN(2)/2)*AQ177*AT177*VLOOKUP('Données projet'!$B$10,Paramètres!$A$1:$I$89,3,0)*0.475*44/12</f>
        <v>5.5069898463438706E-21</v>
      </c>
      <c r="AX177" s="21">
        <f t="shared" si="166"/>
        <v>0.5181265757222836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36.10000000000008</v>
      </c>
      <c r="BE177" s="13">
        <f>BD177*VLOOKUP('Données projet'!$B$11,Paramètres!$A$1:$I$89,3,0)*VLOOKUP('Données projet'!$B$11,Paramètres!$A$1:$I$89,5,0)</f>
        <v>31.536960000000075</v>
      </c>
      <c r="BF177" s="13">
        <f t="shared" si="167"/>
        <v>9.725440120377133</v>
      </c>
      <c r="BG177" s="20">
        <f t="shared" si="168"/>
        <v>71.865346876323642</v>
      </c>
      <c r="BH177" s="59">
        <f t="shared" si="116"/>
        <v>365.19868020965697</v>
      </c>
      <c r="BI177" s="59">
        <f ca="1">AVERAGE(OFFSET($BH$3,0,0,'Données projet'!$E$11+1,1))-AVERAGE(OFFSET($H$3,0,0,'Données projet'!$E$11+1,1))</f>
        <v>249.21292089724221</v>
      </c>
      <c r="BJ177" s="59">
        <f t="shared" si="146"/>
        <v>640.80644476065254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6.5115168442719993</v>
      </c>
      <c r="BQ177" s="21">
        <f>EXP(-LN(2)/25)*BQ176+(1-EXP(-LN(2)/25))/(LN(2)/25)*Calculateur!BL177*Calculateur!BN177*VLOOKUP('Données projet'!$B$11,Paramètres!$A$1:$I$89,3,0)*0.475*44/12</f>
        <v>1.9777604966559374</v>
      </c>
      <c r="BR177" s="21">
        <f>EXP(-LN(2)/2)*BR176+(1-EXP(-LN(2)/2))/(LN(2)/2)*BL177*BO177*VLOOKUP('Données projet'!$B$11,Paramètres!$A$1:$I$89,3,0)*0.475*44/12</f>
        <v>1.747842784601517E-20</v>
      </c>
      <c r="BS177" s="22">
        <f t="shared" si="169"/>
        <v>8.4892773409279361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234.00000000000045</v>
      </c>
      <c r="BZ177" s="13">
        <f>BY177*VLOOKUP('Données projet'!$B$12,Paramètres!$A$1:$I$89,3,0)*VLOOKUP('Données projet'!$B$12,Paramètres!$A$1:$I$89,5,0)</f>
        <v>189.82080000000036</v>
      </c>
      <c r="CA177" s="13">
        <f t="shared" si="170"/>
        <v>47.500332100049881</v>
      </c>
      <c r="CB177" s="20">
        <f t="shared" si="171"/>
        <v>413.33430507425419</v>
      </c>
      <c r="CC177" s="59">
        <f t="shared" si="119"/>
        <v>706.66763840758745</v>
      </c>
      <c r="CD177" s="59">
        <f ca="1">AVERAGE(OFFSET($CC$3,0,0,'Données projet'!$E$12+1,1))-AVERAGE(OFFSET($H$3,0,0,'Données projet'!$E$12+1,1))</f>
        <v>192.4785660463869</v>
      </c>
      <c r="CE177" s="59">
        <f t="shared" si="148"/>
        <v>165.11095806515362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4.6756219841560372E-2</v>
      </c>
      <c r="CL177" s="21">
        <f>EXP(-LN(2)/25)*CL176+(1-EXP(-LN(2)/25))/(LN(2)/25)*Calculateur!CG177*Calculateur!CI177*VLOOKUP('Données projet'!$B$12,Paramètres!$A$1:$I$89,3,0)*0.475*44/12</f>
        <v>8.7120190347095991E-2</v>
      </c>
      <c r="CM177" s="21">
        <f>EXP(-LN(2)/2)*CM176+(1-EXP(-LN(2)/2))/(LN(2)/2)*CG177*CJ177*VLOOKUP('Données projet'!$B$12,Paramètres!$A$1:$I$89,3,0)*0.475*44/12</f>
        <v>1.5506251827216312E-21</v>
      </c>
      <c r="CN177" s="22">
        <f t="shared" si="172"/>
        <v>0.13387641018865637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275.00000000000057</v>
      </c>
      <c r="CU177" s="17">
        <f>CT177*VLOOKUP('Données projet'!$B$13,Paramètres!$A$1:$I$89,3,0)*VLOOKUP('Données projet'!$B$13,Paramètres!$A$1:$I$89,5,0)</f>
        <v>231.66000000000051</v>
      </c>
      <c r="CV177" s="13">
        <f t="shared" si="173"/>
        <v>56.641461975682923</v>
      </c>
      <c r="CW177" s="20">
        <f t="shared" si="174"/>
        <v>502.12504627431525</v>
      </c>
      <c r="CX177" s="59">
        <f t="shared" si="122"/>
        <v>795.45837960764857</v>
      </c>
      <c r="CY177" s="59">
        <f ca="1">AVERAGE(OFFSET($CX$3,0,0,'Données projet'!$E$13+1,1))-AVERAGE(OFFSET($H$3,0,0,'Données projet'!$E$13+1,1))</f>
        <v>247.67539667223065</v>
      </c>
      <c r="CZ177" s="59">
        <f t="shared" si="150"/>
        <v>174.54442616983778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7.398786436466695E-2</v>
      </c>
      <c r="DG177" s="21">
        <f>EXP(-LN(2)/25)*DG176+(1-EXP(-LN(2)/25))/(LN(2)/25)*Calculateur!DB177*Calculateur!DD177*VLOOKUP('Données projet'!$B$13,Paramètres!$A$1:$I$89,3,0)*0.475*44/12</f>
        <v>0.12132583872613004</v>
      </c>
      <c r="DH177" s="21">
        <f>EXP(-LN(2)/2)*DH176+(1-EXP(-LN(2)/2))/(LN(2)/2)*DB177*DE177*VLOOKUP('Données projet'!$B$13,Paramètres!$A$1:$I$89,3,0)*0.475*44/12</f>
        <v>2.4381452270966364E-21</v>
      </c>
      <c r="DI177" s="22">
        <f t="shared" si="175"/>
        <v>0.19531370309079699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-5.6843418860808015E-13</v>
      </c>
      <c r="DP177" s="17">
        <f>DO177*VLOOKUP('Données projet'!$B$14,Paramètres!$A$1:$I$89,3,0)*VLOOKUP('Données projet'!$B$14,Paramètres!$A$1:$I$89,5,0)</f>
        <v>-5.6752469390630732E-13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245.06609107649069</v>
      </c>
      <c r="DU177" s="59">
        <f t="shared" si="152"/>
        <v>156.24531945456499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-2.5579538487363607E-13</v>
      </c>
      <c r="EK177" s="17">
        <f>EJ177*VLOOKUP('Données projet'!$B$15,Paramètres!$A$1:$I$89,3,0)*VLOOKUP('Données projet'!$B$15,Paramètres!$A$1:$I$89,5,0)</f>
        <v>-2.7932856028201057E-13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173.63857221119594</v>
      </c>
      <c r="EP177" s="59">
        <f t="shared" si="154"/>
        <v>52.373745617370105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199.58634493109349</v>
      </c>
      <c r="T178" s="59">
        <f t="shared" si="142"/>
        <v>288.66487031729008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0.28287812501161369</v>
      </c>
      <c r="AA178" s="21">
        <f>EXP(-LN(2)/25)*AA177+(1-EXP(-LN(2)/25))/(LN(2)/25)*Calculateur!V178*Calculateur!X178*VLOOKUP('Données projet'!$B$9,Paramètres!$A$1:$I$89,3,0)*0.475*44/12</f>
        <v>0.30745311828354355</v>
      </c>
      <c r="AB178" s="21">
        <f>EXP(-LN(2)/2)*AB177+(1-EXP(-LN(2)/2))/(LN(2)/2)*V178*Y178*VLOOKUP('Données projet'!$B$9,Paramètres!$A$1:$I$89,3,0)*0.475*44/12</f>
        <v>4.4170557536061969E-22</v>
      </c>
      <c r="AC178" s="22">
        <f t="shared" si="163"/>
        <v>0.59033124329515729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606.99999999999989</v>
      </c>
      <c r="AJ178" s="13">
        <f>AI178*VLOOKUP('Données projet'!$B$10,Paramètres!$A$1:$I$89,3,0)*VLOOKUP('Données projet'!$B$10,Paramètres!$A$1:$I$89,5,0)</f>
        <v>362.98599999999999</v>
      </c>
      <c r="AK178" s="13">
        <f t="shared" si="164"/>
        <v>84.230767602863935</v>
      </c>
      <c r="AL178" s="20">
        <f t="shared" si="165"/>
        <v>778.90253690832139</v>
      </c>
      <c r="AM178" s="59">
        <f t="shared" si="113"/>
        <v>1072.2358702416548</v>
      </c>
      <c r="AN178" s="59">
        <f ca="1">AVERAGE(OFFSET($AM$3,0,0,'Données projet'!$E$10+1,1))-AVERAGE(OFFSET($H$3,0,0,'Données projet'!$E$10+1,1))</f>
        <v>395.40396173178527</v>
      </c>
      <c r="AO178" s="59">
        <f t="shared" si="144"/>
        <v>304.68075128568756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0.16974503202167671</v>
      </c>
      <c r="AV178" s="21">
        <f>EXP(-LN(2)/25)*AV177+(1-EXP(-LN(2)/25))/(LN(2)/25)*Calculateur!AQ178*Calculateur!AS178*VLOOKUP('Données projet'!$B$10,Paramètres!$A$1:$I$89,3,0)*0.475*44/12</f>
        <v>0.33555269944281002</v>
      </c>
      <c r="AW178" s="21">
        <f>EXP(-LN(2)/2)*AW177+(1-EXP(-LN(2)/2))/(LN(2)/2)*AQ178*AT178*VLOOKUP('Données projet'!$B$10,Paramètres!$A$1:$I$89,3,0)*0.475*44/12</f>
        <v>3.8940298642752142E-21</v>
      </c>
      <c r="AX178" s="21">
        <f t="shared" si="166"/>
        <v>0.50529773146448675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36.10000000000008</v>
      </c>
      <c r="BE178" s="13">
        <f>BD178*VLOOKUP('Données projet'!$B$11,Paramètres!$A$1:$I$89,3,0)*VLOOKUP('Données projet'!$B$11,Paramètres!$A$1:$I$89,5,0)</f>
        <v>31.536960000000075</v>
      </c>
      <c r="BF178" s="13">
        <f t="shared" si="167"/>
        <v>9.725440120377133</v>
      </c>
      <c r="BG178" s="20">
        <f t="shared" si="168"/>
        <v>71.865346876323642</v>
      </c>
      <c r="BH178" s="59">
        <f t="shared" si="116"/>
        <v>365.19868020965697</v>
      </c>
      <c r="BI178" s="59">
        <f ca="1">AVERAGE(OFFSET($BH$3,0,0,'Données projet'!$E$11+1,1))-AVERAGE(OFFSET($H$3,0,0,'Données projet'!$E$11+1,1))</f>
        <v>249.21292089724221</v>
      </c>
      <c r="BJ178" s="59">
        <f t="shared" si="146"/>
        <v>640.80644476065254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6.3838299705889341</v>
      </c>
      <c r="BQ178" s="21">
        <f>EXP(-LN(2)/25)*BQ177+(1-EXP(-LN(2)/25))/(LN(2)/25)*Calculateur!BL178*Calculateur!BN178*VLOOKUP('Données projet'!$B$11,Paramètres!$A$1:$I$89,3,0)*0.475*44/12</f>
        <v>1.9236785318689766</v>
      </c>
      <c r="BR178" s="21">
        <f>EXP(-LN(2)/2)*BR177+(1-EXP(-LN(2)/2))/(LN(2)/2)*BL178*BO178*VLOOKUP('Données projet'!$B$11,Paramètres!$A$1:$I$89,3,0)*0.475*44/12</f>
        <v>1.2359114854397108E-20</v>
      </c>
      <c r="BS178" s="22">
        <f t="shared" si="169"/>
        <v>8.3075085024579103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234.00000000000045</v>
      </c>
      <c r="BZ178" s="13">
        <f>BY178*VLOOKUP('Données projet'!$B$12,Paramètres!$A$1:$I$89,3,0)*VLOOKUP('Données projet'!$B$12,Paramètres!$A$1:$I$89,5,0)</f>
        <v>189.82080000000036</v>
      </c>
      <c r="CA178" s="13">
        <f t="shared" si="170"/>
        <v>47.500332100049881</v>
      </c>
      <c r="CB178" s="20">
        <f t="shared" si="171"/>
        <v>413.33430507425419</v>
      </c>
      <c r="CC178" s="59">
        <f t="shared" si="119"/>
        <v>706.66763840758745</v>
      </c>
      <c r="CD178" s="59">
        <f ca="1">AVERAGE(OFFSET($CC$3,0,0,'Données projet'!$E$12+1,1))-AVERAGE(OFFSET($H$3,0,0,'Données projet'!$E$12+1,1))</f>
        <v>192.4785660463869</v>
      </c>
      <c r="CE178" s="59">
        <f t="shared" si="148"/>
        <v>165.11095806515362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4.5839358888945511E-2</v>
      </c>
      <c r="CL178" s="21">
        <f>EXP(-LN(2)/25)*CL177+(1-EXP(-LN(2)/25))/(LN(2)/25)*Calculateur!CG178*Calculateur!CI178*VLOOKUP('Données projet'!$B$12,Paramètres!$A$1:$I$89,3,0)*0.475*44/12</f>
        <v>8.4737884160602961E-2</v>
      </c>
      <c r="CM178" s="21">
        <f>EXP(-LN(2)/2)*CM177+(1-EXP(-LN(2)/2))/(LN(2)/2)*CG178*CJ178*VLOOKUP('Données projet'!$B$12,Paramètres!$A$1:$I$89,3,0)*0.475*44/12</f>
        <v>1.0964575817810947E-21</v>
      </c>
      <c r="CN178" s="22">
        <f t="shared" si="172"/>
        <v>0.13057724304954849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275.00000000000057</v>
      </c>
      <c r="CU178" s="17">
        <f>CT178*VLOOKUP('Données projet'!$B$13,Paramètres!$A$1:$I$89,3,0)*VLOOKUP('Données projet'!$B$13,Paramètres!$A$1:$I$89,5,0)</f>
        <v>231.66000000000051</v>
      </c>
      <c r="CV178" s="13">
        <f t="shared" si="173"/>
        <v>56.641461975682923</v>
      </c>
      <c r="CW178" s="20">
        <f t="shared" si="174"/>
        <v>502.12504627431525</v>
      </c>
      <c r="CX178" s="59">
        <f t="shared" si="122"/>
        <v>795.45837960764857</v>
      </c>
      <c r="CY178" s="59">
        <f ca="1">AVERAGE(OFFSET($CX$3,0,0,'Données projet'!$E$13+1,1))-AVERAGE(OFFSET($H$3,0,0,'Données projet'!$E$13+1,1))</f>
        <v>247.67539667223065</v>
      </c>
      <c r="CZ178" s="59">
        <f t="shared" si="150"/>
        <v>174.54442616983778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7.2537007472617057E-2</v>
      </c>
      <c r="DG178" s="21">
        <f>EXP(-LN(2)/25)*DG177+(1-EXP(-LN(2)/25))/(LN(2)/25)*Calculateur!DB178*Calculateur!DD178*VLOOKUP('Données projet'!$B$13,Paramètres!$A$1:$I$89,3,0)*0.475*44/12</f>
        <v>0.11800817728591545</v>
      </c>
      <c r="DH178" s="21">
        <f>EXP(-LN(2)/2)*DH177+(1-EXP(-LN(2)/2))/(LN(2)/2)*DB178*DE178*VLOOKUP('Données projet'!$B$13,Paramètres!$A$1:$I$89,3,0)*0.475*44/12</f>
        <v>1.7240290235976464E-21</v>
      </c>
      <c r="DI178" s="22">
        <f t="shared" si="175"/>
        <v>0.19054518475853249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-5.6843418860808015E-13</v>
      </c>
      <c r="DP178" s="17">
        <f>DO178*VLOOKUP('Données projet'!$B$14,Paramètres!$A$1:$I$89,3,0)*VLOOKUP('Données projet'!$B$14,Paramètres!$A$1:$I$89,5,0)</f>
        <v>-5.6752469390630732E-13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245.06609107649069</v>
      </c>
      <c r="DU178" s="59">
        <f t="shared" si="152"/>
        <v>156.24531945456499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-2.5579538487363607E-13</v>
      </c>
      <c r="EK178" s="17">
        <f>EJ178*VLOOKUP('Données projet'!$B$15,Paramètres!$A$1:$I$89,3,0)*VLOOKUP('Données projet'!$B$15,Paramètres!$A$1:$I$89,5,0)</f>
        <v>-2.7932856028201057E-13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173.63857221119594</v>
      </c>
      <c r="EP178" s="59">
        <f t="shared" si="154"/>
        <v>52.373745617370105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199.58634493109349</v>
      </c>
      <c r="T179" s="59">
        <f t="shared" si="142"/>
        <v>288.66487031729008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0.27733105751875542</v>
      </c>
      <c r="AA179" s="21">
        <f>EXP(-LN(2)/25)*AA178+(1-EXP(-LN(2)/25))/(LN(2)/25)*Calculateur!V179*Calculateur!X179*VLOOKUP('Données projet'!$B$9,Paramètres!$A$1:$I$89,3,0)*0.475*44/12</f>
        <v>0.29904579659582325</v>
      </c>
      <c r="AB179" s="21">
        <f>EXP(-LN(2)/2)*AB178+(1-EXP(-LN(2)/2))/(LN(2)/2)*V179*Y179*VLOOKUP('Données projet'!$B$9,Paramètres!$A$1:$I$89,3,0)*0.475*44/12</f>
        <v>3.1233300762539978E-22</v>
      </c>
      <c r="AC179" s="22">
        <f t="shared" si="163"/>
        <v>0.57637685411457862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606.99999999999989</v>
      </c>
      <c r="AJ179" s="13">
        <f>AI179*VLOOKUP('Données projet'!$B$10,Paramètres!$A$1:$I$89,3,0)*VLOOKUP('Données projet'!$B$10,Paramètres!$A$1:$I$89,5,0)</f>
        <v>362.98599999999999</v>
      </c>
      <c r="AK179" s="13">
        <f t="shared" si="164"/>
        <v>84.230767602863935</v>
      </c>
      <c r="AL179" s="20">
        <f t="shared" si="165"/>
        <v>778.90253690832139</v>
      </c>
      <c r="AM179" s="59">
        <f t="shared" si="113"/>
        <v>1072.2358702416548</v>
      </c>
      <c r="AN179" s="59">
        <f ca="1">AVERAGE(OFFSET($AM$3,0,0,'Données projet'!$E$10+1,1))-AVERAGE(OFFSET($H$3,0,0,'Données projet'!$E$10+1,1))</f>
        <v>395.40396173178527</v>
      </c>
      <c r="AO179" s="59">
        <f t="shared" si="144"/>
        <v>304.68075128568756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0.16641643547797799</v>
      </c>
      <c r="AV179" s="21">
        <f>EXP(-LN(2)/25)*AV178+(1-EXP(-LN(2)/25))/(LN(2)/25)*Calculateur!AQ179*Calculateur!AS179*VLOOKUP('Données projet'!$B$10,Paramètres!$A$1:$I$89,3,0)*0.475*44/12</f>
        <v>0.32637699323059682</v>
      </c>
      <c r="AW179" s="21">
        <f>EXP(-LN(2)/2)*AW178+(1-EXP(-LN(2)/2))/(LN(2)/2)*AQ179*AT179*VLOOKUP('Données projet'!$B$10,Paramètres!$A$1:$I$89,3,0)*0.475*44/12</f>
        <v>2.7534949231719353E-21</v>
      </c>
      <c r="AX179" s="21">
        <f t="shared" si="166"/>
        <v>0.49279342870857479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36.10000000000008</v>
      </c>
      <c r="BE179" s="13">
        <f>BD179*VLOOKUP('Données projet'!$B$11,Paramètres!$A$1:$I$89,3,0)*VLOOKUP('Données projet'!$B$11,Paramètres!$A$1:$I$89,5,0)</f>
        <v>31.536960000000075</v>
      </c>
      <c r="BF179" s="13">
        <f t="shared" si="167"/>
        <v>9.725440120377133</v>
      </c>
      <c r="BG179" s="20">
        <f t="shared" si="168"/>
        <v>71.865346876323642</v>
      </c>
      <c r="BH179" s="59">
        <f t="shared" si="116"/>
        <v>365.19868020965697</v>
      </c>
      <c r="BI179" s="59">
        <f ca="1">AVERAGE(OFFSET($BH$3,0,0,'Données projet'!$E$11+1,1))-AVERAGE(OFFSET($H$3,0,0,'Données projet'!$E$11+1,1))</f>
        <v>249.21292089724221</v>
      </c>
      <c r="BJ179" s="59">
        <f t="shared" si="146"/>
        <v>640.80644476065254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6.2586469586174909</v>
      </c>
      <c r="BQ179" s="21">
        <f>EXP(-LN(2)/25)*BQ178+(1-EXP(-LN(2)/25))/(LN(2)/25)*Calculateur!BL179*Calculateur!BN179*VLOOKUP('Données projet'!$B$11,Paramètres!$A$1:$I$89,3,0)*0.475*44/12</f>
        <v>1.8710754412531621</v>
      </c>
      <c r="BR179" s="21">
        <f>EXP(-LN(2)/2)*BR178+(1-EXP(-LN(2)/2))/(LN(2)/2)*BL179*BO179*VLOOKUP('Données projet'!$B$11,Paramètres!$A$1:$I$89,3,0)*0.475*44/12</f>
        <v>8.7392139230075848E-21</v>
      </c>
      <c r="BS179" s="22">
        <f t="shared" si="169"/>
        <v>8.1297223998706531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234.00000000000045</v>
      </c>
      <c r="BZ179" s="13">
        <f>BY179*VLOOKUP('Données projet'!$B$12,Paramètres!$A$1:$I$89,3,0)*VLOOKUP('Données projet'!$B$12,Paramètres!$A$1:$I$89,5,0)</f>
        <v>189.82080000000036</v>
      </c>
      <c r="CA179" s="13">
        <f t="shared" si="170"/>
        <v>47.500332100049881</v>
      </c>
      <c r="CB179" s="20">
        <f t="shared" si="171"/>
        <v>413.33430507425419</v>
      </c>
      <c r="CC179" s="59">
        <f t="shared" si="119"/>
        <v>706.66763840758745</v>
      </c>
      <c r="CD179" s="59">
        <f ca="1">AVERAGE(OFFSET($CC$3,0,0,'Données projet'!$E$12+1,1))-AVERAGE(OFFSET($H$3,0,0,'Données projet'!$E$12+1,1))</f>
        <v>192.4785660463869</v>
      </c>
      <c r="CE179" s="59">
        <f t="shared" si="148"/>
        <v>165.11095806515362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4.4940477020381467E-2</v>
      </c>
      <c r="CL179" s="21">
        <f>EXP(-LN(2)/25)*CL178+(1-EXP(-LN(2)/25))/(LN(2)/25)*Calculateur!CG179*Calculateur!CI179*VLOOKUP('Données projet'!$B$12,Paramètres!$A$1:$I$89,3,0)*0.475*44/12</f>
        <v>8.2420722262059612E-2</v>
      </c>
      <c r="CM179" s="21">
        <f>EXP(-LN(2)/2)*CM178+(1-EXP(-LN(2)/2))/(LN(2)/2)*CG179*CJ179*VLOOKUP('Données projet'!$B$12,Paramètres!$A$1:$I$89,3,0)*0.475*44/12</f>
        <v>7.7531259136081558E-22</v>
      </c>
      <c r="CN179" s="22">
        <f t="shared" si="172"/>
        <v>0.12736119928244108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275.00000000000057</v>
      </c>
      <c r="CU179" s="17">
        <f>CT179*VLOOKUP('Données projet'!$B$13,Paramètres!$A$1:$I$89,3,0)*VLOOKUP('Données projet'!$B$13,Paramètres!$A$1:$I$89,5,0)</f>
        <v>231.66000000000051</v>
      </c>
      <c r="CV179" s="13">
        <f t="shared" si="173"/>
        <v>56.641461975682923</v>
      </c>
      <c r="CW179" s="20">
        <f t="shared" si="174"/>
        <v>502.12504627431525</v>
      </c>
      <c r="CX179" s="59">
        <f t="shared" si="122"/>
        <v>795.45837960764857</v>
      </c>
      <c r="CY179" s="59">
        <f ca="1">AVERAGE(OFFSET($CX$3,0,0,'Données projet'!$E$13+1,1))-AVERAGE(OFFSET($H$3,0,0,'Données projet'!$E$13+1,1))</f>
        <v>247.67539667223065</v>
      </c>
      <c r="CZ179" s="59">
        <f t="shared" si="150"/>
        <v>174.54442616983778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7.1114600999284946E-2</v>
      </c>
      <c r="DG179" s="21">
        <f>EXP(-LN(2)/25)*DG178+(1-EXP(-LN(2)/25))/(LN(2)/25)*Calculateur!DB179*Calculateur!DD179*VLOOKUP('Données projet'!$B$13,Paramètres!$A$1:$I$89,3,0)*0.475*44/12</f>
        <v>0.11478123747225176</v>
      </c>
      <c r="DH179" s="21">
        <f>EXP(-LN(2)/2)*DH178+(1-EXP(-LN(2)/2))/(LN(2)/2)*DB179*DE179*VLOOKUP('Données projet'!$B$13,Paramètres!$A$1:$I$89,3,0)*0.475*44/12</f>
        <v>1.2190726135483182E-21</v>
      </c>
      <c r="DI179" s="22">
        <f t="shared" si="175"/>
        <v>0.18589583847153671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-5.6843418860808015E-13</v>
      </c>
      <c r="DP179" s="17">
        <f>DO179*VLOOKUP('Données projet'!$B$14,Paramètres!$A$1:$I$89,3,0)*VLOOKUP('Données projet'!$B$14,Paramètres!$A$1:$I$89,5,0)</f>
        <v>-5.6752469390630732E-13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245.06609107649069</v>
      </c>
      <c r="DU179" s="59">
        <f t="shared" si="152"/>
        <v>156.24531945456499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-2.5579538487363607E-13</v>
      </c>
      <c r="EK179" s="17">
        <f>EJ179*VLOOKUP('Données projet'!$B$15,Paramètres!$A$1:$I$89,3,0)*VLOOKUP('Données projet'!$B$15,Paramètres!$A$1:$I$89,5,0)</f>
        <v>-2.7932856028201057E-13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173.63857221119594</v>
      </c>
      <c r="EP179" s="59">
        <f t="shared" si="154"/>
        <v>52.373745617370105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199.58634493109349</v>
      </c>
      <c r="T180" s="59">
        <f t="shared" si="142"/>
        <v>288.66487031729008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0.271892764636055</v>
      </c>
      <c r="AA180" s="21">
        <f>EXP(-LN(2)/25)*AA179+(1-EXP(-LN(2)/25))/(LN(2)/25)*Calculateur!V180*Calculateur!X180*VLOOKUP('Données projet'!$B$9,Paramètres!$A$1:$I$89,3,0)*0.475*44/12</f>
        <v>0.29086837356177553</v>
      </c>
      <c r="AB180" s="21">
        <f>EXP(-LN(2)/2)*AB179+(1-EXP(-LN(2)/2))/(LN(2)/2)*V180*Y180*VLOOKUP('Données projet'!$B$9,Paramètres!$A$1:$I$89,3,0)*0.475*44/12</f>
        <v>2.2085278768030984E-22</v>
      </c>
      <c r="AC180" s="22">
        <f t="shared" si="163"/>
        <v>0.56276113819783058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606.99999999999989</v>
      </c>
      <c r="AJ180" s="13">
        <f>AI180*VLOOKUP('Données projet'!$B$10,Paramètres!$A$1:$I$89,3,0)*VLOOKUP('Données projet'!$B$10,Paramètres!$A$1:$I$89,5,0)</f>
        <v>362.98599999999999</v>
      </c>
      <c r="AK180" s="13">
        <f t="shared" si="164"/>
        <v>84.230767602863935</v>
      </c>
      <c r="AL180" s="20">
        <f t="shared" si="165"/>
        <v>778.90253690832139</v>
      </c>
      <c r="AM180" s="59">
        <f t="shared" si="113"/>
        <v>1072.2358702416548</v>
      </c>
      <c r="AN180" s="59">
        <f ca="1">AVERAGE(OFFSET($AM$3,0,0,'Données projet'!$E$10+1,1))-AVERAGE(OFFSET($H$3,0,0,'Données projet'!$E$10+1,1))</f>
        <v>395.40396173178527</v>
      </c>
      <c r="AO180" s="59">
        <f t="shared" si="144"/>
        <v>304.68075128568756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0.1631531106822578</v>
      </c>
      <c r="AV180" s="21">
        <f>EXP(-LN(2)/25)*AV179+(1-EXP(-LN(2)/25))/(LN(2)/25)*Calculateur!AQ180*Calculateur!AS180*VLOOKUP('Données projet'!$B$10,Paramètres!$A$1:$I$89,3,0)*0.475*44/12</f>
        <v>0.31745219718728601</v>
      </c>
      <c r="AW180" s="21">
        <f>EXP(-LN(2)/2)*AW179+(1-EXP(-LN(2)/2))/(LN(2)/2)*AQ180*AT180*VLOOKUP('Données projet'!$B$10,Paramètres!$A$1:$I$89,3,0)*0.475*44/12</f>
        <v>1.9470149321376071E-21</v>
      </c>
      <c r="AX180" s="21">
        <f t="shared" si="166"/>
        <v>0.48060530786954381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36.10000000000008</v>
      </c>
      <c r="BE180" s="13">
        <f>BD180*VLOOKUP('Données projet'!$B$11,Paramètres!$A$1:$I$89,3,0)*VLOOKUP('Données projet'!$B$11,Paramètres!$A$1:$I$89,5,0)</f>
        <v>31.536960000000075</v>
      </c>
      <c r="BF180" s="13">
        <f t="shared" si="167"/>
        <v>9.725440120377133</v>
      </c>
      <c r="BG180" s="20">
        <f t="shared" si="168"/>
        <v>71.865346876323642</v>
      </c>
      <c r="BH180" s="59">
        <f t="shared" si="116"/>
        <v>365.19868020965697</v>
      </c>
      <c r="BI180" s="59">
        <f ca="1">AVERAGE(OFFSET($BH$3,0,0,'Données projet'!$E$11+1,1))-AVERAGE(OFFSET($H$3,0,0,'Données projet'!$E$11+1,1))</f>
        <v>249.21292089724221</v>
      </c>
      <c r="BJ180" s="59">
        <f t="shared" si="146"/>
        <v>640.80644476065254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6.1359187091567096</v>
      </c>
      <c r="BQ180" s="21">
        <f>EXP(-LN(2)/25)*BQ179+(1-EXP(-LN(2)/25))/(LN(2)/25)*Calculateur!BL180*Calculateur!BN180*VLOOKUP('Données projet'!$B$11,Paramètres!$A$1:$I$89,3,0)*0.475*44/12</f>
        <v>1.8199107849165133</v>
      </c>
      <c r="BR180" s="21">
        <f>EXP(-LN(2)/2)*BR179+(1-EXP(-LN(2)/2))/(LN(2)/2)*BL180*BO180*VLOOKUP('Données projet'!$B$11,Paramètres!$A$1:$I$89,3,0)*0.475*44/12</f>
        <v>6.1795574271985539E-21</v>
      </c>
      <c r="BS180" s="22">
        <f t="shared" si="169"/>
        <v>7.9558294940732228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234.00000000000045</v>
      </c>
      <c r="BZ180" s="13">
        <f>BY180*VLOOKUP('Données projet'!$B$12,Paramètres!$A$1:$I$89,3,0)*VLOOKUP('Données projet'!$B$12,Paramètres!$A$1:$I$89,5,0)</f>
        <v>189.82080000000036</v>
      </c>
      <c r="CA180" s="13">
        <f t="shared" si="170"/>
        <v>47.500332100049881</v>
      </c>
      <c r="CB180" s="20">
        <f t="shared" si="171"/>
        <v>413.33430507425419</v>
      </c>
      <c r="CC180" s="59">
        <f t="shared" si="119"/>
        <v>706.66763840758745</v>
      </c>
      <c r="CD180" s="59">
        <f ca="1">AVERAGE(OFFSET($CC$3,0,0,'Données projet'!$E$12+1,1))-AVERAGE(OFFSET($H$3,0,0,'Données projet'!$E$12+1,1))</f>
        <v>192.4785660463869</v>
      </c>
      <c r="CE180" s="59">
        <f t="shared" si="148"/>
        <v>165.11095806515362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4.4059221676996156E-2</v>
      </c>
      <c r="CL180" s="21">
        <f>EXP(-LN(2)/25)*CL179+(1-EXP(-LN(2)/25))/(LN(2)/25)*Calculateur!CG180*Calculateur!CI180*VLOOKUP('Données projet'!$B$12,Paramètres!$A$1:$I$89,3,0)*0.475*44/12</f>
        <v>8.0166923277486188E-2</v>
      </c>
      <c r="CM180" s="21">
        <f>EXP(-LN(2)/2)*CM179+(1-EXP(-LN(2)/2))/(LN(2)/2)*CG180*CJ180*VLOOKUP('Données projet'!$B$12,Paramètres!$A$1:$I$89,3,0)*0.475*44/12</f>
        <v>5.4822879089054735E-22</v>
      </c>
      <c r="CN180" s="22">
        <f t="shared" si="172"/>
        <v>0.12422614495448234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275.00000000000057</v>
      </c>
      <c r="CU180" s="17">
        <f>CT180*VLOOKUP('Données projet'!$B$13,Paramètres!$A$1:$I$89,3,0)*VLOOKUP('Données projet'!$B$13,Paramètres!$A$1:$I$89,5,0)</f>
        <v>231.66000000000051</v>
      </c>
      <c r="CV180" s="13">
        <f t="shared" si="173"/>
        <v>56.641461975682923</v>
      </c>
      <c r="CW180" s="20">
        <f t="shared" si="174"/>
        <v>502.12504627431525</v>
      </c>
      <c r="CX180" s="59">
        <f t="shared" si="122"/>
        <v>795.45837960764857</v>
      </c>
      <c r="CY180" s="59">
        <f ca="1">AVERAGE(OFFSET($CX$3,0,0,'Données projet'!$E$13+1,1))-AVERAGE(OFFSET($H$3,0,0,'Données projet'!$E$13+1,1))</f>
        <v>247.67539667223065</v>
      </c>
      <c r="CZ180" s="59">
        <f t="shared" si="150"/>
        <v>174.54442616983778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6.9720087049312596E-2</v>
      </c>
      <c r="DG180" s="21">
        <f>EXP(-LN(2)/25)*DG179+(1-EXP(-LN(2)/25))/(LN(2)/25)*Calculateur!DB180*Calculateur!DD180*VLOOKUP('Données projet'!$B$13,Paramètres!$A$1:$I$89,3,0)*0.475*44/12</f>
        <v>0.11164253849749009</v>
      </c>
      <c r="DH180" s="21">
        <f>EXP(-LN(2)/2)*DH179+(1-EXP(-LN(2)/2))/(LN(2)/2)*DB180*DE180*VLOOKUP('Données projet'!$B$13,Paramètres!$A$1:$I$89,3,0)*0.475*44/12</f>
        <v>8.6201451179882322E-22</v>
      </c>
      <c r="DI180" s="22">
        <f t="shared" si="175"/>
        <v>0.18136262554680269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-5.6843418860808015E-13</v>
      </c>
      <c r="DP180" s="17">
        <f>DO180*VLOOKUP('Données projet'!$B$14,Paramètres!$A$1:$I$89,3,0)*VLOOKUP('Données projet'!$B$14,Paramètres!$A$1:$I$89,5,0)</f>
        <v>-5.6752469390630732E-13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245.06609107649069</v>
      </c>
      <c r="DU180" s="59">
        <f t="shared" si="152"/>
        <v>156.24531945456499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-2.5579538487363607E-13</v>
      </c>
      <c r="EK180" s="17">
        <f>EJ180*VLOOKUP('Données projet'!$B$15,Paramètres!$A$1:$I$89,3,0)*VLOOKUP('Données projet'!$B$15,Paramètres!$A$1:$I$89,5,0)</f>
        <v>-2.7932856028201057E-13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173.63857221119594</v>
      </c>
      <c r="EP180" s="59">
        <f t="shared" si="154"/>
        <v>52.373745617370105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199.58634493109349</v>
      </c>
      <c r="T181" s="59">
        <f t="shared" si="142"/>
        <v>288.66487031729008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0.26656111335975324</v>
      </c>
      <c r="AA181" s="21">
        <f>EXP(-LN(2)/25)*AA180+(1-EXP(-LN(2)/25))/(LN(2)/25)*Calculateur!V181*Calculateur!X181*VLOOKUP('Données projet'!$B$9,Paramètres!$A$1:$I$89,3,0)*0.475*44/12</f>
        <v>0.28291456259062581</v>
      </c>
      <c r="AB181" s="21">
        <f>EXP(-LN(2)/2)*AB180+(1-EXP(-LN(2)/2))/(LN(2)/2)*V181*Y181*VLOOKUP('Données projet'!$B$9,Paramètres!$A$1:$I$89,3,0)*0.475*44/12</f>
        <v>1.5616650381269989E-22</v>
      </c>
      <c r="AC181" s="22">
        <f t="shared" si="163"/>
        <v>0.54947567595037905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606.99999999999989</v>
      </c>
      <c r="AJ181" s="13">
        <f>AI181*VLOOKUP('Données projet'!$B$10,Paramètres!$A$1:$I$89,3,0)*VLOOKUP('Données projet'!$B$10,Paramètres!$A$1:$I$89,5,0)</f>
        <v>362.98599999999999</v>
      </c>
      <c r="AK181" s="13">
        <f t="shared" si="164"/>
        <v>84.230767602863935</v>
      </c>
      <c r="AL181" s="20">
        <f t="shared" si="165"/>
        <v>778.90253690832139</v>
      </c>
      <c r="AM181" s="59">
        <f t="shared" si="113"/>
        <v>1072.2358702416548</v>
      </c>
      <c r="AN181" s="59">
        <f ca="1">AVERAGE(OFFSET($AM$3,0,0,'Données projet'!$E$10+1,1))-AVERAGE(OFFSET($H$3,0,0,'Données projet'!$E$10+1,1))</f>
        <v>395.40396173178527</v>
      </c>
      <c r="AO181" s="59">
        <f t="shared" si="144"/>
        <v>304.68075128568756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0.15995377769535007</v>
      </c>
      <c r="AV181" s="21">
        <f>EXP(-LN(2)/25)*AV180+(1-EXP(-LN(2)/25))/(LN(2)/25)*Calculateur!AQ181*Calculateur!AS181*VLOOKUP('Données projet'!$B$10,Paramètres!$A$1:$I$89,3,0)*0.475*44/12</f>
        <v>0.30877145016111418</v>
      </c>
      <c r="AW181" s="21">
        <f>EXP(-LN(2)/2)*AW180+(1-EXP(-LN(2)/2))/(LN(2)/2)*AQ181*AT181*VLOOKUP('Données projet'!$B$10,Paramètres!$A$1:$I$89,3,0)*0.475*44/12</f>
        <v>1.3767474615859677E-21</v>
      </c>
      <c r="AX181" s="21">
        <f t="shared" si="166"/>
        <v>0.46872522785646425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36.10000000000008</v>
      </c>
      <c r="BE181" s="13">
        <f>BD181*VLOOKUP('Données projet'!$B$11,Paramètres!$A$1:$I$89,3,0)*VLOOKUP('Données projet'!$B$11,Paramètres!$A$1:$I$89,5,0)</f>
        <v>31.536960000000075</v>
      </c>
      <c r="BF181" s="13">
        <f t="shared" si="167"/>
        <v>9.725440120377133</v>
      </c>
      <c r="BG181" s="20">
        <f t="shared" si="168"/>
        <v>71.865346876323642</v>
      </c>
      <c r="BH181" s="59">
        <f t="shared" si="116"/>
        <v>365.19868020965697</v>
      </c>
      <c r="BI181" s="59">
        <f ca="1">AVERAGE(OFFSET($BH$3,0,0,'Données projet'!$E$11+1,1))-AVERAGE(OFFSET($H$3,0,0,'Données projet'!$E$11+1,1))</f>
        <v>249.21292089724221</v>
      </c>
      <c r="BJ181" s="59">
        <f t="shared" si="146"/>
        <v>640.80644476065254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6.0155970858110139</v>
      </c>
      <c r="BQ181" s="21">
        <f>EXP(-LN(2)/25)*BQ180+(1-EXP(-LN(2)/25))/(LN(2)/25)*Calculateur!BL181*Calculateur!BN181*VLOOKUP('Données projet'!$B$11,Paramètres!$A$1:$I$89,3,0)*0.475*44/12</f>
        <v>1.7701452287980224</v>
      </c>
      <c r="BR181" s="21">
        <f>EXP(-LN(2)/2)*BR180+(1-EXP(-LN(2)/2))/(LN(2)/2)*BL181*BO181*VLOOKUP('Données projet'!$B$11,Paramètres!$A$1:$I$89,3,0)*0.475*44/12</f>
        <v>4.3696069615037924E-21</v>
      </c>
      <c r="BS181" s="22">
        <f t="shared" si="169"/>
        <v>7.7857423146090365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234.00000000000045</v>
      </c>
      <c r="BZ181" s="13">
        <f>BY181*VLOOKUP('Données projet'!$B$12,Paramètres!$A$1:$I$89,3,0)*VLOOKUP('Données projet'!$B$12,Paramètres!$A$1:$I$89,5,0)</f>
        <v>189.82080000000036</v>
      </c>
      <c r="CA181" s="13">
        <f t="shared" si="170"/>
        <v>47.500332100049881</v>
      </c>
      <c r="CB181" s="20">
        <f t="shared" si="171"/>
        <v>413.33430507425419</v>
      </c>
      <c r="CC181" s="59">
        <f t="shared" si="119"/>
        <v>706.66763840758745</v>
      </c>
      <c r="CD181" s="59">
        <f ca="1">AVERAGE(OFFSET($CC$3,0,0,'Données projet'!$E$12+1,1))-AVERAGE(OFFSET($H$3,0,0,'Données projet'!$E$12+1,1))</f>
        <v>192.4785660463869</v>
      </c>
      <c r="CE181" s="59">
        <f t="shared" si="148"/>
        <v>165.11095806515362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4.319524721338195E-2</v>
      </c>
      <c r="CL181" s="21">
        <f>EXP(-LN(2)/25)*CL180+(1-EXP(-LN(2)/25))/(LN(2)/25)*Calculateur!CG181*Calculateur!CI181*VLOOKUP('Données projet'!$B$12,Paramètres!$A$1:$I$89,3,0)*0.475*44/12</f>
        <v>7.7974754544668054E-2</v>
      </c>
      <c r="CM181" s="21">
        <f>EXP(-LN(2)/2)*CM180+(1-EXP(-LN(2)/2))/(LN(2)/2)*CG181*CJ181*VLOOKUP('Données projet'!$B$12,Paramètres!$A$1:$I$89,3,0)*0.475*44/12</f>
        <v>3.8765629568040779E-22</v>
      </c>
      <c r="CN181" s="22">
        <f t="shared" si="172"/>
        <v>0.12117000175805001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275.00000000000057</v>
      </c>
      <c r="CU181" s="17">
        <f>CT181*VLOOKUP('Données projet'!$B$13,Paramètres!$A$1:$I$89,3,0)*VLOOKUP('Données projet'!$B$13,Paramètres!$A$1:$I$89,5,0)</f>
        <v>231.66000000000051</v>
      </c>
      <c r="CV181" s="13">
        <f t="shared" si="173"/>
        <v>56.641461975682923</v>
      </c>
      <c r="CW181" s="20">
        <f t="shared" si="174"/>
        <v>502.12504627431525</v>
      </c>
      <c r="CX181" s="59">
        <f t="shared" si="122"/>
        <v>795.45837960764857</v>
      </c>
      <c r="CY181" s="59">
        <f ca="1">AVERAGE(OFFSET($CX$3,0,0,'Données projet'!$E$13+1,1))-AVERAGE(OFFSET($H$3,0,0,'Données projet'!$E$13+1,1))</f>
        <v>247.67539667223065</v>
      </c>
      <c r="CZ181" s="59">
        <f t="shared" si="150"/>
        <v>174.54442616983778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6.8352918667329676E-2</v>
      </c>
      <c r="DG181" s="21">
        <f>EXP(-LN(2)/25)*DG180+(1-EXP(-LN(2)/25))/(LN(2)/25)*Calculateur!DB181*Calculateur!DD181*VLOOKUP('Données projet'!$B$13,Paramètres!$A$1:$I$89,3,0)*0.475*44/12</f>
        <v>0.10858966741125028</v>
      </c>
      <c r="DH181" s="21">
        <f>EXP(-LN(2)/2)*DH180+(1-EXP(-LN(2)/2))/(LN(2)/2)*DB181*DE181*VLOOKUP('Données projet'!$B$13,Paramètres!$A$1:$I$89,3,0)*0.475*44/12</f>
        <v>6.0953630677415909E-22</v>
      </c>
      <c r="DI181" s="22">
        <f t="shared" si="175"/>
        <v>0.17694258607857996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-5.6843418860808015E-13</v>
      </c>
      <c r="DP181" s="17">
        <f>DO181*VLOOKUP('Données projet'!$B$14,Paramètres!$A$1:$I$89,3,0)*VLOOKUP('Données projet'!$B$14,Paramètres!$A$1:$I$89,5,0)</f>
        <v>-5.6752469390630732E-13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245.06609107649069</v>
      </c>
      <c r="DU181" s="59">
        <f t="shared" si="152"/>
        <v>156.24531945456499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-2.5579538487363607E-13</v>
      </c>
      <c r="EK181" s="17">
        <f>EJ181*VLOOKUP('Données projet'!$B$15,Paramètres!$A$1:$I$89,3,0)*VLOOKUP('Données projet'!$B$15,Paramètres!$A$1:$I$89,5,0)</f>
        <v>-2.7932856028201057E-13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173.63857221119594</v>
      </c>
      <c r="EP181" s="59">
        <f t="shared" si="154"/>
        <v>52.373745617370105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199.58634493109349</v>
      </c>
      <c r="T182" s="59">
        <f t="shared" si="142"/>
        <v>288.66487031729008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0.2613340125129936</v>
      </c>
      <c r="AA182" s="21">
        <f>EXP(-LN(2)/25)*AA181+(1-EXP(-LN(2)/25))/(LN(2)/25)*Calculateur!V182*Calculateur!X182*VLOOKUP('Données projet'!$B$9,Paramètres!$A$1:$I$89,3,0)*0.475*44/12</f>
        <v>0.27517824899875493</v>
      </c>
      <c r="AB182" s="21">
        <f>EXP(-LN(2)/2)*AB181+(1-EXP(-LN(2)/2))/(LN(2)/2)*V182*Y182*VLOOKUP('Données projet'!$B$9,Paramètres!$A$1:$I$89,3,0)*0.475*44/12</f>
        <v>1.1042639384015492E-22</v>
      </c>
      <c r="AC182" s="22">
        <f t="shared" si="163"/>
        <v>0.53651226151174858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606.99999999999989</v>
      </c>
      <c r="AJ182" s="13">
        <f>AI182*VLOOKUP('Données projet'!$B$10,Paramètres!$A$1:$I$89,3,0)*VLOOKUP('Données projet'!$B$10,Paramètres!$A$1:$I$89,5,0)</f>
        <v>362.98599999999999</v>
      </c>
      <c r="AK182" s="13">
        <f t="shared" si="164"/>
        <v>84.230767602863935</v>
      </c>
      <c r="AL182" s="20">
        <f t="shared" si="165"/>
        <v>778.90253690832139</v>
      </c>
      <c r="AM182" s="59">
        <f t="shared" si="113"/>
        <v>1072.2358702416548</v>
      </c>
      <c r="AN182" s="59">
        <f ca="1">AVERAGE(OFFSET($AM$3,0,0,'Données projet'!$E$10+1,1))-AVERAGE(OFFSET($H$3,0,0,'Données projet'!$E$10+1,1))</f>
        <v>395.40396173178527</v>
      </c>
      <c r="AO182" s="59">
        <f t="shared" si="144"/>
        <v>304.68075128568756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0.15681718167691519</v>
      </c>
      <c r="AV182" s="21">
        <f>EXP(-LN(2)/25)*AV181+(1-EXP(-LN(2)/25))/(LN(2)/25)*Calculateur!AQ182*Calculateur!AS182*VLOOKUP('Données projet'!$B$10,Paramètres!$A$1:$I$89,3,0)*0.475*44/12</f>
        <v>0.30032807861887367</v>
      </c>
      <c r="AW182" s="21">
        <f>EXP(-LN(2)/2)*AW181+(1-EXP(-LN(2)/2))/(LN(2)/2)*AQ182*AT182*VLOOKUP('Données projet'!$B$10,Paramètres!$A$1:$I$89,3,0)*0.475*44/12</f>
        <v>9.7350746606880356E-22</v>
      </c>
      <c r="AX182" s="21">
        <f t="shared" si="166"/>
        <v>0.45714526029578884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36.10000000000008</v>
      </c>
      <c r="BE182" s="13">
        <f>BD182*VLOOKUP('Données projet'!$B$11,Paramètres!$A$1:$I$89,3,0)*VLOOKUP('Données projet'!$B$11,Paramètres!$A$1:$I$89,5,0)</f>
        <v>31.536960000000075</v>
      </c>
      <c r="BF182" s="13">
        <f t="shared" si="167"/>
        <v>9.725440120377133</v>
      </c>
      <c r="BG182" s="20">
        <f t="shared" si="168"/>
        <v>71.865346876323642</v>
      </c>
      <c r="BH182" s="59">
        <f t="shared" si="116"/>
        <v>365.19868020965697</v>
      </c>
      <c r="BI182" s="59">
        <f ca="1">AVERAGE(OFFSET($BH$3,0,0,'Données projet'!$E$11+1,1))-AVERAGE(OFFSET($H$3,0,0,'Données projet'!$E$11+1,1))</f>
        <v>249.21292089724221</v>
      </c>
      <c r="BJ182" s="59">
        <f t="shared" si="146"/>
        <v>640.80644476065254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5.8976348961101834</v>
      </c>
      <c r="BQ182" s="21">
        <f>EXP(-LN(2)/25)*BQ181+(1-EXP(-LN(2)/25))/(LN(2)/25)*Calculateur!BL182*Calculateur!BN182*VLOOKUP('Données projet'!$B$11,Paramètres!$A$1:$I$89,3,0)*0.475*44/12</f>
        <v>1.7217405144286486</v>
      </c>
      <c r="BR182" s="21">
        <f>EXP(-LN(2)/2)*BR181+(1-EXP(-LN(2)/2))/(LN(2)/2)*BL182*BO182*VLOOKUP('Données projet'!$B$11,Paramètres!$A$1:$I$89,3,0)*0.475*44/12</f>
        <v>3.089778713599277E-21</v>
      </c>
      <c r="BS182" s="22">
        <f t="shared" si="169"/>
        <v>7.619375410538832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234.00000000000045</v>
      </c>
      <c r="BZ182" s="13">
        <f>BY182*VLOOKUP('Données projet'!$B$12,Paramètres!$A$1:$I$89,3,0)*VLOOKUP('Données projet'!$B$12,Paramètres!$A$1:$I$89,5,0)</f>
        <v>189.82080000000036</v>
      </c>
      <c r="CA182" s="13">
        <f t="shared" si="170"/>
        <v>47.500332100049881</v>
      </c>
      <c r="CB182" s="20">
        <f t="shared" si="171"/>
        <v>413.33430507425419</v>
      </c>
      <c r="CC182" s="59">
        <f t="shared" si="119"/>
        <v>706.66763840758745</v>
      </c>
      <c r="CD182" s="59">
        <f ca="1">AVERAGE(OFFSET($CC$3,0,0,'Données projet'!$E$12+1,1))-AVERAGE(OFFSET($H$3,0,0,'Données projet'!$E$12+1,1))</f>
        <v>192.4785660463869</v>
      </c>
      <c r="CE182" s="59">
        <f t="shared" si="148"/>
        <v>165.11095806515362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4.2348214762026833E-2</v>
      </c>
      <c r="CL182" s="21">
        <f>EXP(-LN(2)/25)*CL181+(1-EXP(-LN(2)/25))/(LN(2)/25)*Calculateur!CG182*Calculateur!CI182*VLOOKUP('Données projet'!$B$12,Paramètres!$A$1:$I$89,3,0)*0.475*44/12</f>
        <v>7.5842530781129971E-2</v>
      </c>
      <c r="CM182" s="21">
        <f>EXP(-LN(2)/2)*CM181+(1-EXP(-LN(2)/2))/(LN(2)/2)*CG182*CJ182*VLOOKUP('Données projet'!$B$12,Paramètres!$A$1:$I$89,3,0)*0.475*44/12</f>
        <v>2.7411439544527368E-22</v>
      </c>
      <c r="CN182" s="22">
        <f t="shared" si="172"/>
        <v>0.11819074554315681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275.00000000000057</v>
      </c>
      <c r="CU182" s="17">
        <f>CT182*VLOOKUP('Données projet'!$B$13,Paramètres!$A$1:$I$89,3,0)*VLOOKUP('Données projet'!$B$13,Paramètres!$A$1:$I$89,5,0)</f>
        <v>231.66000000000051</v>
      </c>
      <c r="CV182" s="13">
        <f t="shared" si="173"/>
        <v>56.641461975682923</v>
      </c>
      <c r="CW182" s="20">
        <f t="shared" si="174"/>
        <v>502.12504627431525</v>
      </c>
      <c r="CX182" s="59">
        <f t="shared" si="122"/>
        <v>795.45837960764857</v>
      </c>
      <c r="CY182" s="59">
        <f ca="1">AVERAGE(OFFSET($CX$3,0,0,'Données projet'!$E$13+1,1))-AVERAGE(OFFSET($H$3,0,0,'Données projet'!$E$13+1,1))</f>
        <v>247.67539667223065</v>
      </c>
      <c r="CZ182" s="59">
        <f t="shared" si="150"/>
        <v>174.54442616983778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6.7012559623427073E-2</v>
      </c>
      <c r="DG182" s="21">
        <f>EXP(-LN(2)/25)*DG181+(1-EXP(-LN(2)/25))/(LN(2)/25)*Calculateur!DB182*Calculateur!DD182*VLOOKUP('Données projet'!$B$13,Paramètres!$A$1:$I$89,3,0)*0.475*44/12</f>
        <v>0.10562027724540722</v>
      </c>
      <c r="DH182" s="21">
        <f>EXP(-LN(2)/2)*DH181+(1-EXP(-LN(2)/2))/(LN(2)/2)*DB182*DE182*VLOOKUP('Données projet'!$B$13,Paramètres!$A$1:$I$89,3,0)*0.475*44/12</f>
        <v>4.3100725589941161E-22</v>
      </c>
      <c r="DI182" s="22">
        <f t="shared" si="175"/>
        <v>0.17263283686883429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-5.6843418860808015E-13</v>
      </c>
      <c r="DP182" s="17">
        <f>DO182*VLOOKUP('Données projet'!$B$14,Paramètres!$A$1:$I$89,3,0)*VLOOKUP('Données projet'!$B$14,Paramètres!$A$1:$I$89,5,0)</f>
        <v>-5.6752469390630732E-13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245.06609107649069</v>
      </c>
      <c r="DU182" s="59">
        <f t="shared" si="152"/>
        <v>156.24531945456499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-2.5579538487363607E-13</v>
      </c>
      <c r="EK182" s="17">
        <f>EJ182*VLOOKUP('Données projet'!$B$15,Paramètres!$A$1:$I$89,3,0)*VLOOKUP('Données projet'!$B$15,Paramètres!$A$1:$I$89,5,0)</f>
        <v>-2.7932856028201057E-13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173.63857221119594</v>
      </c>
      <c r="EP182" s="59">
        <f t="shared" si="154"/>
        <v>52.373745617370105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199.58634493109349</v>
      </c>
      <c r="T183" s="59">
        <f t="shared" si="142"/>
        <v>288.66487031729008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0.25620941192562219</v>
      </c>
      <c r="AA183" s="21">
        <f>EXP(-LN(2)/25)*AA182+(1-EXP(-LN(2)/25))/(LN(2)/25)*Calculateur!V183*Calculateur!X183*VLOOKUP('Données projet'!$B$9,Paramètres!$A$1:$I$89,3,0)*0.475*44/12</f>
        <v>0.26765348530888877</v>
      </c>
      <c r="AB183" s="21">
        <f>EXP(-LN(2)/2)*AB182+(1-EXP(-LN(2)/2))/(LN(2)/2)*V183*Y183*VLOOKUP('Données projet'!$B$9,Paramètres!$A$1:$I$89,3,0)*0.475*44/12</f>
        <v>7.8083251906349946E-23</v>
      </c>
      <c r="AC183" s="22">
        <f t="shared" si="163"/>
        <v>0.52386289723451096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606.99999999999989</v>
      </c>
      <c r="AJ183" s="13">
        <f>AI183*VLOOKUP('Données projet'!$B$10,Paramètres!$A$1:$I$89,3,0)*VLOOKUP('Données projet'!$B$10,Paramètres!$A$1:$I$89,5,0)</f>
        <v>362.98599999999999</v>
      </c>
      <c r="AK183" s="13">
        <f t="shared" si="164"/>
        <v>84.230767602863935</v>
      </c>
      <c r="AL183" s="20">
        <f t="shared" si="165"/>
        <v>778.90253690832139</v>
      </c>
      <c r="AM183" s="59">
        <f t="shared" si="113"/>
        <v>1072.2358702416548</v>
      </c>
      <c r="AN183" s="59">
        <f ca="1">AVERAGE(OFFSET($AM$3,0,0,'Données projet'!$E$10+1,1))-AVERAGE(OFFSET($H$3,0,0,'Données projet'!$E$10+1,1))</f>
        <v>395.40396173178527</v>
      </c>
      <c r="AO183" s="59">
        <f t="shared" si="144"/>
        <v>304.68075128568756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0.15374209239326714</v>
      </c>
      <c r="AV183" s="21">
        <f>EXP(-LN(2)/25)*AV182+(1-EXP(-LN(2)/25))/(LN(2)/25)*Calculateur!AQ183*Calculateur!AS183*VLOOKUP('Données projet'!$B$10,Paramètres!$A$1:$I$89,3,0)*0.475*44/12</f>
        <v>0.29211559151547334</v>
      </c>
      <c r="AW183" s="21">
        <f>EXP(-LN(2)/2)*AW182+(1-EXP(-LN(2)/2))/(LN(2)/2)*AQ183*AT183*VLOOKUP('Données projet'!$B$10,Paramètres!$A$1:$I$89,3,0)*0.475*44/12</f>
        <v>6.8837373079298383E-22</v>
      </c>
      <c r="AX183" s="21">
        <f t="shared" si="166"/>
        <v>0.44585768390874048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36.10000000000008</v>
      </c>
      <c r="BE183" s="13">
        <f>BD183*VLOOKUP('Données projet'!$B$11,Paramètres!$A$1:$I$89,3,0)*VLOOKUP('Données projet'!$B$11,Paramètres!$A$1:$I$89,5,0)</f>
        <v>31.536960000000075</v>
      </c>
      <c r="BF183" s="13">
        <f t="shared" si="167"/>
        <v>9.725440120377133</v>
      </c>
      <c r="BG183" s="20">
        <f t="shared" si="168"/>
        <v>71.865346876323642</v>
      </c>
      <c r="BH183" s="59">
        <f t="shared" si="116"/>
        <v>365.19868020965697</v>
      </c>
      <c r="BI183" s="59">
        <f ca="1">AVERAGE(OFFSET($BH$3,0,0,'Données projet'!$E$11+1,1))-AVERAGE(OFFSET($H$3,0,0,'Données projet'!$E$11+1,1))</f>
        <v>249.21292089724221</v>
      </c>
      <c r="BJ183" s="59">
        <f t="shared" si="146"/>
        <v>640.80644476065254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5.781985872999555</v>
      </c>
      <c r="BQ183" s="21">
        <f>EXP(-LN(2)/25)*BQ182+(1-EXP(-LN(2)/25))/(LN(2)/25)*Calculateur!BL183*Calculateur!BN183*VLOOKUP('Données projet'!$B$11,Paramètres!$A$1:$I$89,3,0)*0.475*44/12</f>
        <v>1.6746594295191986</v>
      </c>
      <c r="BR183" s="21">
        <f>EXP(-LN(2)/2)*BR182+(1-EXP(-LN(2)/2))/(LN(2)/2)*BL183*BO183*VLOOKUP('Données projet'!$B$11,Paramètres!$A$1:$I$89,3,0)*0.475*44/12</f>
        <v>2.1848034807518962E-21</v>
      </c>
      <c r="BS183" s="22">
        <f t="shared" si="169"/>
        <v>7.4566453025187531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234.00000000000045</v>
      </c>
      <c r="BZ183" s="13">
        <f>BY183*VLOOKUP('Données projet'!$B$12,Paramètres!$A$1:$I$89,3,0)*VLOOKUP('Données projet'!$B$12,Paramètres!$A$1:$I$89,5,0)</f>
        <v>189.82080000000036</v>
      </c>
      <c r="CA183" s="13">
        <f t="shared" si="170"/>
        <v>47.500332100049881</v>
      </c>
      <c r="CB183" s="20">
        <f t="shared" si="171"/>
        <v>413.33430507425419</v>
      </c>
      <c r="CC183" s="59">
        <f t="shared" si="119"/>
        <v>706.66763840758745</v>
      </c>
      <c r="CD183" s="59">
        <f ca="1">AVERAGE(OFFSET($CC$3,0,0,'Données projet'!$E$12+1,1))-AVERAGE(OFFSET($H$3,0,0,'Données projet'!$E$12+1,1))</f>
        <v>192.4785660463869</v>
      </c>
      <c r="CE183" s="59">
        <f t="shared" si="148"/>
        <v>165.11095806515362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4.1517792100404002E-2</v>
      </c>
      <c r="CL183" s="21">
        <f>EXP(-LN(2)/25)*CL182+(1-EXP(-LN(2)/25))/(LN(2)/25)*Calculateur!CG183*Calculateur!CI183*VLOOKUP('Données projet'!$B$12,Paramètres!$A$1:$I$89,3,0)*0.475*44/12</f>
        <v>7.3768612788534624E-2</v>
      </c>
      <c r="CM183" s="21">
        <f>EXP(-LN(2)/2)*CM182+(1-EXP(-LN(2)/2))/(LN(2)/2)*CG183*CJ183*VLOOKUP('Données projet'!$B$12,Paramètres!$A$1:$I$89,3,0)*0.475*44/12</f>
        <v>1.938281478402039E-22</v>
      </c>
      <c r="CN183" s="22">
        <f t="shared" si="172"/>
        <v>0.11528640488893863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275.00000000000057</v>
      </c>
      <c r="CU183" s="17">
        <f>CT183*VLOOKUP('Données projet'!$B$13,Paramètres!$A$1:$I$89,3,0)*VLOOKUP('Données projet'!$B$13,Paramètres!$A$1:$I$89,5,0)</f>
        <v>231.66000000000051</v>
      </c>
      <c r="CV183" s="13">
        <f t="shared" si="173"/>
        <v>56.641461975682923</v>
      </c>
      <c r="CW183" s="20">
        <f t="shared" si="174"/>
        <v>502.12504627431525</v>
      </c>
      <c r="CX183" s="59">
        <f t="shared" si="122"/>
        <v>795.45837960764857</v>
      </c>
      <c r="CY183" s="59">
        <f ca="1">AVERAGE(OFFSET($CX$3,0,0,'Données projet'!$E$13+1,1))-AVERAGE(OFFSET($H$3,0,0,'Données projet'!$E$13+1,1))</f>
        <v>247.67539667223065</v>
      </c>
      <c r="CZ183" s="59">
        <f t="shared" si="150"/>
        <v>174.54442616983778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6.569848420283711E-2</v>
      </c>
      <c r="DG183" s="21">
        <f>EXP(-LN(2)/25)*DG182+(1-EXP(-LN(2)/25))/(LN(2)/25)*Calculateur!DB183*Calculateur!DD183*VLOOKUP('Données projet'!$B$13,Paramètres!$A$1:$I$89,3,0)*0.475*44/12</f>
        <v>0.10273208520980258</v>
      </c>
      <c r="DH183" s="21">
        <f>EXP(-LN(2)/2)*DH182+(1-EXP(-LN(2)/2))/(LN(2)/2)*DB183*DE183*VLOOKUP('Données projet'!$B$13,Paramètres!$A$1:$I$89,3,0)*0.475*44/12</f>
        <v>3.0476815338707954E-22</v>
      </c>
      <c r="DI183" s="22">
        <f t="shared" si="175"/>
        <v>0.16843056941263967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-5.6843418860808015E-13</v>
      </c>
      <c r="DP183" s="17">
        <f>DO183*VLOOKUP('Données projet'!$B$14,Paramètres!$A$1:$I$89,3,0)*VLOOKUP('Données projet'!$B$14,Paramètres!$A$1:$I$89,5,0)</f>
        <v>-5.6752469390630732E-13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245.06609107649069</v>
      </c>
      <c r="DU183" s="59">
        <f t="shared" si="152"/>
        <v>156.24531945456499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-2.5579538487363607E-13</v>
      </c>
      <c r="EK183" s="17">
        <f>EJ183*VLOOKUP('Données projet'!$B$15,Paramètres!$A$1:$I$89,3,0)*VLOOKUP('Données projet'!$B$15,Paramètres!$A$1:$I$89,5,0)</f>
        <v>-2.7932856028201057E-13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173.63857221119594</v>
      </c>
      <c r="EP183" s="59">
        <f t="shared" si="154"/>
        <v>52.373745617370105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199.58634493109349</v>
      </c>
      <c r="T184" s="59">
        <f t="shared" si="142"/>
        <v>288.66487031729008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0.25118530163007141</v>
      </c>
      <c r="AA184" s="21">
        <f>EXP(-LN(2)/25)*AA183+(1-EXP(-LN(2)/25))/(LN(2)/25)*Calculateur!V184*Calculateur!X184*VLOOKUP('Données projet'!$B$9,Paramètres!$A$1:$I$89,3,0)*0.475*44/12</f>
        <v>0.26033448667783216</v>
      </c>
      <c r="AB184" s="21">
        <f>EXP(-LN(2)/2)*AB183+(1-EXP(-LN(2)/2))/(LN(2)/2)*V184*Y184*VLOOKUP('Données projet'!$B$9,Paramètres!$A$1:$I$89,3,0)*0.475*44/12</f>
        <v>5.5213196920077461E-23</v>
      </c>
      <c r="AC184" s="22">
        <f t="shared" si="163"/>
        <v>0.51151978830790357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606.99999999999989</v>
      </c>
      <c r="AJ184" s="13">
        <f>AI184*VLOOKUP('Données projet'!$B$10,Paramètres!$A$1:$I$89,3,0)*VLOOKUP('Données projet'!$B$10,Paramètres!$A$1:$I$89,5,0)</f>
        <v>362.98599999999999</v>
      </c>
      <c r="AK184" s="13">
        <f t="shared" si="164"/>
        <v>84.230767602863935</v>
      </c>
      <c r="AL184" s="20">
        <f t="shared" si="165"/>
        <v>778.90253690832139</v>
      </c>
      <c r="AM184" s="59">
        <f t="shared" si="113"/>
        <v>1072.2358702416548</v>
      </c>
      <c r="AN184" s="59">
        <f ca="1">AVERAGE(OFFSET($AM$3,0,0,'Données projet'!$E$10+1,1))-AVERAGE(OFFSET($H$3,0,0,'Données projet'!$E$10+1,1))</f>
        <v>395.40396173178527</v>
      </c>
      <c r="AO184" s="59">
        <f t="shared" si="144"/>
        <v>304.68075128568756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0.15072730373485219</v>
      </c>
      <c r="AV184" s="21">
        <f>EXP(-LN(2)/25)*AV183+(1-EXP(-LN(2)/25))/(LN(2)/25)*Calculateur!AQ184*Calculateur!AS184*VLOOKUP('Données projet'!$B$10,Paramètres!$A$1:$I$89,3,0)*0.475*44/12</f>
        <v>0.2841276753037914</v>
      </c>
      <c r="AW184" s="21">
        <f>EXP(-LN(2)/2)*AW183+(1-EXP(-LN(2)/2))/(LN(2)/2)*AQ184*AT184*VLOOKUP('Données projet'!$B$10,Paramètres!$A$1:$I$89,3,0)*0.475*44/12</f>
        <v>4.8675373303440178E-22</v>
      </c>
      <c r="AX184" s="21">
        <f t="shared" si="166"/>
        <v>0.43485497903864356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36.10000000000008</v>
      </c>
      <c r="BE184" s="13">
        <f>BD184*VLOOKUP('Données projet'!$B$11,Paramètres!$A$1:$I$89,3,0)*VLOOKUP('Données projet'!$B$11,Paramètres!$A$1:$I$89,5,0)</f>
        <v>31.536960000000075</v>
      </c>
      <c r="BF184" s="13">
        <f t="shared" si="167"/>
        <v>9.725440120377133</v>
      </c>
      <c r="BG184" s="20">
        <f t="shared" si="168"/>
        <v>71.865346876323642</v>
      </c>
      <c r="BH184" s="59">
        <f t="shared" si="116"/>
        <v>365.19868020965697</v>
      </c>
      <c r="BI184" s="59">
        <f ca="1">AVERAGE(OFFSET($BH$3,0,0,'Données projet'!$E$11+1,1))-AVERAGE(OFFSET($H$3,0,0,'Données projet'!$E$11+1,1))</f>
        <v>249.21292089724221</v>
      </c>
      <c r="BJ184" s="59">
        <f t="shared" si="146"/>
        <v>640.80644476065254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5.6686046566931871</v>
      </c>
      <c r="BQ184" s="21">
        <f>EXP(-LN(2)/25)*BQ183+(1-EXP(-LN(2)/25))/(LN(2)/25)*Calculateur!BL184*Calculateur!BN184*VLOOKUP('Données projet'!$B$11,Paramètres!$A$1:$I$89,3,0)*0.475*44/12</f>
        <v>1.6288657793524841</v>
      </c>
      <c r="BR184" s="21">
        <f>EXP(-LN(2)/2)*BR183+(1-EXP(-LN(2)/2))/(LN(2)/2)*BL184*BO184*VLOOKUP('Données projet'!$B$11,Paramètres!$A$1:$I$89,3,0)*0.475*44/12</f>
        <v>1.5448893567996385E-21</v>
      </c>
      <c r="BS184" s="22">
        <f t="shared" si="169"/>
        <v>7.2974704360456712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234.00000000000045</v>
      </c>
      <c r="BZ184" s="13">
        <f>BY184*VLOOKUP('Données projet'!$B$12,Paramètres!$A$1:$I$89,3,0)*VLOOKUP('Données projet'!$B$12,Paramètres!$A$1:$I$89,5,0)</f>
        <v>189.82080000000036</v>
      </c>
      <c r="CA184" s="13">
        <f t="shared" si="170"/>
        <v>47.500332100049881</v>
      </c>
      <c r="CB184" s="20">
        <f t="shared" si="171"/>
        <v>413.33430507425419</v>
      </c>
      <c r="CC184" s="59">
        <f t="shared" si="119"/>
        <v>706.66763840758745</v>
      </c>
      <c r="CD184" s="59">
        <f ca="1">AVERAGE(OFFSET($CC$3,0,0,'Données projet'!$E$12+1,1))-AVERAGE(OFFSET($H$3,0,0,'Données projet'!$E$12+1,1))</f>
        <v>192.4785660463869</v>
      </c>
      <c r="CE184" s="59">
        <f t="shared" si="148"/>
        <v>165.11095806515362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4.0703653520667786E-2</v>
      </c>
      <c r="CL184" s="21">
        <f>EXP(-LN(2)/25)*CL183+(1-EXP(-LN(2)/25))/(LN(2)/25)*Calculateur!CG184*Calculateur!CI184*VLOOKUP('Données projet'!$B$12,Paramètres!$A$1:$I$89,3,0)*0.475*44/12</f>
        <v>7.1751406192509401E-2</v>
      </c>
      <c r="CM184" s="21">
        <f>EXP(-LN(2)/2)*CM183+(1-EXP(-LN(2)/2))/(LN(2)/2)*CG184*CJ184*VLOOKUP('Données projet'!$B$12,Paramètres!$A$1:$I$89,3,0)*0.475*44/12</f>
        <v>1.3705719772263684E-22</v>
      </c>
      <c r="CN184" s="22">
        <f t="shared" si="172"/>
        <v>0.11245505971317718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275.00000000000057</v>
      </c>
      <c r="CU184" s="17">
        <f>CT184*VLOOKUP('Données projet'!$B$13,Paramètres!$A$1:$I$89,3,0)*VLOOKUP('Données projet'!$B$13,Paramètres!$A$1:$I$89,5,0)</f>
        <v>231.66000000000051</v>
      </c>
      <c r="CV184" s="13">
        <f t="shared" si="173"/>
        <v>56.641461975682923</v>
      </c>
      <c r="CW184" s="20">
        <f t="shared" si="174"/>
        <v>502.12504627431525</v>
      </c>
      <c r="CX184" s="59">
        <f t="shared" si="122"/>
        <v>795.45837960764857</v>
      </c>
      <c r="CY184" s="59">
        <f ca="1">AVERAGE(OFFSET($CX$3,0,0,'Données projet'!$E$13+1,1))-AVERAGE(OFFSET($H$3,0,0,'Données projet'!$E$13+1,1))</f>
        <v>247.67539667223065</v>
      </c>
      <c r="CZ184" s="59">
        <f t="shared" si="150"/>
        <v>174.54442616983778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6.4410176999738042E-2</v>
      </c>
      <c r="DG184" s="21">
        <f>EXP(-LN(2)/25)*DG183+(1-EXP(-LN(2)/25))/(LN(2)/25)*Calculateur!DB184*Calculateur!DD184*VLOOKUP('Données projet'!$B$13,Paramètres!$A$1:$I$89,3,0)*0.475*44/12</f>
        <v>9.9922870937294961E-2</v>
      </c>
      <c r="DH184" s="21">
        <f>EXP(-LN(2)/2)*DH183+(1-EXP(-LN(2)/2))/(LN(2)/2)*DB184*DE184*VLOOKUP('Données projet'!$B$13,Paramètres!$A$1:$I$89,3,0)*0.475*44/12</f>
        <v>2.155036279497058E-22</v>
      </c>
      <c r="DI184" s="22">
        <f t="shared" si="175"/>
        <v>0.16433304793703302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-5.6843418860808015E-13</v>
      </c>
      <c r="DP184" s="17">
        <f>DO184*VLOOKUP('Données projet'!$B$14,Paramètres!$A$1:$I$89,3,0)*VLOOKUP('Données projet'!$B$14,Paramètres!$A$1:$I$89,5,0)</f>
        <v>-5.6752469390630732E-13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245.06609107649069</v>
      </c>
      <c r="DU184" s="59">
        <f t="shared" si="152"/>
        <v>156.24531945456499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-2.5579538487363607E-13</v>
      </c>
      <c r="EK184" s="17">
        <f>EJ184*VLOOKUP('Données projet'!$B$15,Paramètres!$A$1:$I$89,3,0)*VLOOKUP('Données projet'!$B$15,Paramètres!$A$1:$I$89,5,0)</f>
        <v>-2.7932856028201057E-13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173.63857221119594</v>
      </c>
      <c r="EP184" s="59">
        <f t="shared" si="154"/>
        <v>52.373745617370105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199.58634493109349</v>
      </c>
      <c r="T185" s="59">
        <f t="shared" si="142"/>
        <v>288.66487031729008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0.24625971107301167</v>
      </c>
      <c r="AA185" s="21">
        <f>EXP(-LN(2)/25)*AA184+(1-EXP(-LN(2)/25))/(LN(2)/25)*Calculateur!V185*Calculateur!X185*VLOOKUP('Données projet'!$B$9,Paramètres!$A$1:$I$89,3,0)*0.475*44/12</f>
        <v>0.25321562644923118</v>
      </c>
      <c r="AB185" s="21">
        <f>EXP(-LN(2)/2)*AB184+(1-EXP(-LN(2)/2))/(LN(2)/2)*V185*Y185*VLOOKUP('Données projet'!$B$9,Paramètres!$A$1:$I$89,3,0)*0.475*44/12</f>
        <v>3.9041625953174973E-23</v>
      </c>
      <c r="AC185" s="22">
        <f t="shared" si="163"/>
        <v>0.49947533752224282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606.99999999999989</v>
      </c>
      <c r="AJ185" s="13">
        <f>AI185*VLOOKUP('Données projet'!$B$10,Paramètres!$A$1:$I$89,3,0)*VLOOKUP('Données projet'!$B$10,Paramètres!$A$1:$I$89,5,0)</f>
        <v>362.98599999999999</v>
      </c>
      <c r="AK185" s="13">
        <f t="shared" si="164"/>
        <v>84.230767602863935</v>
      </c>
      <c r="AL185" s="20">
        <f t="shared" si="165"/>
        <v>778.90253690832139</v>
      </c>
      <c r="AM185" s="59">
        <f t="shared" si="113"/>
        <v>1072.2358702416548</v>
      </c>
      <c r="AN185" s="59">
        <f ca="1">AVERAGE(OFFSET($AM$3,0,0,'Données projet'!$E$10+1,1))-AVERAGE(OFFSET($H$3,0,0,'Données projet'!$E$10+1,1))</f>
        <v>395.40396173178527</v>
      </c>
      <c r="AO185" s="59">
        <f t="shared" si="144"/>
        <v>304.68075128568756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0.14777163324318923</v>
      </c>
      <c r="AV185" s="21">
        <f>EXP(-LN(2)/25)*AV184+(1-EXP(-LN(2)/25))/(LN(2)/25)*Calculateur!AQ185*Calculateur!AS185*VLOOKUP('Données projet'!$B$10,Paramètres!$A$1:$I$89,3,0)*0.475*44/12</f>
        <v>0.27635818908098414</v>
      </c>
      <c r="AW185" s="21">
        <f>EXP(-LN(2)/2)*AW184+(1-EXP(-LN(2)/2))/(LN(2)/2)*AQ185*AT185*VLOOKUP('Données projet'!$B$10,Paramètres!$A$1:$I$89,3,0)*0.475*44/12</f>
        <v>3.4418686539649192E-22</v>
      </c>
      <c r="AX185" s="21">
        <f t="shared" si="166"/>
        <v>0.4241298223241734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36.10000000000008</v>
      </c>
      <c r="BE185" s="13">
        <f>BD185*VLOOKUP('Données projet'!$B$11,Paramètres!$A$1:$I$89,3,0)*VLOOKUP('Données projet'!$B$11,Paramètres!$A$1:$I$89,5,0)</f>
        <v>31.536960000000075</v>
      </c>
      <c r="BF185" s="13">
        <f t="shared" si="167"/>
        <v>9.725440120377133</v>
      </c>
      <c r="BG185" s="20">
        <f t="shared" si="168"/>
        <v>71.865346876323642</v>
      </c>
      <c r="BH185" s="59">
        <f t="shared" si="116"/>
        <v>365.19868020965697</v>
      </c>
      <c r="BI185" s="59">
        <f ca="1">AVERAGE(OFFSET($BH$3,0,0,'Données projet'!$E$11+1,1))-AVERAGE(OFFSET($H$3,0,0,'Données projet'!$E$11+1,1))</f>
        <v>249.21292089724221</v>
      </c>
      <c r="BJ185" s="59">
        <f t="shared" si="146"/>
        <v>640.80644476065254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5.5574467768828741</v>
      </c>
      <c r="BQ185" s="21">
        <f>EXP(-LN(2)/25)*BQ184+(1-EXP(-LN(2)/25))/(LN(2)/25)*Calculateur!BL185*Calculateur!BN185*VLOOKUP('Données projet'!$B$11,Paramètres!$A$1:$I$89,3,0)*0.475*44/12</f>
        <v>1.584324358957762</v>
      </c>
      <c r="BR185" s="21">
        <f>EXP(-LN(2)/2)*BR184+(1-EXP(-LN(2)/2))/(LN(2)/2)*BL185*BO185*VLOOKUP('Données projet'!$B$11,Paramètres!$A$1:$I$89,3,0)*0.475*44/12</f>
        <v>1.0924017403759481E-21</v>
      </c>
      <c r="BS185" s="22">
        <f t="shared" si="169"/>
        <v>7.1417711358406359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234.00000000000045</v>
      </c>
      <c r="BZ185" s="13">
        <f>BY185*VLOOKUP('Données projet'!$B$12,Paramètres!$A$1:$I$89,3,0)*VLOOKUP('Données projet'!$B$12,Paramètres!$A$1:$I$89,5,0)</f>
        <v>189.82080000000036</v>
      </c>
      <c r="CA185" s="13">
        <f t="shared" si="170"/>
        <v>47.500332100049881</v>
      </c>
      <c r="CB185" s="20">
        <f t="shared" si="171"/>
        <v>413.33430507425419</v>
      </c>
      <c r="CC185" s="59">
        <f t="shared" si="119"/>
        <v>706.66763840758745</v>
      </c>
      <c r="CD185" s="59">
        <f ca="1">AVERAGE(OFFSET($CC$3,0,0,'Données projet'!$E$12+1,1))-AVERAGE(OFFSET($H$3,0,0,'Données projet'!$E$12+1,1))</f>
        <v>192.4785660463869</v>
      </c>
      <c r="CE185" s="59">
        <f t="shared" si="148"/>
        <v>165.11095806515362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3.9905479701904695E-2</v>
      </c>
      <c r="CL185" s="21">
        <f>EXP(-LN(2)/25)*CL184+(1-EXP(-LN(2)/25))/(LN(2)/25)*Calculateur!CG185*Calculateur!CI185*VLOOKUP('Données projet'!$B$12,Paramètres!$A$1:$I$89,3,0)*0.475*44/12</f>
        <v>6.9789360216932772E-2</v>
      </c>
      <c r="CM185" s="21">
        <f>EXP(-LN(2)/2)*CM184+(1-EXP(-LN(2)/2))/(LN(2)/2)*CG185*CJ185*VLOOKUP('Données projet'!$B$12,Paramètres!$A$1:$I$89,3,0)*0.475*44/12</f>
        <v>9.6914073920101948E-23</v>
      </c>
      <c r="CN185" s="22">
        <f t="shared" si="172"/>
        <v>0.10969483991883747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275.00000000000057</v>
      </c>
      <c r="CU185" s="17">
        <f>CT185*VLOOKUP('Données projet'!$B$13,Paramètres!$A$1:$I$89,3,0)*VLOOKUP('Données projet'!$B$13,Paramètres!$A$1:$I$89,5,0)</f>
        <v>231.66000000000051</v>
      </c>
      <c r="CV185" s="13">
        <f t="shared" si="173"/>
        <v>56.641461975682923</v>
      </c>
      <c r="CW185" s="20">
        <f t="shared" si="174"/>
        <v>502.12504627431525</v>
      </c>
      <c r="CX185" s="59">
        <f t="shared" si="122"/>
        <v>795.45837960764857</v>
      </c>
      <c r="CY185" s="59">
        <f ca="1">AVERAGE(OFFSET($CX$3,0,0,'Données projet'!$E$13+1,1))-AVERAGE(OFFSET($H$3,0,0,'Données projet'!$E$13+1,1))</f>
        <v>247.67539667223065</v>
      </c>
      <c r="CZ185" s="59">
        <f t="shared" si="150"/>
        <v>174.54442616983778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6.3147132715101945E-2</v>
      </c>
      <c r="DG185" s="21">
        <f>EXP(-LN(2)/25)*DG184+(1-EXP(-LN(2)/25))/(LN(2)/25)*Calculateur!DB185*Calculateur!DD185*VLOOKUP('Données projet'!$B$13,Paramètres!$A$1:$I$89,3,0)*0.475*44/12</f>
        <v>9.7190474776799221E-2</v>
      </c>
      <c r="DH185" s="21">
        <f>EXP(-LN(2)/2)*DH184+(1-EXP(-LN(2)/2))/(LN(2)/2)*DB185*DE185*VLOOKUP('Données projet'!$B$13,Paramètres!$A$1:$I$89,3,0)*0.475*44/12</f>
        <v>1.5238407669353977E-22</v>
      </c>
      <c r="DI185" s="22">
        <f t="shared" si="175"/>
        <v>0.16033760749190118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-5.6843418860808015E-13</v>
      </c>
      <c r="DP185" s="17">
        <f>DO185*VLOOKUP('Données projet'!$B$14,Paramètres!$A$1:$I$89,3,0)*VLOOKUP('Données projet'!$B$14,Paramètres!$A$1:$I$89,5,0)</f>
        <v>-5.6752469390630732E-13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245.06609107649069</v>
      </c>
      <c r="DU185" s="59">
        <f t="shared" si="152"/>
        <v>156.24531945456499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-2.5579538487363607E-13</v>
      </c>
      <c r="EK185" s="17">
        <f>EJ185*VLOOKUP('Données projet'!$B$15,Paramètres!$A$1:$I$89,3,0)*VLOOKUP('Données projet'!$B$15,Paramètres!$A$1:$I$89,5,0)</f>
        <v>-2.7932856028201057E-13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173.63857221119594</v>
      </c>
      <c r="EP185" s="59">
        <f t="shared" si="154"/>
        <v>52.373745617370105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199.58634493109349</v>
      </c>
      <c r="T186" s="59">
        <f t="shared" si="142"/>
        <v>288.66487031729008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0.2414307083424623</v>
      </c>
      <c r="AA186" s="21">
        <f>EXP(-LN(2)/25)*AA185+(1-EXP(-LN(2)/25))/(LN(2)/25)*Calculateur!V186*Calculateur!X186*VLOOKUP('Données projet'!$B$9,Paramètres!$A$1:$I$89,3,0)*0.475*44/12</f>
        <v>0.24629143182794588</v>
      </c>
      <c r="AB186" s="21">
        <f>EXP(-LN(2)/2)*AB185+(1-EXP(-LN(2)/2))/(LN(2)/2)*V186*Y186*VLOOKUP('Données projet'!$B$9,Paramètres!$A$1:$I$89,3,0)*0.475*44/12</f>
        <v>2.760659846003873E-23</v>
      </c>
      <c r="AC186" s="22">
        <f t="shared" si="163"/>
        <v>0.48772214017040816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606.99999999999989</v>
      </c>
      <c r="AJ186" s="13">
        <f>AI186*VLOOKUP('Données projet'!$B$10,Paramètres!$A$1:$I$89,3,0)*VLOOKUP('Données projet'!$B$10,Paramètres!$A$1:$I$89,5,0)</f>
        <v>362.98599999999999</v>
      </c>
      <c r="AK186" s="13">
        <f t="shared" si="164"/>
        <v>84.230767602863935</v>
      </c>
      <c r="AL186" s="20">
        <f t="shared" si="165"/>
        <v>778.90253690832139</v>
      </c>
      <c r="AM186" s="59">
        <f t="shared" si="113"/>
        <v>1072.2358702416548</v>
      </c>
      <c r="AN186" s="59">
        <f ca="1">AVERAGE(OFFSET($AM$3,0,0,'Données projet'!$E$10+1,1))-AVERAGE(OFFSET($H$3,0,0,'Données projet'!$E$10+1,1))</f>
        <v>395.40396173178527</v>
      </c>
      <c r="AO186" s="59">
        <f t="shared" si="144"/>
        <v>304.68075128568756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0.14487392164708679</v>
      </c>
      <c r="AV186" s="21">
        <f>EXP(-LN(2)/25)*AV185+(1-EXP(-LN(2)/25))/(LN(2)/25)*Calculateur!AQ186*Calculateur!AS186*VLOOKUP('Données projet'!$B$10,Paramètres!$A$1:$I$89,3,0)*0.475*44/12</f>
        <v>0.26880115986751907</v>
      </c>
      <c r="AW186" s="21">
        <f>EXP(-LN(2)/2)*AW185+(1-EXP(-LN(2)/2))/(LN(2)/2)*AQ186*AT186*VLOOKUP('Données projet'!$B$10,Paramètres!$A$1:$I$89,3,0)*0.475*44/12</f>
        <v>2.4337686651720089E-22</v>
      </c>
      <c r="AX186" s="21">
        <f t="shared" si="166"/>
        <v>0.41367508151460586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36.10000000000008</v>
      </c>
      <c r="BE186" s="13">
        <f>BD186*VLOOKUP('Données projet'!$B$11,Paramètres!$A$1:$I$89,3,0)*VLOOKUP('Données projet'!$B$11,Paramètres!$A$1:$I$89,5,0)</f>
        <v>31.536960000000075</v>
      </c>
      <c r="BF186" s="13">
        <f t="shared" si="167"/>
        <v>9.725440120377133</v>
      </c>
      <c r="BG186" s="20">
        <f t="shared" si="168"/>
        <v>71.865346876323642</v>
      </c>
      <c r="BH186" s="59">
        <f t="shared" si="116"/>
        <v>365.19868020965697</v>
      </c>
      <c r="BI186" s="59">
        <f ca="1">AVERAGE(OFFSET($BH$3,0,0,'Données projet'!$E$11+1,1))-AVERAGE(OFFSET($H$3,0,0,'Données projet'!$E$11+1,1))</f>
        <v>249.21292089724221</v>
      </c>
      <c r="BJ186" s="59">
        <f t="shared" si="146"/>
        <v>640.80644476065254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5.4484686352960292</v>
      </c>
      <c r="BQ186" s="21">
        <f>EXP(-LN(2)/25)*BQ185+(1-EXP(-LN(2)/25))/(LN(2)/25)*Calculateur!BL186*Calculateur!BN186*VLOOKUP('Données projet'!$B$11,Paramètres!$A$1:$I$89,3,0)*0.475*44/12</f>
        <v>1.5410009260460651</v>
      </c>
      <c r="BR186" s="21">
        <f>EXP(-LN(2)/2)*BR185+(1-EXP(-LN(2)/2))/(LN(2)/2)*BL186*BO186*VLOOKUP('Données projet'!$B$11,Paramètres!$A$1:$I$89,3,0)*0.475*44/12</f>
        <v>7.7244467839981924E-22</v>
      </c>
      <c r="BS186" s="22">
        <f t="shared" si="169"/>
        <v>6.9894695613420943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234.00000000000045</v>
      </c>
      <c r="BZ186" s="13">
        <f>BY186*VLOOKUP('Données projet'!$B$12,Paramètres!$A$1:$I$89,3,0)*VLOOKUP('Données projet'!$B$12,Paramètres!$A$1:$I$89,5,0)</f>
        <v>189.82080000000036</v>
      </c>
      <c r="CA186" s="13">
        <f t="shared" si="170"/>
        <v>47.500332100049881</v>
      </c>
      <c r="CB186" s="20">
        <f t="shared" si="171"/>
        <v>413.33430507425419</v>
      </c>
      <c r="CC186" s="59">
        <f t="shared" si="119"/>
        <v>706.66763840758745</v>
      </c>
      <c r="CD186" s="59">
        <f ca="1">AVERAGE(OFFSET($CC$3,0,0,'Données projet'!$E$12+1,1))-AVERAGE(OFFSET($H$3,0,0,'Données projet'!$E$12+1,1))</f>
        <v>192.4785660463869</v>
      </c>
      <c r="CE186" s="59">
        <f t="shared" si="148"/>
        <v>165.11095806515362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3.9122957584889595E-2</v>
      </c>
      <c r="CL186" s="21">
        <f>EXP(-LN(2)/25)*CL185+(1-EXP(-LN(2)/25))/(LN(2)/25)*Calculateur!CG186*Calculateur!CI186*VLOOKUP('Données projet'!$B$12,Paramètres!$A$1:$I$89,3,0)*0.475*44/12</f>
        <v>6.7880966491737804E-2</v>
      </c>
      <c r="CM186" s="21">
        <f>EXP(-LN(2)/2)*CM185+(1-EXP(-LN(2)/2))/(LN(2)/2)*CG186*CJ186*VLOOKUP('Données projet'!$B$12,Paramètres!$A$1:$I$89,3,0)*0.475*44/12</f>
        <v>6.8528598861318419E-23</v>
      </c>
      <c r="CN186" s="22">
        <f t="shared" si="172"/>
        <v>0.1070039240766274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275.00000000000057</v>
      </c>
      <c r="CU186" s="17">
        <f>CT186*VLOOKUP('Données projet'!$B$13,Paramètres!$A$1:$I$89,3,0)*VLOOKUP('Données projet'!$B$13,Paramètres!$A$1:$I$89,5,0)</f>
        <v>231.66000000000051</v>
      </c>
      <c r="CV186" s="13">
        <f t="shared" si="173"/>
        <v>56.641461975682923</v>
      </c>
      <c r="CW186" s="20">
        <f t="shared" si="174"/>
        <v>502.12504627431525</v>
      </c>
      <c r="CX186" s="59">
        <f t="shared" si="122"/>
        <v>795.45837960764857</v>
      </c>
      <c r="CY186" s="59">
        <f ca="1">AVERAGE(OFFSET($CX$3,0,0,'Données projet'!$E$13+1,1))-AVERAGE(OFFSET($H$3,0,0,'Données projet'!$E$13+1,1))</f>
        <v>247.67539667223065</v>
      </c>
      <c r="CZ186" s="59">
        <f t="shared" si="150"/>
        <v>174.54442616983778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6.190885595850662E-2</v>
      </c>
      <c r="DG186" s="21">
        <f>EXP(-LN(2)/25)*DG185+(1-EXP(-LN(2)/25))/(LN(2)/25)*Calculateur!DB186*Calculateur!DD186*VLOOKUP('Données projet'!$B$13,Paramètres!$A$1:$I$89,3,0)*0.475*44/12</f>
        <v>9.4532796133002708E-2</v>
      </c>
      <c r="DH186" s="21">
        <f>EXP(-LN(2)/2)*DH185+(1-EXP(-LN(2)/2))/(LN(2)/2)*DB186*DE186*VLOOKUP('Données projet'!$B$13,Paramètres!$A$1:$I$89,3,0)*0.475*44/12</f>
        <v>1.077518139748529E-22</v>
      </c>
      <c r="DI186" s="22">
        <f t="shared" si="175"/>
        <v>0.15644165209150934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-5.6843418860808015E-13</v>
      </c>
      <c r="DP186" s="17">
        <f>DO186*VLOOKUP('Données projet'!$B$14,Paramètres!$A$1:$I$89,3,0)*VLOOKUP('Données projet'!$B$14,Paramètres!$A$1:$I$89,5,0)</f>
        <v>-5.6752469390630732E-13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245.06609107649069</v>
      </c>
      <c r="DU186" s="59">
        <f t="shared" si="152"/>
        <v>156.24531945456499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-2.5579538487363607E-13</v>
      </c>
      <c r="EK186" s="17">
        <f>EJ186*VLOOKUP('Données projet'!$B$15,Paramètres!$A$1:$I$89,3,0)*VLOOKUP('Données projet'!$B$15,Paramètres!$A$1:$I$89,5,0)</f>
        <v>-2.7932856028201057E-13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173.63857221119594</v>
      </c>
      <c r="EP186" s="59">
        <f t="shared" si="154"/>
        <v>52.373745617370105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199.58634493109349</v>
      </c>
      <c r="T187" s="59">
        <f t="shared" si="142"/>
        <v>288.66487031729008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0.23669639941005816</v>
      </c>
      <c r="AA187" s="21">
        <f>EXP(-LN(2)/25)*AA186+(1-EXP(-LN(2)/25))/(LN(2)/25)*Calculateur!V187*Calculateur!X187*VLOOKUP('Données projet'!$B$9,Paramètres!$A$1:$I$89,3,0)*0.475*44/12</f>
        <v>0.23955657967270721</v>
      </c>
      <c r="AB187" s="21">
        <f>EXP(-LN(2)/2)*AB186+(1-EXP(-LN(2)/2))/(LN(2)/2)*V187*Y187*VLOOKUP('Données projet'!$B$9,Paramètres!$A$1:$I$89,3,0)*0.475*44/12</f>
        <v>1.9520812976587486E-23</v>
      </c>
      <c r="AC187" s="22">
        <f t="shared" si="163"/>
        <v>0.47625297908276537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606.99999999999989</v>
      </c>
      <c r="AJ187" s="13">
        <f>AI187*VLOOKUP('Données projet'!$B$10,Paramètres!$A$1:$I$89,3,0)*VLOOKUP('Données projet'!$B$10,Paramètres!$A$1:$I$89,5,0)</f>
        <v>362.98599999999999</v>
      </c>
      <c r="AK187" s="13">
        <f t="shared" si="164"/>
        <v>84.230767602863935</v>
      </c>
      <c r="AL187" s="20">
        <f t="shared" si="165"/>
        <v>778.90253690832139</v>
      </c>
      <c r="AM187" s="59">
        <f t="shared" si="113"/>
        <v>1072.2358702416548</v>
      </c>
      <c r="AN187" s="59">
        <f ca="1">AVERAGE(OFFSET($AM$3,0,0,'Données projet'!$E$10+1,1))-AVERAGE(OFFSET($H$3,0,0,'Données projet'!$E$10+1,1))</f>
        <v>395.40396173178527</v>
      </c>
      <c r="AO187" s="59">
        <f t="shared" si="144"/>
        <v>304.68075128568756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0.14203303240795437</v>
      </c>
      <c r="AV187" s="21">
        <f>EXP(-LN(2)/25)*AV186+(1-EXP(-LN(2)/25))/(LN(2)/25)*Calculateur!AQ187*Calculateur!AS187*VLOOKUP('Données projet'!$B$10,Paramètres!$A$1:$I$89,3,0)*0.475*44/12</f>
        <v>0.26145077801530314</v>
      </c>
      <c r="AW187" s="21">
        <f>EXP(-LN(2)/2)*AW186+(1-EXP(-LN(2)/2))/(LN(2)/2)*AQ187*AT187*VLOOKUP('Données projet'!$B$10,Paramètres!$A$1:$I$89,3,0)*0.475*44/12</f>
        <v>1.7209343269824596E-22</v>
      </c>
      <c r="AX187" s="21">
        <f t="shared" si="166"/>
        <v>0.40348381042325754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36.10000000000008</v>
      </c>
      <c r="BE187" s="13">
        <f>BD187*VLOOKUP('Données projet'!$B$11,Paramètres!$A$1:$I$89,3,0)*VLOOKUP('Données projet'!$B$11,Paramètres!$A$1:$I$89,5,0)</f>
        <v>31.536960000000075</v>
      </c>
      <c r="BF187" s="13">
        <f t="shared" si="167"/>
        <v>9.725440120377133</v>
      </c>
      <c r="BG187" s="20">
        <f t="shared" si="168"/>
        <v>71.865346876323642</v>
      </c>
      <c r="BH187" s="59">
        <f t="shared" si="116"/>
        <v>365.19868020965697</v>
      </c>
      <c r="BI187" s="59">
        <f ca="1">AVERAGE(OFFSET($BH$3,0,0,'Données projet'!$E$11+1,1))-AVERAGE(OFFSET($H$3,0,0,'Données projet'!$E$11+1,1))</f>
        <v>249.21292089724221</v>
      </c>
      <c r="BJ187" s="59">
        <f t="shared" si="146"/>
        <v>640.80644476065254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5.3416274885955994</v>
      </c>
      <c r="BQ187" s="21">
        <f>EXP(-LN(2)/25)*BQ186+(1-EXP(-LN(2)/25))/(LN(2)/25)*Calculateur!BL187*Calculateur!BN187*VLOOKUP('Données projet'!$B$11,Paramètres!$A$1:$I$89,3,0)*0.475*44/12</f>
        <v>1.4988621746856188</v>
      </c>
      <c r="BR187" s="21">
        <f>EXP(-LN(2)/2)*BR186+(1-EXP(-LN(2)/2))/(LN(2)/2)*BL187*BO187*VLOOKUP('Données projet'!$B$11,Paramètres!$A$1:$I$89,3,0)*0.475*44/12</f>
        <v>5.4620087018797405E-22</v>
      </c>
      <c r="BS187" s="22">
        <f t="shared" si="169"/>
        <v>6.8404896632812182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234.00000000000045</v>
      </c>
      <c r="BZ187" s="13">
        <f>BY187*VLOOKUP('Données projet'!$B$12,Paramètres!$A$1:$I$89,3,0)*VLOOKUP('Données projet'!$B$12,Paramètres!$A$1:$I$89,5,0)</f>
        <v>189.82080000000036</v>
      </c>
      <c r="CA187" s="13">
        <f t="shared" si="170"/>
        <v>47.500332100049881</v>
      </c>
      <c r="CB187" s="20">
        <f t="shared" si="171"/>
        <v>413.33430507425419</v>
      </c>
      <c r="CC187" s="59">
        <f t="shared" si="119"/>
        <v>706.66763840758745</v>
      </c>
      <c r="CD187" s="59">
        <f ca="1">AVERAGE(OFFSET($CC$3,0,0,'Données projet'!$E$12+1,1))-AVERAGE(OFFSET($H$3,0,0,'Données projet'!$E$12+1,1))</f>
        <v>192.4785660463869</v>
      </c>
      <c r="CE187" s="59">
        <f t="shared" si="148"/>
        <v>165.11095806515362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3.8355780249297797E-2</v>
      </c>
      <c r="CL187" s="21">
        <f>EXP(-LN(2)/25)*CL186+(1-EXP(-LN(2)/25))/(LN(2)/25)*Calculateur!CG187*Calculateur!CI187*VLOOKUP('Données projet'!$B$12,Paramètres!$A$1:$I$89,3,0)*0.475*44/12</f>
        <v>6.6024757893316355E-2</v>
      </c>
      <c r="CM187" s="21">
        <f>EXP(-LN(2)/2)*CM186+(1-EXP(-LN(2)/2))/(LN(2)/2)*CG187*CJ187*VLOOKUP('Données projet'!$B$12,Paramètres!$A$1:$I$89,3,0)*0.475*44/12</f>
        <v>4.8457036960050974E-23</v>
      </c>
      <c r="CN187" s="22">
        <f t="shared" si="172"/>
        <v>0.10438053814261415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275.00000000000057</v>
      </c>
      <c r="CU187" s="17">
        <f>CT187*VLOOKUP('Données projet'!$B$13,Paramètres!$A$1:$I$89,3,0)*VLOOKUP('Données projet'!$B$13,Paramètres!$A$1:$I$89,5,0)</f>
        <v>231.66000000000051</v>
      </c>
      <c r="CV187" s="13">
        <f t="shared" si="173"/>
        <v>56.641461975682923</v>
      </c>
      <c r="CW187" s="20">
        <f t="shared" si="174"/>
        <v>502.12504627431525</v>
      </c>
      <c r="CX187" s="59">
        <f t="shared" si="122"/>
        <v>795.45837960764857</v>
      </c>
      <c r="CY187" s="59">
        <f ca="1">AVERAGE(OFFSET($CX$3,0,0,'Données projet'!$E$13+1,1))-AVERAGE(OFFSET($H$3,0,0,'Données projet'!$E$13+1,1))</f>
        <v>247.67539667223065</v>
      </c>
      <c r="CZ187" s="59">
        <f t="shared" si="150"/>
        <v>174.54442616983778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6.0694861053833885E-2</v>
      </c>
      <c r="DG187" s="21">
        <f>EXP(-LN(2)/25)*DG186+(1-EXP(-LN(2)/25))/(LN(2)/25)*Calculateur!DB187*Calculateur!DD187*VLOOKUP('Données projet'!$B$13,Paramètres!$A$1:$I$89,3,0)*0.475*44/12</f>
        <v>9.1947791851482052E-2</v>
      </c>
      <c r="DH187" s="21">
        <f>EXP(-LN(2)/2)*DH186+(1-EXP(-LN(2)/2))/(LN(2)/2)*DB187*DE187*VLOOKUP('Données projet'!$B$13,Paramètres!$A$1:$I$89,3,0)*0.475*44/12</f>
        <v>7.6192038346769886E-23</v>
      </c>
      <c r="DI187" s="22">
        <f t="shared" si="175"/>
        <v>0.15264265290531592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-5.6843418860808015E-13</v>
      </c>
      <c r="DP187" s="17">
        <f>DO187*VLOOKUP('Données projet'!$B$14,Paramètres!$A$1:$I$89,3,0)*VLOOKUP('Données projet'!$B$14,Paramètres!$A$1:$I$89,5,0)</f>
        <v>-5.6752469390630732E-13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245.06609107649069</v>
      </c>
      <c r="DU187" s="59">
        <f t="shared" si="152"/>
        <v>156.24531945456499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-2.5579538487363607E-13</v>
      </c>
      <c r="EK187" s="17">
        <f>EJ187*VLOOKUP('Données projet'!$B$15,Paramètres!$A$1:$I$89,3,0)*VLOOKUP('Données projet'!$B$15,Paramètres!$A$1:$I$89,5,0)</f>
        <v>-2.7932856028201057E-13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173.63857221119594</v>
      </c>
      <c r="EP187" s="59">
        <f t="shared" si="154"/>
        <v>52.373745617370105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199.58634493109349</v>
      </c>
      <c r="T188" s="59">
        <f t="shared" si="142"/>
        <v>288.66487031729008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0.23205492738817515</v>
      </c>
      <c r="AA188" s="21">
        <f>EXP(-LN(2)/25)*AA187+(1-EXP(-LN(2)/25))/(LN(2)/25)*Calculateur!V188*Calculateur!X188*VLOOKUP('Données projet'!$B$9,Paramètres!$A$1:$I$89,3,0)*0.475*44/12</f>
        <v>0.23300589240382402</v>
      </c>
      <c r="AB188" s="21">
        <f>EXP(-LN(2)/2)*AB187+(1-EXP(-LN(2)/2))/(LN(2)/2)*V188*Y188*VLOOKUP('Données projet'!$B$9,Paramètres!$A$1:$I$89,3,0)*0.475*44/12</f>
        <v>1.3803299230019365E-23</v>
      </c>
      <c r="AC188" s="22">
        <f t="shared" si="163"/>
        <v>0.4650608197919992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606.99999999999989</v>
      </c>
      <c r="AJ188" s="13">
        <f>AI188*VLOOKUP('Données projet'!$B$10,Paramètres!$A$1:$I$89,3,0)*VLOOKUP('Données projet'!$B$10,Paramètres!$A$1:$I$89,5,0)</f>
        <v>362.98599999999999</v>
      </c>
      <c r="AK188" s="13">
        <f t="shared" si="164"/>
        <v>84.230767602863935</v>
      </c>
      <c r="AL188" s="20">
        <f t="shared" si="165"/>
        <v>778.90253690832139</v>
      </c>
      <c r="AM188" s="59">
        <f t="shared" si="113"/>
        <v>1072.2358702416548</v>
      </c>
      <c r="AN188" s="59">
        <f ca="1">AVERAGE(OFFSET($AM$3,0,0,'Données projet'!$E$10+1,1))-AVERAGE(OFFSET($H$3,0,0,'Données projet'!$E$10+1,1))</f>
        <v>395.40396173178527</v>
      </c>
      <c r="AO188" s="59">
        <f t="shared" si="144"/>
        <v>304.68075128568756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0.13924785127403</v>
      </c>
      <c r="AV188" s="21">
        <f>EXP(-LN(2)/25)*AV187+(1-EXP(-LN(2)/25))/(LN(2)/25)*Calculateur!AQ188*Calculateur!AS188*VLOOKUP('Données projet'!$B$10,Paramètres!$A$1:$I$89,3,0)*0.475*44/12</f>
        <v>0.25430139274137581</v>
      </c>
      <c r="AW188" s="21">
        <f>EXP(-LN(2)/2)*AW187+(1-EXP(-LN(2)/2))/(LN(2)/2)*AQ188*AT188*VLOOKUP('Données projet'!$B$10,Paramètres!$A$1:$I$89,3,0)*0.475*44/12</f>
        <v>1.2168843325860044E-22</v>
      </c>
      <c r="AX188" s="21">
        <f t="shared" si="166"/>
        <v>0.39354924401540581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36.10000000000008</v>
      </c>
      <c r="BE188" s="13">
        <f>BD188*VLOOKUP('Données projet'!$B$11,Paramètres!$A$1:$I$89,3,0)*VLOOKUP('Données projet'!$B$11,Paramètres!$A$1:$I$89,5,0)</f>
        <v>31.536960000000075</v>
      </c>
      <c r="BF188" s="13">
        <f t="shared" si="167"/>
        <v>9.725440120377133</v>
      </c>
      <c r="BG188" s="20">
        <f t="shared" si="168"/>
        <v>71.865346876323642</v>
      </c>
      <c r="BH188" s="59">
        <f t="shared" si="116"/>
        <v>365.19868020965697</v>
      </c>
      <c r="BI188" s="59">
        <f ca="1">AVERAGE(OFFSET($BH$3,0,0,'Données projet'!$E$11+1,1))-AVERAGE(OFFSET($H$3,0,0,'Données projet'!$E$11+1,1))</f>
        <v>249.21292089724221</v>
      </c>
      <c r="BJ188" s="59">
        <f t="shared" si="146"/>
        <v>640.80644476065254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5.2368814316153003</v>
      </c>
      <c r="BQ188" s="21">
        <f>EXP(-LN(2)/25)*BQ187+(1-EXP(-LN(2)/25))/(LN(2)/25)*Calculateur!BL188*Calculateur!BN188*VLOOKUP('Données projet'!$B$11,Paramètres!$A$1:$I$89,3,0)*0.475*44/12</f>
        <v>1.4578757096971044</v>
      </c>
      <c r="BR188" s="21">
        <f>EXP(-LN(2)/2)*BR187+(1-EXP(-LN(2)/2))/(LN(2)/2)*BL188*BO188*VLOOKUP('Données projet'!$B$11,Paramètres!$A$1:$I$89,3,0)*0.475*44/12</f>
        <v>3.8622233919990962E-22</v>
      </c>
      <c r="BS188" s="22">
        <f t="shared" si="169"/>
        <v>6.6947571413124045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234.00000000000045</v>
      </c>
      <c r="BZ188" s="13">
        <f>BY188*VLOOKUP('Données projet'!$B$12,Paramètres!$A$1:$I$89,3,0)*VLOOKUP('Données projet'!$B$12,Paramètres!$A$1:$I$89,5,0)</f>
        <v>189.82080000000036</v>
      </c>
      <c r="CA188" s="13">
        <f t="shared" si="170"/>
        <v>47.500332100049881</v>
      </c>
      <c r="CB188" s="20">
        <f t="shared" si="171"/>
        <v>413.33430507425419</v>
      </c>
      <c r="CC188" s="59">
        <f t="shared" si="119"/>
        <v>706.66763840758745</v>
      </c>
      <c r="CD188" s="59">
        <f ca="1">AVERAGE(OFFSET($CC$3,0,0,'Données projet'!$E$12+1,1))-AVERAGE(OFFSET($H$3,0,0,'Données projet'!$E$12+1,1))</f>
        <v>192.4785660463869</v>
      </c>
      <c r="CE188" s="59">
        <f t="shared" si="148"/>
        <v>165.11095806515362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3.760364679332498E-2</v>
      </c>
      <c r="CL188" s="21">
        <f>EXP(-LN(2)/25)*CL187+(1-EXP(-LN(2)/25))/(LN(2)/25)*Calculateur!CG188*Calculateur!CI188*VLOOKUP('Données projet'!$B$12,Paramètres!$A$1:$I$89,3,0)*0.475*44/12</f>
        <v>6.421930741663251E-2</v>
      </c>
      <c r="CM188" s="21">
        <f>EXP(-LN(2)/2)*CM187+(1-EXP(-LN(2)/2))/(LN(2)/2)*CG188*CJ188*VLOOKUP('Données projet'!$B$12,Paramètres!$A$1:$I$89,3,0)*0.475*44/12</f>
        <v>3.4264299430659209E-23</v>
      </c>
      <c r="CN188" s="22">
        <f t="shared" si="172"/>
        <v>0.10182295420995749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275.00000000000057</v>
      </c>
      <c r="CU188" s="17">
        <f>CT188*VLOOKUP('Données projet'!$B$13,Paramètres!$A$1:$I$89,3,0)*VLOOKUP('Données projet'!$B$13,Paramètres!$A$1:$I$89,5,0)</f>
        <v>231.66000000000051</v>
      </c>
      <c r="CV188" s="13">
        <f t="shared" si="173"/>
        <v>56.641461975682923</v>
      </c>
      <c r="CW188" s="20">
        <f t="shared" si="174"/>
        <v>502.12504627431525</v>
      </c>
      <c r="CX188" s="59">
        <f t="shared" si="122"/>
        <v>795.45837960764857</v>
      </c>
      <c r="CY188" s="59">
        <f ca="1">AVERAGE(OFFSET($CX$3,0,0,'Données projet'!$E$13+1,1))-AVERAGE(OFFSET($H$3,0,0,'Données projet'!$E$13+1,1))</f>
        <v>247.67539667223065</v>
      </c>
      <c r="CZ188" s="59">
        <f t="shared" si="150"/>
        <v>174.54442616983778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5.9504671848778001E-2</v>
      </c>
      <c r="DG188" s="21">
        <f>EXP(-LN(2)/25)*DG187+(1-EXP(-LN(2)/25))/(LN(2)/25)*Calculateur!DB188*Calculateur!DD188*VLOOKUP('Données projet'!$B$13,Paramètres!$A$1:$I$89,3,0)*0.475*44/12</f>
        <v>8.9433474647979058E-2</v>
      </c>
      <c r="DH188" s="21">
        <f>EXP(-LN(2)/2)*DH187+(1-EXP(-LN(2)/2))/(LN(2)/2)*DB188*DE188*VLOOKUP('Données projet'!$B$13,Paramètres!$A$1:$I$89,3,0)*0.475*44/12</f>
        <v>5.3875906987426451E-23</v>
      </c>
      <c r="DI188" s="22">
        <f t="shared" si="175"/>
        <v>0.14893814649675707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-5.6843418860808015E-13</v>
      </c>
      <c r="DP188" s="17">
        <f>DO188*VLOOKUP('Données projet'!$B$14,Paramètres!$A$1:$I$89,3,0)*VLOOKUP('Données projet'!$B$14,Paramètres!$A$1:$I$89,5,0)</f>
        <v>-5.6752469390630732E-13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245.06609107649069</v>
      </c>
      <c r="DU188" s="59">
        <f t="shared" si="152"/>
        <v>156.24531945456499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-2.5579538487363607E-13</v>
      </c>
      <c r="EK188" s="17">
        <f>EJ188*VLOOKUP('Données projet'!$B$15,Paramètres!$A$1:$I$89,3,0)*VLOOKUP('Données projet'!$B$15,Paramètres!$A$1:$I$89,5,0)</f>
        <v>-2.7932856028201057E-13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173.63857221119594</v>
      </c>
      <c r="EP188" s="59">
        <f t="shared" si="154"/>
        <v>52.373745617370105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199.58634493109349</v>
      </c>
      <c r="T189" s="59">
        <f t="shared" si="142"/>
        <v>288.66487031729008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0.22750447180162287</v>
      </c>
      <c r="AA189" s="21">
        <f>EXP(-LN(2)/25)*AA188+(1-EXP(-LN(2)/25))/(LN(2)/25)*Calculateur!V189*Calculateur!X189*VLOOKUP('Données projet'!$B$9,Paramètres!$A$1:$I$89,3,0)*0.475*44/12</f>
        <v>0.22663433402279412</v>
      </c>
      <c r="AB189" s="21">
        <f>EXP(-LN(2)/2)*AB188+(1-EXP(-LN(2)/2))/(LN(2)/2)*V189*Y189*VLOOKUP('Données projet'!$B$9,Paramètres!$A$1:$I$89,3,0)*0.475*44/12</f>
        <v>9.7604064882937432E-24</v>
      </c>
      <c r="AC189" s="22">
        <f t="shared" si="163"/>
        <v>0.45413880582441701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606.99999999999989</v>
      </c>
      <c r="AJ189" s="13">
        <f>AI189*VLOOKUP('Données projet'!$B$10,Paramètres!$A$1:$I$89,3,0)*VLOOKUP('Données projet'!$B$10,Paramètres!$A$1:$I$89,5,0)</f>
        <v>362.98599999999999</v>
      </c>
      <c r="AK189" s="13">
        <f t="shared" si="164"/>
        <v>84.230767602863935</v>
      </c>
      <c r="AL189" s="20">
        <f t="shared" si="165"/>
        <v>778.90253690832139</v>
      </c>
      <c r="AM189" s="59">
        <f t="shared" si="113"/>
        <v>1072.2358702416548</v>
      </c>
      <c r="AN189" s="59">
        <f ca="1">AVERAGE(OFFSET($AM$3,0,0,'Données projet'!$E$10+1,1))-AVERAGE(OFFSET($H$3,0,0,'Données projet'!$E$10+1,1))</f>
        <v>395.40396173178527</v>
      </c>
      <c r="AO189" s="59">
        <f t="shared" si="144"/>
        <v>304.68075128568756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0.13651728584334913</v>
      </c>
      <c r="AV189" s="21">
        <f>EXP(-LN(2)/25)*AV188+(1-EXP(-LN(2)/25))/(LN(2)/25)*Calculateur!AQ189*Calculateur!AS189*VLOOKUP('Données projet'!$B$10,Paramètres!$A$1:$I$89,3,0)*0.475*44/12</f>
        <v>0.24734750778373385</v>
      </c>
      <c r="AW189" s="21">
        <f>EXP(-LN(2)/2)*AW188+(1-EXP(-LN(2)/2))/(LN(2)/2)*AQ189*AT189*VLOOKUP('Données projet'!$B$10,Paramètres!$A$1:$I$89,3,0)*0.475*44/12</f>
        <v>8.6046716349122979E-23</v>
      </c>
      <c r="AX189" s="21">
        <f t="shared" si="166"/>
        <v>0.38386479362708298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36.10000000000008</v>
      </c>
      <c r="BE189" s="13">
        <f>BD189*VLOOKUP('Données projet'!$B$11,Paramètres!$A$1:$I$89,3,0)*VLOOKUP('Données projet'!$B$11,Paramètres!$A$1:$I$89,5,0)</f>
        <v>31.536960000000075</v>
      </c>
      <c r="BF189" s="13">
        <f t="shared" si="167"/>
        <v>9.725440120377133</v>
      </c>
      <c r="BG189" s="20">
        <f t="shared" si="168"/>
        <v>71.865346876323642</v>
      </c>
      <c r="BH189" s="59">
        <f t="shared" si="116"/>
        <v>365.19868020965697</v>
      </c>
      <c r="BI189" s="59">
        <f ca="1">AVERAGE(OFFSET($BH$3,0,0,'Données projet'!$E$11+1,1))-AVERAGE(OFFSET($H$3,0,0,'Données projet'!$E$11+1,1))</f>
        <v>249.21292089724221</v>
      </c>
      <c r="BJ189" s="59">
        <f t="shared" si="146"/>
        <v>640.80644476065254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5.1341893809235986</v>
      </c>
      <c r="BQ189" s="21">
        <f>EXP(-LN(2)/25)*BQ188+(1-EXP(-LN(2)/25))/(LN(2)/25)*Calculateur!BL189*Calculateur!BN189*VLOOKUP('Données projet'!$B$11,Paramètres!$A$1:$I$89,3,0)*0.475*44/12</f>
        <v>1.4180100217490856</v>
      </c>
      <c r="BR189" s="21">
        <f>EXP(-LN(2)/2)*BR188+(1-EXP(-LN(2)/2))/(LN(2)/2)*BL189*BO189*VLOOKUP('Données projet'!$B$11,Paramètres!$A$1:$I$89,3,0)*0.475*44/12</f>
        <v>2.7310043509398702E-22</v>
      </c>
      <c r="BS189" s="22">
        <f t="shared" si="169"/>
        <v>6.5521994026726844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234.00000000000045</v>
      </c>
      <c r="BZ189" s="13">
        <f>BY189*VLOOKUP('Données projet'!$B$12,Paramètres!$A$1:$I$89,3,0)*VLOOKUP('Données projet'!$B$12,Paramètres!$A$1:$I$89,5,0)</f>
        <v>189.82080000000036</v>
      </c>
      <c r="CA189" s="13">
        <f t="shared" si="170"/>
        <v>47.500332100049881</v>
      </c>
      <c r="CB189" s="20">
        <f t="shared" si="171"/>
        <v>413.33430507425419</v>
      </c>
      <c r="CC189" s="59">
        <f t="shared" si="119"/>
        <v>706.66763840758745</v>
      </c>
      <c r="CD189" s="59">
        <f ca="1">AVERAGE(OFFSET($CC$3,0,0,'Données projet'!$E$12+1,1))-AVERAGE(OFFSET($H$3,0,0,'Données projet'!$E$12+1,1))</f>
        <v>192.4785660463869</v>
      </c>
      <c r="CE189" s="59">
        <f t="shared" si="148"/>
        <v>165.11095806515362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3.6866262215667682E-2</v>
      </c>
      <c r="CL189" s="21">
        <f>EXP(-LN(2)/25)*CL188+(1-EXP(-LN(2)/25))/(LN(2)/25)*Calculateur!CG189*Calculateur!CI189*VLOOKUP('Données projet'!$B$12,Paramètres!$A$1:$I$89,3,0)*0.475*44/12</f>
        <v>6.2463227078178092E-2</v>
      </c>
      <c r="CM189" s="21">
        <f>EXP(-LN(2)/2)*CM188+(1-EXP(-LN(2)/2))/(LN(2)/2)*CG189*CJ189*VLOOKUP('Données projet'!$B$12,Paramètres!$A$1:$I$89,3,0)*0.475*44/12</f>
        <v>2.4228518480025487E-23</v>
      </c>
      <c r="CN189" s="22">
        <f t="shared" si="172"/>
        <v>9.9329489293845774E-2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275.00000000000057</v>
      </c>
      <c r="CU189" s="17">
        <f>CT189*VLOOKUP('Données projet'!$B$13,Paramètres!$A$1:$I$89,3,0)*VLOOKUP('Données projet'!$B$13,Paramètres!$A$1:$I$89,5,0)</f>
        <v>231.66000000000051</v>
      </c>
      <c r="CV189" s="13">
        <f t="shared" si="173"/>
        <v>56.641461975682923</v>
      </c>
      <c r="CW189" s="20">
        <f t="shared" si="174"/>
        <v>502.12504627431525</v>
      </c>
      <c r="CX189" s="59">
        <f t="shared" si="122"/>
        <v>795.45837960764857</v>
      </c>
      <c r="CY189" s="59">
        <f ca="1">AVERAGE(OFFSET($CX$3,0,0,'Données projet'!$E$13+1,1))-AVERAGE(OFFSET($H$3,0,0,'Données projet'!$E$13+1,1))</f>
        <v>247.67539667223065</v>
      </c>
      <c r="CZ189" s="59">
        <f t="shared" si="150"/>
        <v>174.54442616983778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5.8337821528089528E-2</v>
      </c>
      <c r="DG189" s="21">
        <f>EXP(-LN(2)/25)*DG188+(1-EXP(-LN(2)/25))/(LN(2)/25)*Calculateur!DB189*Calculateur!DD189*VLOOKUP('Données projet'!$B$13,Paramètres!$A$1:$I$89,3,0)*0.475*44/12</f>
        <v>8.6987911580628047E-2</v>
      </c>
      <c r="DH189" s="21">
        <f>EXP(-LN(2)/2)*DH188+(1-EXP(-LN(2)/2))/(LN(2)/2)*DB189*DE189*VLOOKUP('Données projet'!$B$13,Paramètres!$A$1:$I$89,3,0)*0.475*44/12</f>
        <v>3.8096019173384943E-23</v>
      </c>
      <c r="DI189" s="22">
        <f t="shared" si="175"/>
        <v>0.14532573310871758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-5.6843418860808015E-13</v>
      </c>
      <c r="DP189" s="17">
        <f>DO189*VLOOKUP('Données projet'!$B$14,Paramètres!$A$1:$I$89,3,0)*VLOOKUP('Données projet'!$B$14,Paramètres!$A$1:$I$89,5,0)</f>
        <v>-5.6752469390630732E-13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245.06609107649069</v>
      </c>
      <c r="DU189" s="59">
        <f t="shared" si="152"/>
        <v>156.24531945456499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-2.5579538487363607E-13</v>
      </c>
      <c r="EK189" s="17">
        <f>EJ189*VLOOKUP('Données projet'!$B$15,Paramètres!$A$1:$I$89,3,0)*VLOOKUP('Données projet'!$B$15,Paramètres!$A$1:$I$89,5,0)</f>
        <v>-2.7932856028201057E-13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173.63857221119594</v>
      </c>
      <c r="EP189" s="59">
        <f t="shared" si="154"/>
        <v>52.373745617370105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199.58634493109349</v>
      </c>
      <c r="T190" s="59">
        <f t="shared" si="142"/>
        <v>288.66487031729008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0.22304324787361904</v>
      </c>
      <c r="AA190" s="21">
        <f>EXP(-LN(2)/25)*AA189+(1-EXP(-LN(2)/25))/(LN(2)/25)*Calculateur!V190*Calculateur!X190*VLOOKUP('Données projet'!$B$9,Paramètres!$A$1:$I$89,3,0)*0.475*44/12</f>
        <v>0.22043700624075918</v>
      </c>
      <c r="AB190" s="21">
        <f>EXP(-LN(2)/2)*AB189+(1-EXP(-LN(2)/2))/(LN(2)/2)*V190*Y190*VLOOKUP('Données projet'!$B$9,Paramètres!$A$1:$I$89,3,0)*0.475*44/12</f>
        <v>6.9016496150096826E-24</v>
      </c>
      <c r="AC190" s="22">
        <f t="shared" si="163"/>
        <v>0.44348025411437819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606.99999999999989</v>
      </c>
      <c r="AJ190" s="13">
        <f>AI190*VLOOKUP('Données projet'!$B$10,Paramètres!$A$1:$I$89,3,0)*VLOOKUP('Données projet'!$B$10,Paramètres!$A$1:$I$89,5,0)</f>
        <v>362.98599999999999</v>
      </c>
      <c r="AK190" s="13">
        <f t="shared" si="164"/>
        <v>84.230767602863935</v>
      </c>
      <c r="AL190" s="20">
        <f t="shared" si="165"/>
        <v>778.90253690832139</v>
      </c>
      <c r="AM190" s="59">
        <f t="shared" si="113"/>
        <v>1072.2358702416548</v>
      </c>
      <c r="AN190" s="59">
        <f ca="1">AVERAGE(OFFSET($AM$3,0,0,'Données projet'!$E$10+1,1))-AVERAGE(OFFSET($H$3,0,0,'Données projet'!$E$10+1,1))</f>
        <v>395.40396173178527</v>
      </c>
      <c r="AO190" s="59">
        <f t="shared" si="144"/>
        <v>304.68075128568756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0.13384026513528346</v>
      </c>
      <c r="AV190" s="21">
        <f>EXP(-LN(2)/25)*AV189+(1-EXP(-LN(2)/25))/(LN(2)/25)*Calculateur!AQ190*Calculateur!AS190*VLOOKUP('Données projet'!$B$10,Paramètres!$A$1:$I$89,3,0)*0.475*44/12</f>
        <v>0.24058377717594753</v>
      </c>
      <c r="AW190" s="21">
        <f>EXP(-LN(2)/2)*AW189+(1-EXP(-LN(2)/2))/(LN(2)/2)*AQ190*AT190*VLOOKUP('Données projet'!$B$10,Paramètres!$A$1:$I$89,3,0)*0.475*44/12</f>
        <v>6.0844216629300222E-23</v>
      </c>
      <c r="AX190" s="21">
        <f t="shared" si="166"/>
        <v>0.374424042311231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36.10000000000008</v>
      </c>
      <c r="BE190" s="13">
        <f>BD190*VLOOKUP('Données projet'!$B$11,Paramètres!$A$1:$I$89,3,0)*VLOOKUP('Données projet'!$B$11,Paramètres!$A$1:$I$89,5,0)</f>
        <v>31.536960000000075</v>
      </c>
      <c r="BF190" s="13">
        <f t="shared" si="167"/>
        <v>9.725440120377133</v>
      </c>
      <c r="BG190" s="20">
        <f t="shared" si="168"/>
        <v>71.865346876323642</v>
      </c>
      <c r="BH190" s="59">
        <f t="shared" si="116"/>
        <v>365.19868020965697</v>
      </c>
      <c r="BI190" s="59">
        <f ca="1">AVERAGE(OFFSET($BH$3,0,0,'Données projet'!$E$11+1,1))-AVERAGE(OFFSET($H$3,0,0,'Données projet'!$E$11+1,1))</f>
        <v>249.21292089724221</v>
      </c>
      <c r="BJ190" s="59">
        <f t="shared" si="146"/>
        <v>640.80644476065254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5.0335110587099949</v>
      </c>
      <c r="BQ190" s="21">
        <f>EXP(-LN(2)/25)*BQ189+(1-EXP(-LN(2)/25))/(LN(2)/25)*Calculateur!BL190*Calculateur!BN190*VLOOKUP('Données projet'!$B$11,Paramètres!$A$1:$I$89,3,0)*0.475*44/12</f>
        <v>1.3792344631344509</v>
      </c>
      <c r="BR190" s="21">
        <f>EXP(-LN(2)/2)*BR189+(1-EXP(-LN(2)/2))/(LN(2)/2)*BL190*BO190*VLOOKUP('Données projet'!$B$11,Paramètres!$A$1:$I$89,3,0)*0.475*44/12</f>
        <v>1.9311116959995481E-22</v>
      </c>
      <c r="BS190" s="22">
        <f t="shared" si="169"/>
        <v>6.412745521844446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234.00000000000045</v>
      </c>
      <c r="BZ190" s="13">
        <f>BY190*VLOOKUP('Données projet'!$B$12,Paramètres!$A$1:$I$89,3,0)*VLOOKUP('Données projet'!$B$12,Paramètres!$A$1:$I$89,5,0)</f>
        <v>189.82080000000036</v>
      </c>
      <c r="CA190" s="13">
        <f t="shared" si="170"/>
        <v>47.500332100049881</v>
      </c>
      <c r="CB190" s="20">
        <f t="shared" si="171"/>
        <v>413.33430507425419</v>
      </c>
      <c r="CC190" s="59">
        <f t="shared" si="119"/>
        <v>706.66763840758745</v>
      </c>
      <c r="CD190" s="59">
        <f ca="1">AVERAGE(OFFSET($CC$3,0,0,'Données projet'!$E$12+1,1))-AVERAGE(OFFSET($H$3,0,0,'Données projet'!$E$12+1,1))</f>
        <v>192.4785660463869</v>
      </c>
      <c r="CE190" s="59">
        <f t="shared" si="148"/>
        <v>165.11095806515362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3.6143337299818064E-2</v>
      </c>
      <c r="CL190" s="21">
        <f>EXP(-LN(2)/25)*CL189+(1-EXP(-LN(2)/25))/(LN(2)/25)*Calculateur!CG190*Calculateur!CI190*VLOOKUP('Données projet'!$B$12,Paramètres!$A$1:$I$89,3,0)*0.475*44/12</f>
        <v>6.0755166848926963E-2</v>
      </c>
      <c r="CM190" s="21">
        <f>EXP(-LN(2)/2)*CM189+(1-EXP(-LN(2)/2))/(LN(2)/2)*CG190*CJ190*VLOOKUP('Données projet'!$B$12,Paramètres!$A$1:$I$89,3,0)*0.475*44/12</f>
        <v>1.7132149715329605E-23</v>
      </c>
      <c r="CN190" s="22">
        <f t="shared" si="172"/>
        <v>9.6898504148745027E-2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275.00000000000057</v>
      </c>
      <c r="CU190" s="17">
        <f>CT190*VLOOKUP('Données projet'!$B$13,Paramètres!$A$1:$I$89,3,0)*VLOOKUP('Données projet'!$B$13,Paramètres!$A$1:$I$89,5,0)</f>
        <v>231.66000000000051</v>
      </c>
      <c r="CV190" s="13">
        <f t="shared" si="173"/>
        <v>56.641461975682923</v>
      </c>
      <c r="CW190" s="20">
        <f t="shared" si="174"/>
        <v>502.12504627431525</v>
      </c>
      <c r="CX190" s="59">
        <f t="shared" si="122"/>
        <v>795.45837960764857</v>
      </c>
      <c r="CY190" s="59">
        <f ca="1">AVERAGE(OFFSET($CX$3,0,0,'Données projet'!$E$13+1,1))-AVERAGE(OFFSET($H$3,0,0,'Données projet'!$E$13+1,1))</f>
        <v>247.67539667223065</v>
      </c>
      <c r="CZ190" s="59">
        <f t="shared" si="150"/>
        <v>174.54442616983778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5.7193852430481341E-2</v>
      </c>
      <c r="DG190" s="21">
        <f>EXP(-LN(2)/25)*DG189+(1-EXP(-LN(2)/25))/(LN(2)/25)*Calculateur!DB190*Calculateur!DD190*VLOOKUP('Données projet'!$B$13,Paramètres!$A$1:$I$89,3,0)*0.475*44/12</f>
        <v>8.4609222563960321E-2</v>
      </c>
      <c r="DH190" s="21">
        <f>EXP(-LN(2)/2)*DH189+(1-EXP(-LN(2)/2))/(LN(2)/2)*DB190*DE190*VLOOKUP('Données projet'!$B$13,Paramètres!$A$1:$I$89,3,0)*0.475*44/12</f>
        <v>2.6937953493713226E-23</v>
      </c>
      <c r="DI190" s="22">
        <f t="shared" si="175"/>
        <v>0.14180307499444167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-5.6843418860808015E-13</v>
      </c>
      <c r="DP190" s="17">
        <f>DO190*VLOOKUP('Données projet'!$B$14,Paramètres!$A$1:$I$89,3,0)*VLOOKUP('Données projet'!$B$14,Paramètres!$A$1:$I$89,5,0)</f>
        <v>-5.6752469390630732E-13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245.06609107649069</v>
      </c>
      <c r="DU190" s="59">
        <f t="shared" si="152"/>
        <v>156.24531945456499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-2.5579538487363607E-13</v>
      </c>
      <c r="EK190" s="17">
        <f>EJ190*VLOOKUP('Données projet'!$B$15,Paramètres!$A$1:$I$89,3,0)*VLOOKUP('Données projet'!$B$15,Paramètres!$A$1:$I$89,5,0)</f>
        <v>-2.7932856028201057E-13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173.63857221119594</v>
      </c>
      <c r="EP190" s="59">
        <f t="shared" si="154"/>
        <v>52.373745617370105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199.58634493109349</v>
      </c>
      <c r="T191" s="59">
        <f t="shared" si="142"/>
        <v>288.66487031729008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0.21866950582576544</v>
      </c>
      <c r="AA191" s="21">
        <f>EXP(-LN(2)/25)*AA190+(1-EXP(-LN(2)/25))/(LN(2)/25)*Calculateur!V191*Calculateur!X191*VLOOKUP('Données projet'!$B$9,Paramètres!$A$1:$I$89,3,0)*0.475*44/12</f>
        <v>0.21440914471282727</v>
      </c>
      <c r="AB191" s="21">
        <f>EXP(-LN(2)/2)*AB190+(1-EXP(-LN(2)/2))/(LN(2)/2)*V191*Y191*VLOOKUP('Données projet'!$B$9,Paramètres!$A$1:$I$89,3,0)*0.475*44/12</f>
        <v>4.8802032441468716E-24</v>
      </c>
      <c r="AC191" s="22">
        <f t="shared" si="163"/>
        <v>0.43307865053859274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606.99999999999989</v>
      </c>
      <c r="AJ191" s="13">
        <f>AI191*VLOOKUP('Données projet'!$B$10,Paramètres!$A$1:$I$89,3,0)*VLOOKUP('Données projet'!$B$10,Paramètres!$A$1:$I$89,5,0)</f>
        <v>362.98599999999999</v>
      </c>
      <c r="AK191" s="13">
        <f t="shared" si="164"/>
        <v>84.230767602863935</v>
      </c>
      <c r="AL191" s="20">
        <f t="shared" si="165"/>
        <v>778.90253690832139</v>
      </c>
      <c r="AM191" s="59">
        <f t="shared" si="113"/>
        <v>1072.2358702416548</v>
      </c>
      <c r="AN191" s="59">
        <f ca="1">AVERAGE(OFFSET($AM$3,0,0,'Données projet'!$E$10+1,1))-AVERAGE(OFFSET($H$3,0,0,'Données projet'!$E$10+1,1))</f>
        <v>395.40396173178527</v>
      </c>
      <c r="AO191" s="59">
        <f t="shared" si="144"/>
        <v>304.68075128568756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0.13121573917048154</v>
      </c>
      <c r="AV191" s="21">
        <f>EXP(-LN(2)/25)*AV190+(1-EXP(-LN(2)/25))/(LN(2)/25)*Calculateur!AQ191*Calculateur!AS191*VLOOKUP('Données projet'!$B$10,Paramètres!$A$1:$I$89,3,0)*0.475*44/12</f>
        <v>0.23400500113732026</v>
      </c>
      <c r="AW191" s="21">
        <f>EXP(-LN(2)/2)*AW190+(1-EXP(-LN(2)/2))/(LN(2)/2)*AQ191*AT191*VLOOKUP('Données projet'!$B$10,Paramètres!$A$1:$I$89,3,0)*0.475*44/12</f>
        <v>4.3023358174561489E-23</v>
      </c>
      <c r="AX191" s="21">
        <f t="shared" si="166"/>
        <v>0.36522074030780183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36.10000000000008</v>
      </c>
      <c r="BE191" s="13">
        <f>BD191*VLOOKUP('Données projet'!$B$11,Paramètres!$A$1:$I$89,3,0)*VLOOKUP('Données projet'!$B$11,Paramètres!$A$1:$I$89,5,0)</f>
        <v>31.536960000000075</v>
      </c>
      <c r="BF191" s="13">
        <f t="shared" si="167"/>
        <v>9.725440120377133</v>
      </c>
      <c r="BG191" s="20">
        <f t="shared" si="168"/>
        <v>71.865346876323642</v>
      </c>
      <c r="BH191" s="59">
        <f t="shared" si="116"/>
        <v>365.19868020965697</v>
      </c>
      <c r="BI191" s="59">
        <f ca="1">AVERAGE(OFFSET($BH$3,0,0,'Données projet'!$E$11+1,1))-AVERAGE(OFFSET($H$3,0,0,'Données projet'!$E$11+1,1))</f>
        <v>249.21292089724221</v>
      </c>
      <c r="BJ191" s="59">
        <f t="shared" si="146"/>
        <v>640.80644476065254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4.9348069769872867</v>
      </c>
      <c r="BQ191" s="21">
        <f>EXP(-LN(2)/25)*BQ190+(1-EXP(-LN(2)/25))/(LN(2)/25)*Calculateur!BL191*Calculateur!BN191*VLOOKUP('Données projet'!$B$11,Paramètres!$A$1:$I$89,3,0)*0.475*44/12</f>
        <v>1.3415192242092511</v>
      </c>
      <c r="BR191" s="21">
        <f>EXP(-LN(2)/2)*BR190+(1-EXP(-LN(2)/2))/(LN(2)/2)*BL191*BO191*VLOOKUP('Données projet'!$B$11,Paramètres!$A$1:$I$89,3,0)*0.475*44/12</f>
        <v>1.3655021754699351E-22</v>
      </c>
      <c r="BS191" s="22">
        <f t="shared" si="169"/>
        <v>6.2763262011965377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234.00000000000045</v>
      </c>
      <c r="BZ191" s="13">
        <f>BY191*VLOOKUP('Données projet'!$B$12,Paramètres!$A$1:$I$89,3,0)*VLOOKUP('Données projet'!$B$12,Paramètres!$A$1:$I$89,5,0)</f>
        <v>189.82080000000036</v>
      </c>
      <c r="CA191" s="13">
        <f t="shared" si="170"/>
        <v>47.500332100049881</v>
      </c>
      <c r="CB191" s="20">
        <f t="shared" si="171"/>
        <v>413.33430507425419</v>
      </c>
      <c r="CC191" s="59">
        <f t="shared" si="119"/>
        <v>706.66763840758745</v>
      </c>
      <c r="CD191" s="59">
        <f ca="1">AVERAGE(OFFSET($CC$3,0,0,'Données projet'!$E$12+1,1))-AVERAGE(OFFSET($H$3,0,0,'Données projet'!$E$12+1,1))</f>
        <v>192.4785660463869</v>
      </c>
      <c r="CE191" s="59">
        <f t="shared" si="148"/>
        <v>165.11095806515362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3.5434588500627598E-2</v>
      </c>
      <c r="CL191" s="21">
        <f>EXP(-LN(2)/25)*CL190+(1-EXP(-LN(2)/25))/(LN(2)/25)*Calculateur!CG191*Calculateur!CI191*VLOOKUP('Données projet'!$B$12,Paramètres!$A$1:$I$89,3,0)*0.475*44/12</f>
        <v>5.9093813616467691E-2</v>
      </c>
      <c r="CM191" s="21">
        <f>EXP(-LN(2)/2)*CM190+(1-EXP(-LN(2)/2))/(LN(2)/2)*CG191*CJ191*VLOOKUP('Données projet'!$B$12,Paramètres!$A$1:$I$89,3,0)*0.475*44/12</f>
        <v>1.2114259240012743E-23</v>
      </c>
      <c r="CN191" s="22">
        <f t="shared" si="172"/>
        <v>9.4528402117095289E-2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275.00000000000057</v>
      </c>
      <c r="CU191" s="17">
        <f>CT191*VLOOKUP('Données projet'!$B$13,Paramètres!$A$1:$I$89,3,0)*VLOOKUP('Données projet'!$B$13,Paramètres!$A$1:$I$89,5,0)</f>
        <v>231.66000000000051</v>
      </c>
      <c r="CV191" s="13">
        <f t="shared" si="173"/>
        <v>56.641461975682923</v>
      </c>
      <c r="CW191" s="20">
        <f t="shared" si="174"/>
        <v>502.12504627431525</v>
      </c>
      <c r="CX191" s="59">
        <f t="shared" si="122"/>
        <v>795.45837960764857</v>
      </c>
      <c r="CY191" s="59">
        <f ca="1">AVERAGE(OFFSET($CX$3,0,0,'Données projet'!$E$13+1,1))-AVERAGE(OFFSET($H$3,0,0,'Données projet'!$E$13+1,1))</f>
        <v>247.67539667223065</v>
      </c>
      <c r="CZ191" s="59">
        <f t="shared" si="150"/>
        <v>174.54442616983778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5.6072315869124999E-2</v>
      </c>
      <c r="DG191" s="21">
        <f>EXP(-LN(2)/25)*DG190+(1-EXP(-LN(2)/25))/(LN(2)/25)*Calculateur!DB191*Calculateur!DD191*VLOOKUP('Données projet'!$B$13,Paramètres!$A$1:$I$89,3,0)*0.475*44/12</f>
        <v>8.2295578923543194E-2</v>
      </c>
      <c r="DH191" s="21">
        <f>EXP(-LN(2)/2)*DH190+(1-EXP(-LN(2)/2))/(LN(2)/2)*DB191*DE191*VLOOKUP('Données projet'!$B$13,Paramètres!$A$1:$I$89,3,0)*0.475*44/12</f>
        <v>1.9048009586692472E-23</v>
      </c>
      <c r="DI191" s="22">
        <f t="shared" si="175"/>
        <v>0.1383678947926682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-5.6843418860808015E-13</v>
      </c>
      <c r="DP191" s="17">
        <f>DO191*VLOOKUP('Données projet'!$B$14,Paramètres!$A$1:$I$89,3,0)*VLOOKUP('Données projet'!$B$14,Paramètres!$A$1:$I$89,5,0)</f>
        <v>-5.6752469390630732E-13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245.06609107649069</v>
      </c>
      <c r="DU191" s="59">
        <f t="shared" si="152"/>
        <v>156.24531945456499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-2.5579538487363607E-13</v>
      </c>
      <c r="EK191" s="17">
        <f>EJ191*VLOOKUP('Données projet'!$B$15,Paramètres!$A$1:$I$89,3,0)*VLOOKUP('Données projet'!$B$15,Paramètres!$A$1:$I$89,5,0)</f>
        <v>-2.7932856028201057E-13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173.63857221119594</v>
      </c>
      <c r="EP191" s="59">
        <f t="shared" si="154"/>
        <v>52.373745617370105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199.58634493109349</v>
      </c>
      <c r="T192" s="59">
        <f t="shared" si="142"/>
        <v>288.66487031729008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0.21438153019175102</v>
      </c>
      <c r="AA192" s="21">
        <f>EXP(-LN(2)/25)*AA191+(1-EXP(-LN(2)/25))/(LN(2)/25)*Calculateur!V192*Calculateur!X192*VLOOKUP('Données projet'!$B$9,Paramètres!$A$1:$I$89,3,0)*0.475*44/12</f>
        <v>0.20854611537536813</v>
      </c>
      <c r="AB192" s="21">
        <f>EXP(-LN(2)/2)*AB191+(1-EXP(-LN(2)/2))/(LN(2)/2)*V192*Y192*VLOOKUP('Données projet'!$B$9,Paramètres!$A$1:$I$89,3,0)*0.475*44/12</f>
        <v>3.4508248075048413E-24</v>
      </c>
      <c r="AC192" s="22">
        <f t="shared" si="163"/>
        <v>0.42292764556711915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606.99999999999989</v>
      </c>
      <c r="AJ192" s="13">
        <f>AI192*VLOOKUP('Données projet'!$B$10,Paramètres!$A$1:$I$89,3,0)*VLOOKUP('Données projet'!$B$10,Paramètres!$A$1:$I$89,5,0)</f>
        <v>362.98599999999999</v>
      </c>
      <c r="AK192" s="13">
        <f t="shared" si="164"/>
        <v>84.230767602863935</v>
      </c>
      <c r="AL192" s="20">
        <f t="shared" si="165"/>
        <v>778.90253690832139</v>
      </c>
      <c r="AM192" s="59">
        <f t="shared" si="113"/>
        <v>1072.2358702416548</v>
      </c>
      <c r="AN192" s="59">
        <f ca="1">AVERAGE(OFFSET($AM$3,0,0,'Données projet'!$E$10+1,1))-AVERAGE(OFFSET($H$3,0,0,'Données projet'!$E$10+1,1))</f>
        <v>395.40396173178527</v>
      </c>
      <c r="AO192" s="59">
        <f t="shared" si="144"/>
        <v>304.68075128568756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0.12864267855904662</v>
      </c>
      <c r="AV192" s="21">
        <f>EXP(-LN(2)/25)*AV191+(1-EXP(-LN(2)/25))/(LN(2)/25)*Calculateur!AQ192*Calculateur!AS192*VLOOKUP('Données projet'!$B$10,Paramètres!$A$1:$I$89,3,0)*0.475*44/12</f>
        <v>0.22760612207543204</v>
      </c>
      <c r="AW192" s="21">
        <f>EXP(-LN(2)/2)*AW191+(1-EXP(-LN(2)/2))/(LN(2)/2)*AQ192*AT192*VLOOKUP('Données projet'!$B$10,Paramètres!$A$1:$I$89,3,0)*0.475*44/12</f>
        <v>3.0422108314650111E-23</v>
      </c>
      <c r="AX192" s="21">
        <f t="shared" si="166"/>
        <v>0.35624880063447867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36.10000000000008</v>
      </c>
      <c r="BE192" s="13">
        <f>BD192*VLOOKUP('Données projet'!$B$11,Paramètres!$A$1:$I$89,3,0)*VLOOKUP('Données projet'!$B$11,Paramètres!$A$1:$I$89,5,0)</f>
        <v>31.536960000000075</v>
      </c>
      <c r="BF192" s="13">
        <f t="shared" si="167"/>
        <v>9.725440120377133</v>
      </c>
      <c r="BG192" s="20">
        <f t="shared" si="168"/>
        <v>71.865346876323642</v>
      </c>
      <c r="BH192" s="59">
        <f t="shared" si="116"/>
        <v>365.19868020965697</v>
      </c>
      <c r="BI192" s="59">
        <f ca="1">AVERAGE(OFFSET($BH$3,0,0,'Données projet'!$E$11+1,1))-AVERAGE(OFFSET($H$3,0,0,'Données projet'!$E$11+1,1))</f>
        <v>249.21292089724221</v>
      </c>
      <c r="BJ192" s="59">
        <f t="shared" si="146"/>
        <v>640.80644476065254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4.8380384221036152</v>
      </c>
      <c r="BQ192" s="21">
        <f>EXP(-LN(2)/25)*BQ191+(1-EXP(-LN(2)/25))/(LN(2)/25)*Calculateur!BL192*Calculateur!BN192*VLOOKUP('Données projet'!$B$11,Paramètres!$A$1:$I$89,3,0)*0.475*44/12</f>
        <v>1.3048353104758192</v>
      </c>
      <c r="BR192" s="21">
        <f>EXP(-LN(2)/2)*BR191+(1-EXP(-LN(2)/2))/(LN(2)/2)*BL192*BO192*VLOOKUP('Données projet'!$B$11,Paramètres!$A$1:$I$89,3,0)*0.475*44/12</f>
        <v>9.6555584799977405E-23</v>
      </c>
      <c r="BS192" s="22">
        <f t="shared" si="169"/>
        <v>6.1428737325794343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234.00000000000045</v>
      </c>
      <c r="BZ192" s="13">
        <f>BY192*VLOOKUP('Données projet'!$B$12,Paramètres!$A$1:$I$89,3,0)*VLOOKUP('Données projet'!$B$12,Paramètres!$A$1:$I$89,5,0)</f>
        <v>189.82080000000036</v>
      </c>
      <c r="CA192" s="13">
        <f t="shared" si="170"/>
        <v>47.500332100049881</v>
      </c>
      <c r="CB192" s="20">
        <f t="shared" si="171"/>
        <v>413.33430507425419</v>
      </c>
      <c r="CC192" s="59">
        <f t="shared" si="119"/>
        <v>706.66763840758745</v>
      </c>
      <c r="CD192" s="59">
        <f ca="1">AVERAGE(OFFSET($CC$3,0,0,'Données projet'!$E$12+1,1))-AVERAGE(OFFSET($H$3,0,0,'Données projet'!$E$12+1,1))</f>
        <v>192.4785660463869</v>
      </c>
      <c r="CE192" s="59">
        <f t="shared" si="148"/>
        <v>165.11095806515362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3.4739737833095176E-2</v>
      </c>
      <c r="CL192" s="21">
        <f>EXP(-LN(2)/25)*CL191+(1-EXP(-LN(2)/25))/(LN(2)/25)*Calculateur!CG192*Calculateur!CI192*VLOOKUP('Données projet'!$B$12,Paramètres!$A$1:$I$89,3,0)*0.475*44/12</f>
        <v>5.7477890175516785E-2</v>
      </c>
      <c r="CM192" s="21">
        <f>EXP(-LN(2)/2)*CM191+(1-EXP(-LN(2)/2))/(LN(2)/2)*CG192*CJ192*VLOOKUP('Données projet'!$B$12,Paramètres!$A$1:$I$89,3,0)*0.475*44/12</f>
        <v>8.5660748576648024E-24</v>
      </c>
      <c r="CN192" s="22">
        <f t="shared" si="172"/>
        <v>9.2217628008611968E-2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275.00000000000057</v>
      </c>
      <c r="CU192" s="17">
        <f>CT192*VLOOKUP('Données projet'!$B$13,Paramètres!$A$1:$I$89,3,0)*VLOOKUP('Données projet'!$B$13,Paramètres!$A$1:$I$89,5,0)</f>
        <v>231.66000000000051</v>
      </c>
      <c r="CV192" s="13">
        <f t="shared" si="173"/>
        <v>56.641461975682923</v>
      </c>
      <c r="CW192" s="20">
        <f t="shared" si="174"/>
        <v>502.12504627431525</v>
      </c>
      <c r="CX192" s="59">
        <f t="shared" si="122"/>
        <v>795.45837960764857</v>
      </c>
      <c r="CY192" s="59">
        <f ca="1">AVERAGE(OFFSET($CX$3,0,0,'Données projet'!$E$13+1,1))-AVERAGE(OFFSET($H$3,0,0,'Données projet'!$E$13+1,1))</f>
        <v>247.67539667223065</v>
      </c>
      <c r="CZ192" s="59">
        <f t="shared" si="150"/>
        <v>174.54442616983778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5.4972771955667098E-2</v>
      </c>
      <c r="DG192" s="21">
        <f>EXP(-LN(2)/25)*DG191+(1-EXP(-LN(2)/25))/(LN(2)/25)*Calculateur!DB192*Calculateur!DD192*VLOOKUP('Données projet'!$B$13,Paramètres!$A$1:$I$89,3,0)*0.475*44/12</f>
        <v>8.0045201990142506E-2</v>
      </c>
      <c r="DH192" s="21">
        <f>EXP(-LN(2)/2)*DH191+(1-EXP(-LN(2)/2))/(LN(2)/2)*DB192*DE192*VLOOKUP('Données projet'!$B$13,Paramètres!$A$1:$I$89,3,0)*0.475*44/12</f>
        <v>1.3468976746856613E-23</v>
      </c>
      <c r="DI192" s="22">
        <f t="shared" si="175"/>
        <v>0.13501797394580961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-5.6843418860808015E-13</v>
      </c>
      <c r="DP192" s="17">
        <f>DO192*VLOOKUP('Données projet'!$B$14,Paramètres!$A$1:$I$89,3,0)*VLOOKUP('Données projet'!$B$14,Paramètres!$A$1:$I$89,5,0)</f>
        <v>-5.6752469390630732E-13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245.06609107649069</v>
      </c>
      <c r="DU192" s="59">
        <f t="shared" si="152"/>
        <v>156.24531945456499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-2.5579538487363607E-13</v>
      </c>
      <c r="EK192" s="17">
        <f>EJ192*VLOOKUP('Données projet'!$B$15,Paramètres!$A$1:$I$89,3,0)*VLOOKUP('Données projet'!$B$15,Paramètres!$A$1:$I$89,5,0)</f>
        <v>-2.7932856028201057E-13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173.63857221119594</v>
      </c>
      <c r="EP192" s="59">
        <f t="shared" si="154"/>
        <v>52.373745617370105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199.58634493109349</v>
      </c>
      <c r="T193" s="59">
        <f t="shared" si="142"/>
        <v>288.66487031729008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0.21017763914451273</v>
      </c>
      <c r="AA193" s="21">
        <f>EXP(-LN(2)/25)*AA192+(1-EXP(-LN(2)/25))/(LN(2)/25)*Calculateur!V193*Calculateur!X193*VLOOKUP('Données projet'!$B$9,Paramètres!$A$1:$I$89,3,0)*0.475*44/12</f>
        <v>0.20284341088346511</v>
      </c>
      <c r="AB193" s="21">
        <f>EXP(-LN(2)/2)*AB192+(1-EXP(-LN(2)/2))/(LN(2)/2)*V193*Y193*VLOOKUP('Données projet'!$B$9,Paramètres!$A$1:$I$89,3,0)*0.475*44/12</f>
        <v>2.4401016220734358E-24</v>
      </c>
      <c r="AC193" s="22">
        <f t="shared" si="163"/>
        <v>0.41302105002797784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606.99999999999989</v>
      </c>
      <c r="AJ193" s="13">
        <f>AI193*VLOOKUP('Données projet'!$B$10,Paramètres!$A$1:$I$89,3,0)*VLOOKUP('Données projet'!$B$10,Paramètres!$A$1:$I$89,5,0)</f>
        <v>362.98599999999999</v>
      </c>
      <c r="AK193" s="13">
        <f t="shared" si="164"/>
        <v>84.230767602863935</v>
      </c>
      <c r="AL193" s="20">
        <f t="shared" si="165"/>
        <v>778.90253690832139</v>
      </c>
      <c r="AM193" s="59">
        <f t="shared" si="113"/>
        <v>1072.2358702416548</v>
      </c>
      <c r="AN193" s="59">
        <f ca="1">AVERAGE(OFFSET($AM$3,0,0,'Données projet'!$E$10+1,1))-AVERAGE(OFFSET($H$3,0,0,'Données projet'!$E$10+1,1))</f>
        <v>395.40396173178527</v>
      </c>
      <c r="AO193" s="59">
        <f t="shared" si="144"/>
        <v>304.68075128568756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0.12612007409678994</v>
      </c>
      <c r="AV193" s="21">
        <f>EXP(-LN(2)/25)*AV192+(1-EXP(-LN(2)/25))/(LN(2)/25)*Calculateur!AQ193*Calculateur!AS193*VLOOKUP('Données projet'!$B$10,Paramètres!$A$1:$I$89,3,0)*0.475*44/12</f>
        <v>0.2213822206979936</v>
      </c>
      <c r="AW193" s="21">
        <f>EXP(-LN(2)/2)*AW192+(1-EXP(-LN(2)/2))/(LN(2)/2)*AQ193*AT193*VLOOKUP('Données projet'!$B$10,Paramètres!$A$1:$I$89,3,0)*0.475*44/12</f>
        <v>2.1511679087280745E-23</v>
      </c>
      <c r="AX193" s="21">
        <f t="shared" si="166"/>
        <v>0.34750229479478356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36.10000000000008</v>
      </c>
      <c r="BE193" s="13">
        <f>BD193*VLOOKUP('Données projet'!$B$11,Paramètres!$A$1:$I$89,3,0)*VLOOKUP('Données projet'!$B$11,Paramètres!$A$1:$I$89,5,0)</f>
        <v>31.536960000000075</v>
      </c>
      <c r="BF193" s="13">
        <f t="shared" si="167"/>
        <v>9.725440120377133</v>
      </c>
      <c r="BG193" s="20">
        <f t="shared" si="168"/>
        <v>71.865346876323642</v>
      </c>
      <c r="BH193" s="59">
        <f t="shared" si="116"/>
        <v>365.19868020965697</v>
      </c>
      <c r="BI193" s="59">
        <f ca="1">AVERAGE(OFFSET($BH$3,0,0,'Données projet'!$E$11+1,1))-AVERAGE(OFFSET($H$3,0,0,'Données projet'!$E$11+1,1))</f>
        <v>249.21292089724221</v>
      </c>
      <c r="BJ193" s="59">
        <f t="shared" si="146"/>
        <v>640.80644476065254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4.7431674395582224</v>
      </c>
      <c r="BQ193" s="21">
        <f>EXP(-LN(2)/25)*BQ192+(1-EXP(-LN(2)/25))/(LN(2)/25)*Calculateur!BL193*Calculateur!BN193*VLOOKUP('Données projet'!$B$11,Paramètres!$A$1:$I$89,3,0)*0.475*44/12</f>
        <v>1.2691545202925512</v>
      </c>
      <c r="BR193" s="21">
        <f>EXP(-LN(2)/2)*BR192+(1-EXP(-LN(2)/2))/(LN(2)/2)*BL193*BO193*VLOOKUP('Données projet'!$B$11,Paramètres!$A$1:$I$89,3,0)*0.475*44/12</f>
        <v>6.8275108773496756E-23</v>
      </c>
      <c r="BS193" s="22">
        <f t="shared" si="169"/>
        <v>6.0123219598507731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234.00000000000045</v>
      </c>
      <c r="BZ193" s="13">
        <f>BY193*VLOOKUP('Données projet'!$B$12,Paramètres!$A$1:$I$89,3,0)*VLOOKUP('Données projet'!$B$12,Paramètres!$A$1:$I$89,5,0)</f>
        <v>189.82080000000036</v>
      </c>
      <c r="CA193" s="13">
        <f t="shared" si="170"/>
        <v>47.500332100049881</v>
      </c>
      <c r="CB193" s="20">
        <f t="shared" si="171"/>
        <v>413.33430507425419</v>
      </c>
      <c r="CC193" s="59">
        <f t="shared" si="119"/>
        <v>706.66763840758745</v>
      </c>
      <c r="CD193" s="59">
        <f ca="1">AVERAGE(OFFSET($CC$3,0,0,'Données projet'!$E$12+1,1))-AVERAGE(OFFSET($H$3,0,0,'Données projet'!$E$12+1,1))</f>
        <v>192.4785660463869</v>
      </c>
      <c r="CE193" s="59">
        <f t="shared" si="148"/>
        <v>165.11095806515362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3.4058512763336005E-2</v>
      </c>
      <c r="CL193" s="21">
        <f>EXP(-LN(2)/25)*CL192+(1-EXP(-LN(2)/25))/(LN(2)/25)*Calculateur!CG193*Calculateur!CI193*VLOOKUP('Données projet'!$B$12,Paramètres!$A$1:$I$89,3,0)*0.475*44/12</f>
        <v>5.5906154246036399E-2</v>
      </c>
      <c r="CM193" s="21">
        <f>EXP(-LN(2)/2)*CM192+(1-EXP(-LN(2)/2))/(LN(2)/2)*CG193*CJ193*VLOOKUP('Données projet'!$B$12,Paramètres!$A$1:$I$89,3,0)*0.475*44/12</f>
        <v>6.0571296200063717E-24</v>
      </c>
      <c r="CN193" s="22">
        <f t="shared" si="172"/>
        <v>8.9964667009372404E-2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275.00000000000057</v>
      </c>
      <c r="CU193" s="17">
        <f>CT193*VLOOKUP('Données projet'!$B$13,Paramètres!$A$1:$I$89,3,0)*VLOOKUP('Données projet'!$B$13,Paramètres!$A$1:$I$89,5,0)</f>
        <v>231.66000000000051</v>
      </c>
      <c r="CV193" s="13">
        <f t="shared" si="173"/>
        <v>56.641461975682923</v>
      </c>
      <c r="CW193" s="20">
        <f t="shared" si="174"/>
        <v>502.12504627431525</v>
      </c>
      <c r="CX193" s="59">
        <f t="shared" si="122"/>
        <v>795.45837960764857</v>
      </c>
      <c r="CY193" s="59">
        <f ca="1">AVERAGE(OFFSET($CX$3,0,0,'Données projet'!$E$13+1,1))-AVERAGE(OFFSET($H$3,0,0,'Données projet'!$E$13+1,1))</f>
        <v>247.67539667223065</v>
      </c>
      <c r="CZ193" s="59">
        <f t="shared" si="150"/>
        <v>174.54442616983778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5.3894789427696536E-2</v>
      </c>
      <c r="DG193" s="21">
        <f>EXP(-LN(2)/25)*DG192+(1-EXP(-LN(2)/25))/(LN(2)/25)*Calculateur!DB193*Calculateur!DD193*VLOOKUP('Données projet'!$B$13,Paramètres!$A$1:$I$89,3,0)*0.475*44/12</f>
        <v>7.7856361732327836E-2</v>
      </c>
      <c r="DH193" s="21">
        <f>EXP(-LN(2)/2)*DH192+(1-EXP(-LN(2)/2))/(LN(2)/2)*DB193*DE193*VLOOKUP('Données projet'!$B$13,Paramètres!$A$1:$I$89,3,0)*0.475*44/12</f>
        <v>9.5240047933462358E-24</v>
      </c>
      <c r="DI193" s="22">
        <f t="shared" si="175"/>
        <v>0.13175115116002437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-5.6843418860808015E-13</v>
      </c>
      <c r="DP193" s="17">
        <f>DO193*VLOOKUP('Données projet'!$B$14,Paramètres!$A$1:$I$89,3,0)*VLOOKUP('Données projet'!$B$14,Paramètres!$A$1:$I$89,5,0)</f>
        <v>-5.6752469390630732E-13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245.06609107649069</v>
      </c>
      <c r="DU193" s="59">
        <f t="shared" si="152"/>
        <v>156.24531945456499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-2.5579538487363607E-13</v>
      </c>
      <c r="EK193" s="17">
        <f>EJ193*VLOOKUP('Données projet'!$B$15,Paramètres!$A$1:$I$89,3,0)*VLOOKUP('Données projet'!$B$15,Paramètres!$A$1:$I$89,5,0)</f>
        <v>-2.7932856028201057E-13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173.63857221119594</v>
      </c>
      <c r="EP193" s="59">
        <f t="shared" si="154"/>
        <v>52.373745617370105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199.58634493109349</v>
      </c>
      <c r="T194" s="59">
        <f t="shared" si="142"/>
        <v>288.66487031729008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0.20605618383659044</v>
      </c>
      <c r="AA194" s="21">
        <f>EXP(-LN(2)/25)*AA193+(1-EXP(-LN(2)/25))/(LN(2)/25)*Calculateur!V194*Calculateur!X194*VLOOKUP('Données projet'!$B$9,Paramètres!$A$1:$I$89,3,0)*0.475*44/12</f>
        <v>0.19729664714578538</v>
      </c>
      <c r="AB194" s="21">
        <f>EXP(-LN(2)/2)*AB193+(1-EXP(-LN(2)/2))/(LN(2)/2)*V194*Y194*VLOOKUP('Données projet'!$B$9,Paramètres!$A$1:$I$89,3,0)*0.475*44/12</f>
        <v>1.7254124037524207E-24</v>
      </c>
      <c r="AC194" s="22">
        <f t="shared" si="163"/>
        <v>0.40335283098237584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606.99999999999989</v>
      </c>
      <c r="AJ194" s="13">
        <f>AI194*VLOOKUP('Données projet'!$B$10,Paramètres!$A$1:$I$89,3,0)*VLOOKUP('Données projet'!$B$10,Paramètres!$A$1:$I$89,5,0)</f>
        <v>362.98599999999999</v>
      </c>
      <c r="AK194" s="13">
        <f t="shared" si="164"/>
        <v>84.230767602863935</v>
      </c>
      <c r="AL194" s="20">
        <f t="shared" si="165"/>
        <v>778.90253690832139</v>
      </c>
      <c r="AM194" s="59">
        <f t="shared" si="113"/>
        <v>1072.2358702416548</v>
      </c>
      <c r="AN194" s="59">
        <f ca="1">AVERAGE(OFFSET($AM$3,0,0,'Données projet'!$E$10+1,1))-AVERAGE(OFFSET($H$3,0,0,'Données projet'!$E$10+1,1))</f>
        <v>395.40396173178527</v>
      </c>
      <c r="AO194" s="59">
        <f t="shared" si="144"/>
        <v>304.68075128568756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0.12364693636940131</v>
      </c>
      <c r="AV194" s="21">
        <f>EXP(-LN(2)/25)*AV193+(1-EXP(-LN(2)/25))/(LN(2)/25)*Calculateur!AQ194*Calculateur!AS194*VLOOKUP('Données projet'!$B$10,Paramètres!$A$1:$I$89,3,0)*0.475*44/12</f>
        <v>0.21532851223102195</v>
      </c>
      <c r="AW194" s="21">
        <f>EXP(-LN(2)/2)*AW193+(1-EXP(-LN(2)/2))/(LN(2)/2)*AQ194*AT194*VLOOKUP('Données projet'!$B$10,Paramètres!$A$1:$I$89,3,0)*0.475*44/12</f>
        <v>1.5211054157325056E-23</v>
      </c>
      <c r="AX194" s="21">
        <f t="shared" si="166"/>
        <v>0.33897544860042328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36.10000000000008</v>
      </c>
      <c r="BE194" s="13">
        <f>BD194*VLOOKUP('Données projet'!$B$11,Paramètres!$A$1:$I$89,3,0)*VLOOKUP('Données projet'!$B$11,Paramètres!$A$1:$I$89,5,0)</f>
        <v>31.536960000000075</v>
      </c>
      <c r="BF194" s="13">
        <f t="shared" si="167"/>
        <v>9.725440120377133</v>
      </c>
      <c r="BG194" s="20">
        <f t="shared" si="168"/>
        <v>71.865346876323642</v>
      </c>
      <c r="BH194" s="59">
        <f t="shared" si="116"/>
        <v>365.19868020965697</v>
      </c>
      <c r="BI194" s="59">
        <f ca="1">AVERAGE(OFFSET($BH$3,0,0,'Données projet'!$E$11+1,1))-AVERAGE(OFFSET($H$3,0,0,'Données projet'!$E$11+1,1))</f>
        <v>249.21292089724221</v>
      </c>
      <c r="BJ194" s="59">
        <f t="shared" si="146"/>
        <v>640.80644476065254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4.6501568191149589</v>
      </c>
      <c r="BQ194" s="21">
        <f>EXP(-LN(2)/25)*BQ193+(1-EXP(-LN(2)/25))/(LN(2)/25)*Calculateur!BL194*Calculateur!BN194*VLOOKUP('Données projet'!$B$11,Paramètres!$A$1:$I$89,3,0)*0.475*44/12</f>
        <v>1.2344494231932157</v>
      </c>
      <c r="BR194" s="21">
        <f>EXP(-LN(2)/2)*BR193+(1-EXP(-LN(2)/2))/(LN(2)/2)*BL194*BO194*VLOOKUP('Données projet'!$B$11,Paramètres!$A$1:$I$89,3,0)*0.475*44/12</f>
        <v>4.8277792399988702E-23</v>
      </c>
      <c r="BS194" s="22">
        <f t="shared" si="169"/>
        <v>5.8846062423081751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234.00000000000045</v>
      </c>
      <c r="BZ194" s="13">
        <f>BY194*VLOOKUP('Données projet'!$B$12,Paramètres!$A$1:$I$89,3,0)*VLOOKUP('Données projet'!$B$12,Paramètres!$A$1:$I$89,5,0)</f>
        <v>189.82080000000036</v>
      </c>
      <c r="CA194" s="13">
        <f t="shared" si="170"/>
        <v>47.500332100049881</v>
      </c>
      <c r="CB194" s="20">
        <f t="shared" si="171"/>
        <v>413.33430507425419</v>
      </c>
      <c r="CC194" s="59">
        <f t="shared" si="119"/>
        <v>706.66763840758745</v>
      </c>
      <c r="CD194" s="59">
        <f ca="1">AVERAGE(OFFSET($CC$3,0,0,'Données projet'!$E$12+1,1))-AVERAGE(OFFSET($H$3,0,0,'Données projet'!$E$12+1,1))</f>
        <v>192.4785660463869</v>
      </c>
      <c r="CE194" s="59">
        <f t="shared" si="148"/>
        <v>165.11095806515362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3.3390646101688543E-2</v>
      </c>
      <c r="CL194" s="21">
        <f>EXP(-LN(2)/25)*CL193+(1-EXP(-LN(2)/25))/(LN(2)/25)*Calculateur!CG194*Calculateur!CI194*VLOOKUP('Données projet'!$B$12,Paramètres!$A$1:$I$89,3,0)*0.475*44/12</f>
        <v>5.4377397518201656E-2</v>
      </c>
      <c r="CM194" s="21">
        <f>EXP(-LN(2)/2)*CM193+(1-EXP(-LN(2)/2))/(LN(2)/2)*CG194*CJ194*VLOOKUP('Données projet'!$B$12,Paramètres!$A$1:$I$89,3,0)*0.475*44/12</f>
        <v>4.2830374288324012E-24</v>
      </c>
      <c r="CN194" s="22">
        <f t="shared" si="172"/>
        <v>8.7768043619890199E-2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275.00000000000057</v>
      </c>
      <c r="CU194" s="17">
        <f>CT194*VLOOKUP('Données projet'!$B$13,Paramètres!$A$1:$I$89,3,0)*VLOOKUP('Données projet'!$B$13,Paramètres!$A$1:$I$89,5,0)</f>
        <v>231.66000000000051</v>
      </c>
      <c r="CV194" s="13">
        <f t="shared" si="173"/>
        <v>56.641461975682923</v>
      </c>
      <c r="CW194" s="20">
        <f t="shared" si="174"/>
        <v>502.12504627431525</v>
      </c>
      <c r="CX194" s="59">
        <f t="shared" si="122"/>
        <v>795.45837960764857</v>
      </c>
      <c r="CY194" s="59">
        <f ca="1">AVERAGE(OFFSET($CX$3,0,0,'Données projet'!$E$13+1,1))-AVERAGE(OFFSET($H$3,0,0,'Données projet'!$E$13+1,1))</f>
        <v>247.67539667223065</v>
      </c>
      <c r="CZ194" s="59">
        <f t="shared" si="150"/>
        <v>174.54442616983778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5.2837945479595062E-2</v>
      </c>
      <c r="DG194" s="21">
        <f>EXP(-LN(2)/25)*DG193+(1-EXP(-LN(2)/25))/(LN(2)/25)*Calculateur!DB194*Calculateur!DD194*VLOOKUP('Données projet'!$B$13,Paramètres!$A$1:$I$89,3,0)*0.475*44/12</f>
        <v>7.5727375426469207E-2</v>
      </c>
      <c r="DH194" s="21">
        <f>EXP(-LN(2)/2)*DH193+(1-EXP(-LN(2)/2))/(LN(2)/2)*DB194*DE194*VLOOKUP('Données projet'!$B$13,Paramètres!$A$1:$I$89,3,0)*0.475*44/12</f>
        <v>6.7344883734283064E-24</v>
      </c>
      <c r="DI194" s="22">
        <f t="shared" si="175"/>
        <v>0.12856532090606426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-5.6843418860808015E-13</v>
      </c>
      <c r="DP194" s="17">
        <f>DO194*VLOOKUP('Données projet'!$B$14,Paramètres!$A$1:$I$89,3,0)*VLOOKUP('Données projet'!$B$14,Paramètres!$A$1:$I$89,5,0)</f>
        <v>-5.6752469390630732E-13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245.06609107649069</v>
      </c>
      <c r="DU194" s="59">
        <f t="shared" si="152"/>
        <v>156.24531945456499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-2.5579538487363607E-13</v>
      </c>
      <c r="EK194" s="17">
        <f>EJ194*VLOOKUP('Données projet'!$B$15,Paramètres!$A$1:$I$89,3,0)*VLOOKUP('Données projet'!$B$15,Paramètres!$A$1:$I$89,5,0)</f>
        <v>-2.7932856028201057E-13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173.63857221119594</v>
      </c>
      <c r="EP194" s="59">
        <f t="shared" si="154"/>
        <v>52.373745617370105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199.58634493109349</v>
      </c>
      <c r="T195" s="59">
        <f t="shared" si="142"/>
        <v>288.66487031729008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0.20201554775341699</v>
      </c>
      <c r="AA195" s="21">
        <f>EXP(-LN(2)/25)*AA194+(1-EXP(-LN(2)/25))/(LN(2)/25)*Calculateur!V195*Calculateur!X195*VLOOKUP('Données projet'!$B$9,Paramètres!$A$1:$I$89,3,0)*0.475*44/12</f>
        <v>0.19190155995420413</v>
      </c>
      <c r="AB195" s="21">
        <f>EXP(-LN(2)/2)*AB194+(1-EXP(-LN(2)/2))/(LN(2)/2)*V195*Y195*VLOOKUP('Données projet'!$B$9,Paramètres!$A$1:$I$89,3,0)*0.475*44/12</f>
        <v>1.2200508110367179E-24</v>
      </c>
      <c r="AC195" s="22">
        <f t="shared" si="163"/>
        <v>0.39391710770762112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606.99999999999989</v>
      </c>
      <c r="AJ195" s="13">
        <f>AI195*VLOOKUP('Données projet'!$B$10,Paramètres!$A$1:$I$89,3,0)*VLOOKUP('Données projet'!$B$10,Paramètres!$A$1:$I$89,5,0)</f>
        <v>362.98599999999999</v>
      </c>
      <c r="AK195" s="13">
        <f t="shared" si="164"/>
        <v>84.230767602863935</v>
      </c>
      <c r="AL195" s="20">
        <f t="shared" si="165"/>
        <v>778.90253690832139</v>
      </c>
      <c r="AM195" s="59">
        <f t="shared" si="113"/>
        <v>1072.2358702416548</v>
      </c>
      <c r="AN195" s="59">
        <f ca="1">AVERAGE(OFFSET($AM$3,0,0,'Données projet'!$E$10+1,1))-AVERAGE(OFFSET($H$3,0,0,'Données projet'!$E$10+1,1))</f>
        <v>395.40396173178527</v>
      </c>
      <c r="AO195" s="59">
        <f t="shared" si="144"/>
        <v>304.68075128568756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0.12122229536438171</v>
      </c>
      <c r="AV195" s="21">
        <f>EXP(-LN(2)/25)*AV194+(1-EXP(-LN(2)/25))/(LN(2)/25)*Calculateur!AQ195*Calculateur!AS195*VLOOKUP('Données projet'!$B$10,Paramètres!$A$1:$I$89,3,0)*0.475*44/12</f>
        <v>0.20944034274043033</v>
      </c>
      <c r="AW195" s="21">
        <f>EXP(-LN(2)/2)*AW194+(1-EXP(-LN(2)/2))/(LN(2)/2)*AQ195*AT195*VLOOKUP('Données projet'!$B$10,Paramètres!$A$1:$I$89,3,0)*0.475*44/12</f>
        <v>1.0755839543640372E-23</v>
      </c>
      <c r="AX195" s="21">
        <f t="shared" si="166"/>
        <v>0.33066263810481206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36.10000000000008</v>
      </c>
      <c r="BE195" s="13">
        <f>BD195*VLOOKUP('Données projet'!$B$11,Paramètres!$A$1:$I$89,3,0)*VLOOKUP('Données projet'!$B$11,Paramètres!$A$1:$I$89,5,0)</f>
        <v>31.536960000000075</v>
      </c>
      <c r="BF195" s="13">
        <f t="shared" si="167"/>
        <v>9.725440120377133</v>
      </c>
      <c r="BG195" s="20">
        <f t="shared" si="168"/>
        <v>71.865346876323642</v>
      </c>
      <c r="BH195" s="59">
        <f t="shared" si="116"/>
        <v>365.19868020965697</v>
      </c>
      <c r="BI195" s="59">
        <f ca="1">AVERAGE(OFFSET($BH$3,0,0,'Données projet'!$E$11+1,1))-AVERAGE(OFFSET($H$3,0,0,'Données projet'!$E$11+1,1))</f>
        <v>249.21292089724221</v>
      </c>
      <c r="BJ195" s="59">
        <f t="shared" si="146"/>
        <v>640.80644476065254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4.5589700802077111</v>
      </c>
      <c r="BQ195" s="21">
        <f>EXP(-LN(2)/25)*BQ194+(1-EXP(-LN(2)/25))/(LN(2)/25)*Calculateur!BL195*Calculateur!BN195*VLOOKUP('Données projet'!$B$11,Paramètres!$A$1:$I$89,3,0)*0.475*44/12</f>
        <v>1.2006933387991234</v>
      </c>
      <c r="BR195" s="21">
        <f>EXP(-LN(2)/2)*BR194+(1-EXP(-LN(2)/2))/(LN(2)/2)*BL195*BO195*VLOOKUP('Données projet'!$B$11,Paramètres!$A$1:$I$89,3,0)*0.475*44/12</f>
        <v>3.4137554386748378E-23</v>
      </c>
      <c r="BS195" s="22">
        <f t="shared" si="169"/>
        <v>5.7596634190068343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234.00000000000045</v>
      </c>
      <c r="BZ195" s="13">
        <f>BY195*VLOOKUP('Données projet'!$B$12,Paramètres!$A$1:$I$89,3,0)*VLOOKUP('Données projet'!$B$12,Paramètres!$A$1:$I$89,5,0)</f>
        <v>189.82080000000036</v>
      </c>
      <c r="CA195" s="13">
        <f t="shared" si="170"/>
        <v>47.500332100049881</v>
      </c>
      <c r="CB195" s="20">
        <f t="shared" si="171"/>
        <v>413.33430507425419</v>
      </c>
      <c r="CC195" s="59">
        <f t="shared" si="119"/>
        <v>706.66763840758745</v>
      </c>
      <c r="CD195" s="59">
        <f ca="1">AVERAGE(OFFSET($CC$3,0,0,'Données projet'!$E$12+1,1))-AVERAGE(OFFSET($H$3,0,0,'Données projet'!$E$12+1,1))</f>
        <v>192.4785660463869</v>
      </c>
      <c r="CE195" s="59">
        <f t="shared" si="148"/>
        <v>165.11095806515362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3.273587589791755E-2</v>
      </c>
      <c r="CL195" s="21">
        <f>EXP(-LN(2)/25)*CL194+(1-EXP(-LN(2)/25))/(LN(2)/25)*Calculateur!CG195*Calculateur!CI195*VLOOKUP('Données projet'!$B$12,Paramètres!$A$1:$I$89,3,0)*0.475*44/12</f>
        <v>5.2890444723483379E-2</v>
      </c>
      <c r="CM195" s="21">
        <f>EXP(-LN(2)/2)*CM194+(1-EXP(-LN(2)/2))/(LN(2)/2)*CG195*CJ195*VLOOKUP('Données projet'!$B$12,Paramètres!$A$1:$I$89,3,0)*0.475*44/12</f>
        <v>3.0285648100031859E-24</v>
      </c>
      <c r="CN195" s="22">
        <f t="shared" si="172"/>
        <v>8.5626320621400936E-2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275.00000000000057</v>
      </c>
      <c r="CU195" s="17">
        <f>CT195*VLOOKUP('Données projet'!$B$13,Paramètres!$A$1:$I$89,3,0)*VLOOKUP('Données projet'!$B$13,Paramètres!$A$1:$I$89,5,0)</f>
        <v>231.66000000000051</v>
      </c>
      <c r="CV195" s="13">
        <f t="shared" si="173"/>
        <v>56.641461975682923</v>
      </c>
      <c r="CW195" s="20">
        <f t="shared" si="174"/>
        <v>502.12504627431525</v>
      </c>
      <c r="CX195" s="59">
        <f t="shared" si="122"/>
        <v>795.45837960764857</v>
      </c>
      <c r="CY195" s="59">
        <f ca="1">AVERAGE(OFFSET($CX$3,0,0,'Données projet'!$E$13+1,1))-AVERAGE(OFFSET($H$3,0,0,'Données projet'!$E$13+1,1))</f>
        <v>247.67539667223065</v>
      </c>
      <c r="CZ195" s="59">
        <f t="shared" si="150"/>
        <v>174.54442616983778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5.1801825596704695E-2</v>
      </c>
      <c r="DG195" s="21">
        <f>EXP(-LN(2)/25)*DG194+(1-EXP(-LN(2)/25))/(LN(2)/25)*Calculateur!DB195*Calculateur!DD195*VLOOKUP('Données projet'!$B$13,Paramètres!$A$1:$I$89,3,0)*0.475*44/12</f>
        <v>7.3656606363102811E-2</v>
      </c>
      <c r="DH195" s="21">
        <f>EXP(-LN(2)/2)*DH194+(1-EXP(-LN(2)/2))/(LN(2)/2)*DB195*DE195*VLOOKUP('Données projet'!$B$13,Paramètres!$A$1:$I$89,3,0)*0.475*44/12</f>
        <v>4.7620023966731179E-24</v>
      </c>
      <c r="DI195" s="22">
        <f t="shared" si="175"/>
        <v>0.12545843195980749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-5.6843418860808015E-13</v>
      </c>
      <c r="DP195" s="17">
        <f>DO195*VLOOKUP('Données projet'!$B$14,Paramètres!$A$1:$I$89,3,0)*VLOOKUP('Données projet'!$B$14,Paramètres!$A$1:$I$89,5,0)</f>
        <v>-5.6752469390630732E-13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245.06609107649069</v>
      </c>
      <c r="DU195" s="59">
        <f t="shared" si="152"/>
        <v>156.24531945456499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-2.5579538487363607E-13</v>
      </c>
      <c r="EK195" s="17">
        <f>EJ195*VLOOKUP('Données projet'!$B$15,Paramètres!$A$1:$I$89,3,0)*VLOOKUP('Données projet'!$B$15,Paramètres!$A$1:$I$89,5,0)</f>
        <v>-2.7932856028201057E-13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173.63857221119594</v>
      </c>
      <c r="EP195" s="59">
        <f t="shared" si="154"/>
        <v>52.373745617370105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199.58634493109349</v>
      </c>
      <c r="T196" s="59">
        <f t="shared" si="142"/>
        <v>288.66487031729008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0.19805414607928989</v>
      </c>
      <c r="AA196" s="21">
        <f>EXP(-LN(2)/25)*AA195+(1-EXP(-LN(2)/25))/(LN(2)/25)*Calculateur!V196*Calculateur!X196*VLOOKUP('Données projet'!$B$9,Paramètres!$A$1:$I$89,3,0)*0.475*44/12</f>
        <v>0.18665400170559199</v>
      </c>
      <c r="AB196" s="21">
        <f>EXP(-LN(2)/2)*AB195+(1-EXP(-LN(2)/2))/(LN(2)/2)*V196*Y196*VLOOKUP('Données projet'!$B$9,Paramètres!$A$1:$I$89,3,0)*0.475*44/12</f>
        <v>8.6270620187621033E-25</v>
      </c>
      <c r="AC196" s="22">
        <f t="shared" si="163"/>
        <v>0.38470814778488188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606.99999999999989</v>
      </c>
      <c r="AJ196" s="13">
        <f>AI196*VLOOKUP('Données projet'!$B$10,Paramètres!$A$1:$I$89,3,0)*VLOOKUP('Données projet'!$B$10,Paramètres!$A$1:$I$89,5,0)</f>
        <v>362.98599999999999</v>
      </c>
      <c r="AK196" s="13">
        <f t="shared" si="164"/>
        <v>84.230767602863935</v>
      </c>
      <c r="AL196" s="20">
        <f t="shared" si="165"/>
        <v>778.90253690832139</v>
      </c>
      <c r="AM196" s="59">
        <f t="shared" ref="AM196:AM203" si="193">AL196+(AD196+AE196)*44/12</f>
        <v>1072.2358702416548</v>
      </c>
      <c r="AN196" s="59">
        <f ca="1">AVERAGE(OFFSET($AM$3,0,0,'Données projet'!$E$10+1,1))-AVERAGE(OFFSET($H$3,0,0,'Données projet'!$E$10+1,1))</f>
        <v>395.40396173178527</v>
      </c>
      <c r="AO196" s="59">
        <f t="shared" si="144"/>
        <v>304.68075128568756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0.11884520009058556</v>
      </c>
      <c r="AV196" s="21">
        <f>EXP(-LN(2)/25)*AV195+(1-EXP(-LN(2)/25))/(LN(2)/25)*Calculateur!AQ196*Calculateur!AS196*VLOOKUP('Données projet'!$B$10,Paramètres!$A$1:$I$89,3,0)*0.475*44/12</f>
        <v>0.20371318555420431</v>
      </c>
      <c r="AW196" s="21">
        <f>EXP(-LN(2)/2)*AW195+(1-EXP(-LN(2)/2))/(LN(2)/2)*AQ196*AT196*VLOOKUP('Données projet'!$B$10,Paramètres!$A$1:$I$89,3,0)*0.475*44/12</f>
        <v>7.6055270786625278E-24</v>
      </c>
      <c r="AX196" s="21">
        <f t="shared" si="166"/>
        <v>0.32255838564478989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36.10000000000008</v>
      </c>
      <c r="BE196" s="13">
        <f>BD196*VLOOKUP('Données projet'!$B$11,Paramètres!$A$1:$I$89,3,0)*VLOOKUP('Données projet'!$B$11,Paramètres!$A$1:$I$89,5,0)</f>
        <v>31.536960000000075</v>
      </c>
      <c r="BF196" s="13">
        <f t="shared" si="167"/>
        <v>9.725440120377133</v>
      </c>
      <c r="BG196" s="20">
        <f t="shared" si="168"/>
        <v>71.865346876323642</v>
      </c>
      <c r="BH196" s="59">
        <f t="shared" ref="BH196:BH203" si="194">BG196+(AY196+AZ196)*44/12</f>
        <v>365.19868020965697</v>
      </c>
      <c r="BI196" s="59">
        <f ca="1">AVERAGE(OFFSET($BH$3,0,0,'Données projet'!$E$11+1,1))-AVERAGE(OFFSET($H$3,0,0,'Données projet'!$E$11+1,1))</f>
        <v>249.21292089724221</v>
      </c>
      <c r="BJ196" s="59">
        <f t="shared" si="146"/>
        <v>640.80644476065254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4.469571457632016</v>
      </c>
      <c r="BQ196" s="21">
        <f>EXP(-LN(2)/25)*BQ195+(1-EXP(-LN(2)/25))/(LN(2)/25)*Calculateur!BL196*Calculateur!BN196*VLOOKUP('Données projet'!$B$11,Paramètres!$A$1:$I$89,3,0)*0.475*44/12</f>
        <v>1.1678603163079428</v>
      </c>
      <c r="BR196" s="21">
        <f>EXP(-LN(2)/2)*BR195+(1-EXP(-LN(2)/2))/(LN(2)/2)*BL196*BO196*VLOOKUP('Données projet'!$B$11,Paramètres!$A$1:$I$89,3,0)*0.475*44/12</f>
        <v>2.4138896199994351E-23</v>
      </c>
      <c r="BS196" s="22">
        <f t="shared" si="169"/>
        <v>5.6374317739399586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234.00000000000045</v>
      </c>
      <c r="BZ196" s="13">
        <f>BY196*VLOOKUP('Données projet'!$B$12,Paramètres!$A$1:$I$89,3,0)*VLOOKUP('Données projet'!$B$12,Paramètres!$A$1:$I$89,5,0)</f>
        <v>189.82080000000036</v>
      </c>
      <c r="CA196" s="13">
        <f t="shared" si="170"/>
        <v>47.500332100049881</v>
      </c>
      <c r="CB196" s="20">
        <f t="shared" si="171"/>
        <v>413.33430507425419</v>
      </c>
      <c r="CC196" s="59">
        <f t="shared" ref="CC196:CC203" si="195">CB196+(BT196+BU196)*44/12</f>
        <v>706.66763840758745</v>
      </c>
      <c r="CD196" s="59">
        <f ca="1">AVERAGE(OFFSET($CC$3,0,0,'Données projet'!$E$12+1,1))-AVERAGE(OFFSET($H$3,0,0,'Données projet'!$E$12+1,1))</f>
        <v>192.4785660463869</v>
      </c>
      <c r="CE196" s="59">
        <f t="shared" si="148"/>
        <v>165.11095806515362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3.2093945338472117E-2</v>
      </c>
      <c r="CL196" s="21">
        <f>EXP(-LN(2)/25)*CL195+(1-EXP(-LN(2)/25))/(LN(2)/25)*Calculateur!CG196*Calculateur!CI196*VLOOKUP('Données projet'!$B$12,Paramètres!$A$1:$I$89,3,0)*0.475*44/12</f>
        <v>5.144415273113212E-2</v>
      </c>
      <c r="CM196" s="21">
        <f>EXP(-LN(2)/2)*CM195+(1-EXP(-LN(2)/2))/(LN(2)/2)*CG196*CJ196*VLOOKUP('Données projet'!$B$12,Paramètres!$A$1:$I$89,3,0)*0.475*44/12</f>
        <v>2.1415187144162006E-24</v>
      </c>
      <c r="CN196" s="22">
        <f t="shared" si="172"/>
        <v>8.3538098069604244E-2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275.00000000000057</v>
      </c>
      <c r="CU196" s="17">
        <f>CT196*VLOOKUP('Données projet'!$B$13,Paramètres!$A$1:$I$89,3,0)*VLOOKUP('Données projet'!$B$13,Paramètres!$A$1:$I$89,5,0)</f>
        <v>231.66000000000051</v>
      </c>
      <c r="CV196" s="13">
        <f t="shared" si="173"/>
        <v>56.641461975682923</v>
      </c>
      <c r="CW196" s="20">
        <f t="shared" si="174"/>
        <v>502.12504627431525</v>
      </c>
      <c r="CX196" s="59">
        <f t="shared" ref="CX196:CX203" si="196">CW196+(CO196+CP196)*44/12</f>
        <v>795.45837960764857</v>
      </c>
      <c r="CY196" s="59">
        <f ca="1">AVERAGE(OFFSET($CX$3,0,0,'Données projet'!$E$13+1,1))-AVERAGE(OFFSET($H$3,0,0,'Données projet'!$E$13+1,1))</f>
        <v>247.67539667223065</v>
      </c>
      <c r="CZ196" s="59">
        <f t="shared" si="150"/>
        <v>174.54442616983778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5.0786023392747084E-2</v>
      </c>
      <c r="DG196" s="21">
        <f>EXP(-LN(2)/25)*DG195+(1-EXP(-LN(2)/25))/(LN(2)/25)*Calculateur!DB196*Calculateur!DD196*VLOOKUP('Données projet'!$B$13,Paramètres!$A$1:$I$89,3,0)*0.475*44/12</f>
        <v>7.1642462588671185E-2</v>
      </c>
      <c r="DH196" s="21">
        <f>EXP(-LN(2)/2)*DH195+(1-EXP(-LN(2)/2))/(LN(2)/2)*DB196*DE196*VLOOKUP('Données projet'!$B$13,Paramètres!$A$1:$I$89,3,0)*0.475*44/12</f>
        <v>3.3672441867141532E-24</v>
      </c>
      <c r="DI196" s="22">
        <f t="shared" si="175"/>
        <v>0.12242848598141827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-5.6843418860808015E-13</v>
      </c>
      <c r="DP196" s="17">
        <f>DO196*VLOOKUP('Données projet'!$B$14,Paramètres!$A$1:$I$89,3,0)*VLOOKUP('Données projet'!$B$14,Paramètres!$A$1:$I$89,5,0)</f>
        <v>-5.6752469390630732E-13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245.06609107649069</v>
      </c>
      <c r="DU196" s="59">
        <f t="shared" si="152"/>
        <v>156.24531945456499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-2.5579538487363607E-13</v>
      </c>
      <c r="EK196" s="17">
        <f>EJ196*VLOOKUP('Données projet'!$B$15,Paramètres!$A$1:$I$89,3,0)*VLOOKUP('Données projet'!$B$15,Paramètres!$A$1:$I$89,5,0)</f>
        <v>-2.7932856028201057E-13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173.63857221119594</v>
      </c>
      <c r="EP196" s="59">
        <f t="shared" si="154"/>
        <v>52.373745617370105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199.58634493109349</v>
      </c>
      <c r="T197" s="59">
        <f t="shared" ref="T197:T203" si="204">$T$3</f>
        <v>288.66487031729008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0.194170425075776</v>
      </c>
      <c r="AA197" s="21">
        <f>EXP(-LN(2)/25)*AA196+(1-EXP(-LN(2)/25))/(LN(2)/25)*Calculateur!V197*Calculateur!X197*VLOOKUP('Données projet'!$B$9,Paramètres!$A$1:$I$89,3,0)*0.475*44/12</f>
        <v>0.18154993821324522</v>
      </c>
      <c r="AB197" s="21">
        <f>EXP(-LN(2)/2)*AB196+(1-EXP(-LN(2)/2))/(LN(2)/2)*V197*Y197*VLOOKUP('Données projet'!$B$9,Paramètres!$A$1:$I$89,3,0)*0.475*44/12</f>
        <v>6.1002540551835895E-25</v>
      </c>
      <c r="AC197" s="22">
        <f t="shared" si="163"/>
        <v>0.37572036328902125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606.99999999999989</v>
      </c>
      <c r="AJ197" s="13">
        <f>AI197*VLOOKUP('Données projet'!$B$10,Paramètres!$A$1:$I$89,3,0)*VLOOKUP('Données projet'!$B$10,Paramètres!$A$1:$I$89,5,0)</f>
        <v>362.98599999999999</v>
      </c>
      <c r="AK197" s="13">
        <f t="shared" si="164"/>
        <v>84.230767602863935</v>
      </c>
      <c r="AL197" s="20">
        <f t="shared" si="165"/>
        <v>778.90253690832139</v>
      </c>
      <c r="AM197" s="59">
        <f t="shared" si="193"/>
        <v>1072.2358702416548</v>
      </c>
      <c r="AN197" s="59">
        <f ca="1">AVERAGE(OFFSET($AM$3,0,0,'Données projet'!$E$10+1,1))-AVERAGE(OFFSET($H$3,0,0,'Données projet'!$E$10+1,1))</f>
        <v>395.40396173178527</v>
      </c>
      <c r="AO197" s="59">
        <f t="shared" ref="AO197:AO203" si="205">$AO$3</f>
        <v>304.68075128568756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0.11651471820522361</v>
      </c>
      <c r="AV197" s="21">
        <f>EXP(-LN(2)/25)*AV196+(1-EXP(-LN(2)/25))/(LN(2)/25)*Calculateur!AQ197*Calculateur!AS197*VLOOKUP('Données projet'!$B$10,Paramètres!$A$1:$I$89,3,0)*0.475*44/12</f>
        <v>0.19814263778241376</v>
      </c>
      <c r="AW197" s="21">
        <f>EXP(-LN(2)/2)*AW196+(1-EXP(-LN(2)/2))/(LN(2)/2)*AQ197*AT197*VLOOKUP('Données projet'!$B$10,Paramètres!$A$1:$I$89,3,0)*0.475*44/12</f>
        <v>5.3779197718201862E-24</v>
      </c>
      <c r="AX197" s="21">
        <f t="shared" si="166"/>
        <v>0.31465735598763733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36.10000000000008</v>
      </c>
      <c r="BE197" s="13">
        <f>BD197*VLOOKUP('Données projet'!$B$11,Paramètres!$A$1:$I$89,3,0)*VLOOKUP('Données projet'!$B$11,Paramètres!$A$1:$I$89,5,0)</f>
        <v>31.536960000000075</v>
      </c>
      <c r="BF197" s="13">
        <f t="shared" si="167"/>
        <v>9.725440120377133</v>
      </c>
      <c r="BG197" s="20">
        <f t="shared" si="168"/>
        <v>71.865346876323642</v>
      </c>
      <c r="BH197" s="59">
        <f t="shared" si="194"/>
        <v>365.19868020965697</v>
      </c>
      <c r="BI197" s="59">
        <f ca="1">AVERAGE(OFFSET($BH$3,0,0,'Données projet'!$E$11+1,1))-AVERAGE(OFFSET($H$3,0,0,'Données projet'!$E$11+1,1))</f>
        <v>249.21292089724221</v>
      </c>
      <c r="BJ197" s="59">
        <f t="shared" ref="BJ197:BJ203" si="206">$BJ$3</f>
        <v>640.80644476065254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4.3819258875172542</v>
      </c>
      <c r="BQ197" s="21">
        <f>EXP(-LN(2)/25)*BQ196+(1-EXP(-LN(2)/25))/(LN(2)/25)*Calculateur!BL197*Calculateur!BN197*VLOOKUP('Données projet'!$B$11,Paramètres!$A$1:$I$89,3,0)*0.475*44/12</f>
        <v>1.1359251145433973</v>
      </c>
      <c r="BR197" s="21">
        <f>EXP(-LN(2)/2)*BR196+(1-EXP(-LN(2)/2))/(LN(2)/2)*BL197*BO197*VLOOKUP('Données projet'!$B$11,Paramètres!$A$1:$I$89,3,0)*0.475*44/12</f>
        <v>1.7068777193374189E-23</v>
      </c>
      <c r="BS197" s="22">
        <f t="shared" si="169"/>
        <v>5.5178510020606515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234.00000000000045</v>
      </c>
      <c r="BZ197" s="13">
        <f>BY197*VLOOKUP('Données projet'!$B$12,Paramètres!$A$1:$I$89,3,0)*VLOOKUP('Données projet'!$B$12,Paramètres!$A$1:$I$89,5,0)</f>
        <v>189.82080000000036</v>
      </c>
      <c r="CA197" s="13">
        <f t="shared" si="170"/>
        <v>47.500332100049881</v>
      </c>
      <c r="CB197" s="20">
        <f t="shared" si="171"/>
        <v>413.33430507425419</v>
      </c>
      <c r="CC197" s="59">
        <f t="shared" si="195"/>
        <v>706.66763840758745</v>
      </c>
      <c r="CD197" s="59">
        <f ca="1">AVERAGE(OFFSET($CC$3,0,0,'Données projet'!$E$12+1,1))-AVERAGE(OFFSET($H$3,0,0,'Données projet'!$E$12+1,1))</f>
        <v>192.4785660463869</v>
      </c>
      <c r="CE197" s="59">
        <f t="shared" ref="CE197:CE203" si="207">$CE$3</f>
        <v>165.11095806515362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3.1464602645758427E-2</v>
      </c>
      <c r="CL197" s="21">
        <f>EXP(-LN(2)/25)*CL196+(1-EXP(-LN(2)/25))/(LN(2)/25)*Calculateur!CG197*Calculateur!CI197*VLOOKUP('Données projet'!$B$12,Paramètres!$A$1:$I$89,3,0)*0.475*44/12</f>
        <v>5.0037409669368899E-2</v>
      </c>
      <c r="CM197" s="21">
        <f>EXP(-LN(2)/2)*CM196+(1-EXP(-LN(2)/2))/(LN(2)/2)*CG197*CJ197*VLOOKUP('Données projet'!$B$12,Paramètres!$A$1:$I$89,3,0)*0.475*44/12</f>
        <v>1.5142824050015929E-24</v>
      </c>
      <c r="CN197" s="22">
        <f t="shared" si="172"/>
        <v>8.1502012315127326E-2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275.00000000000057</v>
      </c>
      <c r="CU197" s="17">
        <f>CT197*VLOOKUP('Données projet'!$B$13,Paramètres!$A$1:$I$89,3,0)*VLOOKUP('Données projet'!$B$13,Paramètres!$A$1:$I$89,5,0)</f>
        <v>231.66000000000051</v>
      </c>
      <c r="CV197" s="13">
        <f t="shared" si="173"/>
        <v>56.641461975682923</v>
      </c>
      <c r="CW197" s="20">
        <f t="shared" si="174"/>
        <v>502.12504627431525</v>
      </c>
      <c r="CX197" s="59">
        <f t="shared" si="196"/>
        <v>795.45837960764857</v>
      </c>
      <c r="CY197" s="59">
        <f ca="1">AVERAGE(OFFSET($CX$3,0,0,'Données projet'!$E$13+1,1))-AVERAGE(OFFSET($H$3,0,0,'Données projet'!$E$13+1,1))</f>
        <v>247.67539667223065</v>
      </c>
      <c r="CZ197" s="59">
        <f t="shared" ref="CZ197:CZ203" si="208">$CZ$3</f>
        <v>174.54442616983778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4.9790140450430918E-2</v>
      </c>
      <c r="DG197" s="21">
        <f>EXP(-LN(2)/25)*DG196+(1-EXP(-LN(2)/25))/(LN(2)/25)*Calculateur!DB197*Calculateur!DD197*VLOOKUP('Données projet'!$B$13,Paramètres!$A$1:$I$89,3,0)*0.475*44/12</f>
        <v>6.9683395681670604E-2</v>
      </c>
      <c r="DH197" s="21">
        <f>EXP(-LN(2)/2)*DH196+(1-EXP(-LN(2)/2))/(LN(2)/2)*DB197*DE197*VLOOKUP('Données projet'!$B$13,Paramètres!$A$1:$I$89,3,0)*0.475*44/12</f>
        <v>2.3810011983365589E-24</v>
      </c>
      <c r="DI197" s="22">
        <f t="shared" si="175"/>
        <v>0.11947353613210152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-5.6843418860808015E-13</v>
      </c>
      <c r="DP197" s="17">
        <f>DO197*VLOOKUP('Données projet'!$B$14,Paramètres!$A$1:$I$89,3,0)*VLOOKUP('Données projet'!$B$14,Paramètres!$A$1:$I$89,5,0)</f>
        <v>-5.6752469390630732E-13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245.06609107649069</v>
      </c>
      <c r="DU197" s="59">
        <f t="shared" ref="DU197:DU203" si="209">$DU$3</f>
        <v>156.24531945456499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-2.5579538487363607E-13</v>
      </c>
      <c r="EK197" s="17">
        <f>EJ197*VLOOKUP('Données projet'!$B$15,Paramètres!$A$1:$I$89,3,0)*VLOOKUP('Données projet'!$B$15,Paramètres!$A$1:$I$89,5,0)</f>
        <v>-2.7932856028201057E-13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173.63857221119594</v>
      </c>
      <c r="EP197" s="59">
        <f t="shared" ref="EP197:EP203" si="210">$EP$3</f>
        <v>52.373745617370105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199.58634493109349</v>
      </c>
      <c r="T198" s="59">
        <f t="shared" si="204"/>
        <v>288.66487031729008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0.19036286147230511</v>
      </c>
      <c r="AA198" s="21">
        <f>EXP(-LN(2)/25)*AA197+(1-EXP(-LN(2)/25))/(LN(2)/25)*Calculateur!V198*Calculateur!X198*VLOOKUP('Données projet'!$B$9,Paramètres!$A$1:$I$89,3,0)*0.475*44/12</f>
        <v>0.17658544560550771</v>
      </c>
      <c r="AB198" s="21">
        <f>EXP(-LN(2)/2)*AB197+(1-EXP(-LN(2)/2))/(LN(2)/2)*V198*Y198*VLOOKUP('Données projet'!$B$9,Paramètres!$A$1:$I$89,3,0)*0.475*44/12</f>
        <v>4.3135310093810516E-25</v>
      </c>
      <c r="AC198" s="22">
        <f t="shared" si="163"/>
        <v>0.36694830707781279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606.99999999999989</v>
      </c>
      <c r="AJ198" s="13">
        <f>AI198*VLOOKUP('Données projet'!$B$10,Paramètres!$A$1:$I$89,3,0)*VLOOKUP('Données projet'!$B$10,Paramètres!$A$1:$I$89,5,0)</f>
        <v>362.98599999999999</v>
      </c>
      <c r="AK198" s="13">
        <f t="shared" si="164"/>
        <v>84.230767602863935</v>
      </c>
      <c r="AL198" s="20">
        <f t="shared" si="165"/>
        <v>778.90253690832139</v>
      </c>
      <c r="AM198" s="59">
        <f t="shared" si="193"/>
        <v>1072.2358702416548</v>
      </c>
      <c r="AN198" s="59">
        <f ca="1">AVERAGE(OFFSET($AM$3,0,0,'Données projet'!$E$10+1,1))-AVERAGE(OFFSET($H$3,0,0,'Données projet'!$E$10+1,1))</f>
        <v>395.40396173178527</v>
      </c>
      <c r="AO198" s="59">
        <f t="shared" si="205"/>
        <v>304.68075128568756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0.11422993564818</v>
      </c>
      <c r="AV198" s="21">
        <f>EXP(-LN(2)/25)*AV197+(1-EXP(-LN(2)/25))/(LN(2)/25)*Calculateur!AQ198*Calculateur!AS198*VLOOKUP('Données projet'!$B$10,Paramètres!$A$1:$I$89,3,0)*0.475*44/12</f>
        <v>0.19272441693238518</v>
      </c>
      <c r="AW198" s="21">
        <f>EXP(-LN(2)/2)*AW197+(1-EXP(-LN(2)/2))/(LN(2)/2)*AQ198*AT198*VLOOKUP('Données projet'!$B$10,Paramètres!$A$1:$I$89,3,0)*0.475*44/12</f>
        <v>3.8027635393312639E-24</v>
      </c>
      <c r="AX198" s="21">
        <f t="shared" si="166"/>
        <v>0.30695435258056519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36.10000000000008</v>
      </c>
      <c r="BE198" s="13">
        <f>BD198*VLOOKUP('Données projet'!$B$11,Paramètres!$A$1:$I$89,3,0)*VLOOKUP('Données projet'!$B$11,Paramètres!$A$1:$I$89,5,0)</f>
        <v>31.536960000000075</v>
      </c>
      <c r="BF198" s="13">
        <f t="shared" si="167"/>
        <v>9.725440120377133</v>
      </c>
      <c r="BG198" s="20">
        <f t="shared" si="168"/>
        <v>71.865346876323642</v>
      </c>
      <c r="BH198" s="59">
        <f t="shared" si="194"/>
        <v>365.19868020965697</v>
      </c>
      <c r="BI198" s="59">
        <f ca="1">AVERAGE(OFFSET($BH$3,0,0,'Données projet'!$E$11+1,1))-AVERAGE(OFFSET($H$3,0,0,'Données projet'!$E$11+1,1))</f>
        <v>249.21292089724221</v>
      </c>
      <c r="BJ198" s="59">
        <f t="shared" si="206"/>
        <v>640.80644476065254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4.2959989935739236</v>
      </c>
      <c r="BQ198" s="21">
        <f>EXP(-LN(2)/25)*BQ197+(1-EXP(-LN(2)/25))/(LN(2)/25)*Calculateur!BL198*Calculateur!BN198*VLOOKUP('Données projet'!$B$11,Paramètres!$A$1:$I$89,3,0)*0.475*44/12</f>
        <v>1.1048631825505024</v>
      </c>
      <c r="BR198" s="21">
        <f>EXP(-LN(2)/2)*BR197+(1-EXP(-LN(2)/2))/(LN(2)/2)*BL198*BO198*VLOOKUP('Données projet'!$B$11,Paramètres!$A$1:$I$89,3,0)*0.475*44/12</f>
        <v>1.2069448099997176E-23</v>
      </c>
      <c r="BS198" s="22">
        <f t="shared" si="169"/>
        <v>5.4008621761244262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234.00000000000045</v>
      </c>
      <c r="BZ198" s="13">
        <f>BY198*VLOOKUP('Données projet'!$B$12,Paramètres!$A$1:$I$89,3,0)*VLOOKUP('Données projet'!$B$12,Paramètres!$A$1:$I$89,5,0)</f>
        <v>189.82080000000036</v>
      </c>
      <c r="CA198" s="13">
        <f t="shared" si="170"/>
        <v>47.500332100049881</v>
      </c>
      <c r="CB198" s="20">
        <f t="shared" si="171"/>
        <v>413.33430507425419</v>
      </c>
      <c r="CC198" s="59">
        <f t="shared" si="195"/>
        <v>706.66763840758745</v>
      </c>
      <c r="CD198" s="59">
        <f ca="1">AVERAGE(OFFSET($CC$3,0,0,'Données projet'!$E$12+1,1))-AVERAGE(OFFSET($H$3,0,0,'Données projet'!$E$12+1,1))</f>
        <v>192.4785660463869</v>
      </c>
      <c r="CE198" s="59">
        <f t="shared" si="207"/>
        <v>165.11095806515362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3.0847600979387713E-2</v>
      </c>
      <c r="CL198" s="21">
        <f>EXP(-LN(2)/25)*CL197+(1-EXP(-LN(2)/25))/(LN(2)/25)*Calculateur!CG198*Calculateur!CI198*VLOOKUP('Données projet'!$B$12,Paramètres!$A$1:$I$89,3,0)*0.475*44/12</f>
        <v>4.8669134070606995E-2</v>
      </c>
      <c r="CM198" s="21">
        <f>EXP(-LN(2)/2)*CM197+(1-EXP(-LN(2)/2))/(LN(2)/2)*CG198*CJ198*VLOOKUP('Données projet'!$B$12,Paramètres!$A$1:$I$89,3,0)*0.475*44/12</f>
        <v>1.0707593572081003E-24</v>
      </c>
      <c r="CN198" s="22">
        <f t="shared" si="172"/>
        <v>7.9516735049994708E-2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275.00000000000057</v>
      </c>
      <c r="CU198" s="17">
        <f>CT198*VLOOKUP('Données projet'!$B$13,Paramètres!$A$1:$I$89,3,0)*VLOOKUP('Données projet'!$B$13,Paramètres!$A$1:$I$89,5,0)</f>
        <v>231.66000000000051</v>
      </c>
      <c r="CV198" s="13">
        <f t="shared" si="173"/>
        <v>56.641461975682923</v>
      </c>
      <c r="CW198" s="20">
        <f t="shared" si="174"/>
        <v>502.12504627431525</v>
      </c>
      <c r="CX198" s="59">
        <f t="shared" si="196"/>
        <v>795.45837960764857</v>
      </c>
      <c r="CY198" s="59">
        <f ca="1">AVERAGE(OFFSET($CX$3,0,0,'Données projet'!$E$13+1,1))-AVERAGE(OFFSET($H$3,0,0,'Données projet'!$E$13+1,1))</f>
        <v>247.67539667223065</v>
      </c>
      <c r="CZ198" s="59">
        <f t="shared" si="208"/>
        <v>174.54442616983778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4.8813786165184954E-2</v>
      </c>
      <c r="DG198" s="21">
        <f>EXP(-LN(2)/25)*DG197+(1-EXP(-LN(2)/25))/(LN(2)/25)*Calculateur!DB198*Calculateur!DD198*VLOOKUP('Données projet'!$B$13,Paramètres!$A$1:$I$89,3,0)*0.475*44/12</f>
        <v>6.7777899562264807E-2</v>
      </c>
      <c r="DH198" s="21">
        <f>EXP(-LN(2)/2)*DH197+(1-EXP(-LN(2)/2))/(LN(2)/2)*DB198*DE198*VLOOKUP('Données projet'!$B$13,Paramètres!$A$1:$I$89,3,0)*0.475*44/12</f>
        <v>1.6836220933570766E-24</v>
      </c>
      <c r="DI198" s="22">
        <f t="shared" si="175"/>
        <v>0.11659168572744977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-5.6843418860808015E-13</v>
      </c>
      <c r="DP198" s="17">
        <f>DO198*VLOOKUP('Données projet'!$B$14,Paramètres!$A$1:$I$89,3,0)*VLOOKUP('Données projet'!$B$14,Paramètres!$A$1:$I$89,5,0)</f>
        <v>-5.6752469390630732E-13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245.06609107649069</v>
      </c>
      <c r="DU198" s="59">
        <f t="shared" si="209"/>
        <v>156.24531945456499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-2.5579538487363607E-13</v>
      </c>
      <c r="EK198" s="17">
        <f>EJ198*VLOOKUP('Données projet'!$B$15,Paramètres!$A$1:$I$89,3,0)*VLOOKUP('Données projet'!$B$15,Paramètres!$A$1:$I$89,5,0)</f>
        <v>-2.7932856028201057E-13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173.63857221119594</v>
      </c>
      <c r="EP198" s="59">
        <f t="shared" si="210"/>
        <v>52.373745617370105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199.58634493109349</v>
      </c>
      <c r="T199" s="59">
        <f t="shared" si="204"/>
        <v>288.66487031729008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0.18662996186871381</v>
      </c>
      <c r="AA199" s="21">
        <f>EXP(-LN(2)/25)*AA198+(1-EXP(-LN(2)/25))/(LN(2)/25)*Calculateur!V199*Calculateur!X199*VLOOKUP('Données projet'!$B$9,Paramètres!$A$1:$I$89,3,0)*0.475*44/12</f>
        <v>0.17175670730920012</v>
      </c>
      <c r="AB199" s="21">
        <f>EXP(-LN(2)/2)*AB198+(1-EXP(-LN(2)/2))/(LN(2)/2)*V199*Y199*VLOOKUP('Données projet'!$B$9,Paramètres!$A$1:$I$89,3,0)*0.475*44/12</f>
        <v>3.0501270275917948E-25</v>
      </c>
      <c r="AC199" s="22">
        <f t="shared" si="163"/>
        <v>0.35838666917791395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606.99999999999989</v>
      </c>
      <c r="AJ199" s="13">
        <f>AI199*VLOOKUP('Données projet'!$B$10,Paramètres!$A$1:$I$89,3,0)*VLOOKUP('Données projet'!$B$10,Paramètres!$A$1:$I$89,5,0)</f>
        <v>362.98599999999999</v>
      </c>
      <c r="AK199" s="13">
        <f t="shared" si="164"/>
        <v>84.230767602863935</v>
      </c>
      <c r="AL199" s="20">
        <f t="shared" si="165"/>
        <v>778.90253690832139</v>
      </c>
      <c r="AM199" s="59">
        <f t="shared" si="193"/>
        <v>1072.2358702416548</v>
      </c>
      <c r="AN199" s="59">
        <f ca="1">AVERAGE(OFFSET($AM$3,0,0,'Données projet'!$E$10+1,1))-AVERAGE(OFFSET($H$3,0,0,'Données projet'!$E$10+1,1))</f>
        <v>395.40396173178527</v>
      </c>
      <c r="AO199" s="59">
        <f t="shared" si="205"/>
        <v>304.68075128568756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0.11198995628350027</v>
      </c>
      <c r="AV199" s="21">
        <f>EXP(-LN(2)/25)*AV198+(1-EXP(-LN(2)/25))/(LN(2)/25)*Calculateur!AQ199*Calculateur!AS199*VLOOKUP('Données projet'!$B$10,Paramètres!$A$1:$I$89,3,0)*0.475*44/12</f>
        <v>0.1874543576164325</v>
      </c>
      <c r="AW199" s="21">
        <f>EXP(-LN(2)/2)*AW198+(1-EXP(-LN(2)/2))/(LN(2)/2)*AQ199*AT199*VLOOKUP('Données projet'!$B$10,Paramètres!$A$1:$I$89,3,0)*0.475*44/12</f>
        <v>2.6889598859100931E-24</v>
      </c>
      <c r="AX199" s="21">
        <f t="shared" si="166"/>
        <v>0.29944431389993276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36.10000000000008</v>
      </c>
      <c r="BE199" s="13">
        <f>BD199*VLOOKUP('Données projet'!$B$11,Paramètres!$A$1:$I$89,3,0)*VLOOKUP('Données projet'!$B$11,Paramètres!$A$1:$I$89,5,0)</f>
        <v>31.536960000000075</v>
      </c>
      <c r="BF199" s="13">
        <f t="shared" si="167"/>
        <v>9.725440120377133</v>
      </c>
      <c r="BG199" s="20">
        <f t="shared" si="168"/>
        <v>71.865346876323642</v>
      </c>
      <c r="BH199" s="59">
        <f t="shared" si="194"/>
        <v>365.19868020965697</v>
      </c>
      <c r="BI199" s="59">
        <f ca="1">AVERAGE(OFFSET($BH$3,0,0,'Données projet'!$E$11+1,1))-AVERAGE(OFFSET($H$3,0,0,'Données projet'!$E$11+1,1))</f>
        <v>249.21292089724221</v>
      </c>
      <c r="BJ199" s="59">
        <f t="shared" si="206"/>
        <v>640.80644476065254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4.2117570736105918</v>
      </c>
      <c r="BQ199" s="21">
        <f>EXP(-LN(2)/25)*BQ198+(1-EXP(-LN(2)/25))/(LN(2)/25)*Calculateur!BL199*Calculateur!BN199*VLOOKUP('Données projet'!$B$11,Paramètres!$A$1:$I$89,3,0)*0.475*44/12</f>
        <v>1.0746506407214294</v>
      </c>
      <c r="BR199" s="21">
        <f>EXP(-LN(2)/2)*BR198+(1-EXP(-LN(2)/2))/(LN(2)/2)*BL199*BO199*VLOOKUP('Données projet'!$B$11,Paramètres!$A$1:$I$89,3,0)*0.475*44/12</f>
        <v>8.5343885966870945E-24</v>
      </c>
      <c r="BS199" s="22">
        <f t="shared" si="169"/>
        <v>5.2864077143320216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234.00000000000045</v>
      </c>
      <c r="BZ199" s="13">
        <f>BY199*VLOOKUP('Données projet'!$B$12,Paramètres!$A$1:$I$89,3,0)*VLOOKUP('Données projet'!$B$12,Paramètres!$A$1:$I$89,5,0)</f>
        <v>189.82080000000036</v>
      </c>
      <c r="CA199" s="13">
        <f t="shared" si="170"/>
        <v>47.500332100049881</v>
      </c>
      <c r="CB199" s="20">
        <f t="shared" si="171"/>
        <v>413.33430507425419</v>
      </c>
      <c r="CC199" s="59">
        <f t="shared" si="195"/>
        <v>706.66763840758745</v>
      </c>
      <c r="CD199" s="59">
        <f ca="1">AVERAGE(OFFSET($CC$3,0,0,'Données projet'!$E$12+1,1))-AVERAGE(OFFSET($H$3,0,0,'Données projet'!$E$12+1,1))</f>
        <v>192.4785660463869</v>
      </c>
      <c r="CE199" s="59">
        <f t="shared" si="207"/>
        <v>165.11095806515362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3.0242698339360673E-2</v>
      </c>
      <c r="CL199" s="21">
        <f>EXP(-LN(2)/25)*CL198+(1-EXP(-LN(2)/25))/(LN(2)/25)*Calculateur!CG199*Calculateur!CI199*VLOOKUP('Données projet'!$B$12,Paramètres!$A$1:$I$89,3,0)*0.475*44/12</f>
        <v>4.7338274040047722E-2</v>
      </c>
      <c r="CM199" s="21">
        <f>EXP(-LN(2)/2)*CM198+(1-EXP(-LN(2)/2))/(LN(2)/2)*CG199*CJ199*VLOOKUP('Données projet'!$B$12,Paramètres!$A$1:$I$89,3,0)*0.475*44/12</f>
        <v>7.5714120250079647E-25</v>
      </c>
      <c r="CN199" s="22">
        <f t="shared" si="172"/>
        <v>7.7580972379408392E-2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275.00000000000057</v>
      </c>
      <c r="CU199" s="17">
        <f>CT199*VLOOKUP('Données projet'!$B$13,Paramètres!$A$1:$I$89,3,0)*VLOOKUP('Données projet'!$B$13,Paramètres!$A$1:$I$89,5,0)</f>
        <v>231.66000000000051</v>
      </c>
      <c r="CV199" s="13">
        <f t="shared" si="173"/>
        <v>56.641461975682923</v>
      </c>
      <c r="CW199" s="20">
        <f t="shared" si="174"/>
        <v>502.12504627431525</v>
      </c>
      <c r="CX199" s="59">
        <f t="shared" si="196"/>
        <v>795.45837960764857</v>
      </c>
      <c r="CY199" s="59">
        <f ca="1">AVERAGE(OFFSET($CX$3,0,0,'Données projet'!$E$13+1,1))-AVERAGE(OFFSET($H$3,0,0,'Données projet'!$E$13+1,1))</f>
        <v>247.67539667223065</v>
      </c>
      <c r="CZ199" s="59">
        <f t="shared" si="208"/>
        <v>174.54442616983778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4.785657759195535E-2</v>
      </c>
      <c r="DG199" s="21">
        <f>EXP(-LN(2)/25)*DG198+(1-EXP(-LN(2)/25))/(LN(2)/25)*Calculateur!DB199*Calculateur!DD199*VLOOKUP('Données projet'!$B$13,Paramètres!$A$1:$I$89,3,0)*0.475*44/12</f>
        <v>6.5924509334449849E-2</v>
      </c>
      <c r="DH199" s="21">
        <f>EXP(-LN(2)/2)*DH198+(1-EXP(-LN(2)/2))/(LN(2)/2)*DB199*DE199*VLOOKUP('Données projet'!$B$13,Paramètres!$A$1:$I$89,3,0)*0.475*44/12</f>
        <v>1.1905005991682795E-24</v>
      </c>
      <c r="DI199" s="22">
        <f t="shared" si="175"/>
        <v>0.11378108692640521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-5.6843418860808015E-13</v>
      </c>
      <c r="DP199" s="17">
        <f>DO199*VLOOKUP('Données projet'!$B$14,Paramètres!$A$1:$I$89,3,0)*VLOOKUP('Données projet'!$B$14,Paramètres!$A$1:$I$89,5,0)</f>
        <v>-5.6752469390630732E-13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245.06609107649069</v>
      </c>
      <c r="DU199" s="59">
        <f t="shared" si="209"/>
        <v>156.24531945456499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-2.5579538487363607E-13</v>
      </c>
      <c r="EK199" s="17">
        <f>EJ199*VLOOKUP('Données projet'!$B$15,Paramètres!$A$1:$I$89,3,0)*VLOOKUP('Données projet'!$B$15,Paramètres!$A$1:$I$89,5,0)</f>
        <v>-2.7932856028201057E-13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173.63857221119594</v>
      </c>
      <c r="EP199" s="59">
        <f t="shared" si="210"/>
        <v>52.373745617370105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199.58634493109349</v>
      </c>
      <c r="T200" s="59">
        <f t="shared" si="204"/>
        <v>288.66487031729008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0.18297026214950499</v>
      </c>
      <c r="AA200" s="21">
        <f>EXP(-LN(2)/25)*AA199+(1-EXP(-LN(2)/25))/(LN(2)/25)*Calculateur!V200*Calculateur!X200*VLOOKUP('Données projet'!$B$9,Paramètres!$A$1:$I$89,3,0)*0.475*44/12</f>
        <v>0.16706001111553737</v>
      </c>
      <c r="AB200" s="21">
        <f>EXP(-LN(2)/2)*AB199+(1-EXP(-LN(2)/2))/(LN(2)/2)*V200*Y200*VLOOKUP('Données projet'!$B$9,Paramètres!$A$1:$I$89,3,0)*0.475*44/12</f>
        <v>2.1567655046905258E-25</v>
      </c>
      <c r="AC200" s="22">
        <f t="shared" si="163"/>
        <v>0.35003027326504232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606.99999999999989</v>
      </c>
      <c r="AJ200" s="13">
        <f>AI200*VLOOKUP('Données projet'!$B$10,Paramètres!$A$1:$I$89,3,0)*VLOOKUP('Données projet'!$B$10,Paramètres!$A$1:$I$89,5,0)</f>
        <v>362.98599999999999</v>
      </c>
      <c r="AK200" s="13">
        <f t="shared" si="164"/>
        <v>84.230767602863935</v>
      </c>
      <c r="AL200" s="20">
        <f t="shared" si="165"/>
        <v>778.90253690832139</v>
      </c>
      <c r="AM200" s="59">
        <f t="shared" si="193"/>
        <v>1072.2358702416548</v>
      </c>
      <c r="AN200" s="59">
        <f ca="1">AVERAGE(OFFSET($AM$3,0,0,'Données projet'!$E$10+1,1))-AVERAGE(OFFSET($H$3,0,0,'Données projet'!$E$10+1,1))</f>
        <v>395.40396173178527</v>
      </c>
      <c r="AO200" s="59">
        <f t="shared" si="205"/>
        <v>304.68075128568756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0.10979390154790938</v>
      </c>
      <c r="AV200" s="21">
        <f>EXP(-LN(2)/25)*AV199+(1-EXP(-LN(2)/25))/(LN(2)/25)*Calculateur!AQ200*Calculateur!AS200*VLOOKUP('Données projet'!$B$10,Paramètres!$A$1:$I$89,3,0)*0.475*44/12</f>
        <v>0.18232840834961492</v>
      </c>
      <c r="AW200" s="21">
        <f>EXP(-LN(2)/2)*AW199+(1-EXP(-LN(2)/2))/(LN(2)/2)*AQ200*AT200*VLOOKUP('Données projet'!$B$10,Paramètres!$A$1:$I$89,3,0)*0.475*44/12</f>
        <v>1.901381769665632E-24</v>
      </c>
      <c r="AX200" s="21">
        <f t="shared" si="166"/>
        <v>0.2921223098975243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36.10000000000008</v>
      </c>
      <c r="BE200" s="13">
        <f>BD200*VLOOKUP('Données projet'!$B$11,Paramètres!$A$1:$I$89,3,0)*VLOOKUP('Données projet'!$B$11,Paramètres!$A$1:$I$89,5,0)</f>
        <v>31.536960000000075</v>
      </c>
      <c r="BF200" s="13">
        <f t="shared" si="167"/>
        <v>9.725440120377133</v>
      </c>
      <c r="BG200" s="20">
        <f t="shared" si="168"/>
        <v>71.865346876323642</v>
      </c>
      <c r="BH200" s="59">
        <f t="shared" si="194"/>
        <v>365.19868020965697</v>
      </c>
      <c r="BI200" s="59">
        <f ca="1">AVERAGE(OFFSET($BH$3,0,0,'Données projet'!$E$11+1,1))-AVERAGE(OFFSET($H$3,0,0,'Données projet'!$E$11+1,1))</f>
        <v>249.21292089724221</v>
      </c>
      <c r="BJ200" s="59">
        <f t="shared" si="206"/>
        <v>640.80644476065254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4.1291670863152437</v>
      </c>
      <c r="BQ200" s="21">
        <f>EXP(-LN(2)/25)*BQ199+(1-EXP(-LN(2)/25))/(LN(2)/25)*Calculateur!BL200*Calculateur!BN200*VLOOKUP('Données projet'!$B$11,Paramètres!$A$1:$I$89,3,0)*0.475*44/12</f>
        <v>1.0452642624374808</v>
      </c>
      <c r="BR200" s="21">
        <f>EXP(-LN(2)/2)*BR199+(1-EXP(-LN(2)/2))/(LN(2)/2)*BL200*BO200*VLOOKUP('Données projet'!$B$11,Paramètres!$A$1:$I$89,3,0)*0.475*44/12</f>
        <v>6.0347240499985878E-24</v>
      </c>
      <c r="BS200" s="22">
        <f t="shared" si="169"/>
        <v>5.1744313487527247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234.00000000000045</v>
      </c>
      <c r="BZ200" s="13">
        <f>BY200*VLOOKUP('Données projet'!$B$12,Paramètres!$A$1:$I$89,3,0)*VLOOKUP('Données projet'!$B$12,Paramètres!$A$1:$I$89,5,0)</f>
        <v>189.82080000000036</v>
      </c>
      <c r="CA200" s="13">
        <f t="shared" si="170"/>
        <v>47.500332100049881</v>
      </c>
      <c r="CB200" s="20">
        <f t="shared" si="171"/>
        <v>413.33430507425419</v>
      </c>
      <c r="CC200" s="59">
        <f t="shared" si="195"/>
        <v>706.66763840758745</v>
      </c>
      <c r="CD200" s="59">
        <f ca="1">AVERAGE(OFFSET($CC$3,0,0,'Données projet'!$E$12+1,1))-AVERAGE(OFFSET($H$3,0,0,'Données projet'!$E$12+1,1))</f>
        <v>192.4785660463869</v>
      </c>
      <c r="CE200" s="59">
        <f t="shared" si="207"/>
        <v>165.11095806515362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2.9649657471150385E-2</v>
      </c>
      <c r="CL200" s="21">
        <f>EXP(-LN(2)/25)*CL199+(1-EXP(-LN(2)/25))/(LN(2)/25)*Calculateur!CG200*Calculateur!CI200*VLOOKUP('Données projet'!$B$12,Paramètres!$A$1:$I$89,3,0)*0.475*44/12</f>
        <v>4.6043806447010976E-2</v>
      </c>
      <c r="CM200" s="21">
        <f>EXP(-LN(2)/2)*CM199+(1-EXP(-LN(2)/2))/(LN(2)/2)*CG200*CJ200*VLOOKUP('Données projet'!$B$12,Paramètres!$A$1:$I$89,3,0)*0.475*44/12</f>
        <v>5.3537967860405015E-25</v>
      </c>
      <c r="CN200" s="22">
        <f t="shared" si="172"/>
        <v>7.5693463918161369E-2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275.00000000000057</v>
      </c>
      <c r="CU200" s="17">
        <f>CT200*VLOOKUP('Données projet'!$B$13,Paramètres!$A$1:$I$89,3,0)*VLOOKUP('Données projet'!$B$13,Paramètres!$A$1:$I$89,5,0)</f>
        <v>231.66000000000051</v>
      </c>
      <c r="CV200" s="13">
        <f t="shared" si="173"/>
        <v>56.641461975682923</v>
      </c>
      <c r="CW200" s="20">
        <f t="shared" si="174"/>
        <v>502.12504627431525</v>
      </c>
      <c r="CX200" s="59">
        <f t="shared" si="196"/>
        <v>795.45837960764857</v>
      </c>
      <c r="CY200" s="59">
        <f ca="1">AVERAGE(OFFSET($CX$3,0,0,'Données projet'!$E$13+1,1))-AVERAGE(OFFSET($H$3,0,0,'Données projet'!$E$13+1,1))</f>
        <v>247.67539667223065</v>
      </c>
      <c r="CZ200" s="59">
        <f t="shared" si="208"/>
        <v>174.54442616983778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4.6918139295007197E-2</v>
      </c>
      <c r="DG200" s="21">
        <f>EXP(-LN(2)/25)*DG199+(1-EXP(-LN(2)/25))/(LN(2)/25)*Calculateur!DB200*Calculateur!DD200*VLOOKUP('Données projet'!$B$13,Paramètres!$A$1:$I$89,3,0)*0.475*44/12</f>
        <v>6.4121800159880046E-2</v>
      </c>
      <c r="DH200" s="21">
        <f>EXP(-LN(2)/2)*DH199+(1-EXP(-LN(2)/2))/(LN(2)/2)*DB200*DE200*VLOOKUP('Données projet'!$B$13,Paramètres!$A$1:$I$89,3,0)*0.475*44/12</f>
        <v>8.418110466785383E-25</v>
      </c>
      <c r="DI200" s="22">
        <f t="shared" si="175"/>
        <v>0.11103993945488724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-5.6843418860808015E-13</v>
      </c>
      <c r="DP200" s="17">
        <f>DO200*VLOOKUP('Données projet'!$B$14,Paramètres!$A$1:$I$89,3,0)*VLOOKUP('Données projet'!$B$14,Paramètres!$A$1:$I$89,5,0)</f>
        <v>-5.6752469390630732E-13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245.06609107649069</v>
      </c>
      <c r="DU200" s="59">
        <f t="shared" si="209"/>
        <v>156.24531945456499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-2.5579538487363607E-13</v>
      </c>
      <c r="EK200" s="17">
        <f>EJ200*VLOOKUP('Données projet'!$B$15,Paramètres!$A$1:$I$89,3,0)*VLOOKUP('Données projet'!$B$15,Paramètres!$A$1:$I$89,5,0)</f>
        <v>-2.7932856028201057E-13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173.63857221119594</v>
      </c>
      <c r="EP200" s="59">
        <f t="shared" si="210"/>
        <v>52.373745617370105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199.58634493109349</v>
      </c>
      <c r="T201" s="59">
        <f t="shared" si="204"/>
        <v>288.66487031729008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0.17938232690959344</v>
      </c>
      <c r="AA201" s="21">
        <f>EXP(-LN(2)/25)*AA200+(1-EXP(-LN(2)/25))/(LN(2)/25)*Calculateur!V201*Calculateur!X201*VLOOKUP('Données projet'!$B$9,Paramètres!$A$1:$I$89,3,0)*0.475*44/12</f>
        <v>0.16249174632627883</v>
      </c>
      <c r="AB201" s="21">
        <f>EXP(-LN(2)/2)*AB200+(1-EXP(-LN(2)/2))/(LN(2)/2)*V201*Y201*VLOOKUP('Données projet'!$B$9,Paramètres!$A$1:$I$89,3,0)*0.475*44/12</f>
        <v>1.5250635137958974E-25</v>
      </c>
      <c r="AC201" s="22">
        <f t="shared" si="163"/>
        <v>0.34187407323587227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606.99999999999989</v>
      </c>
      <c r="AJ201" s="13">
        <f>AI201*VLOOKUP('Données projet'!$B$10,Paramètres!$A$1:$I$89,3,0)*VLOOKUP('Données projet'!$B$10,Paramètres!$A$1:$I$89,5,0)</f>
        <v>362.98599999999999</v>
      </c>
      <c r="AK201" s="13">
        <f t="shared" si="164"/>
        <v>84.230767602863935</v>
      </c>
      <c r="AL201" s="20">
        <f t="shared" si="165"/>
        <v>778.90253690832139</v>
      </c>
      <c r="AM201" s="59">
        <f t="shared" si="193"/>
        <v>1072.2358702416548</v>
      </c>
      <c r="AN201" s="59">
        <f ca="1">AVERAGE(OFFSET($AM$3,0,0,'Données projet'!$E$10+1,1))-AVERAGE(OFFSET($H$3,0,0,'Données projet'!$E$10+1,1))</f>
        <v>395.40396173178527</v>
      </c>
      <c r="AO201" s="59">
        <f t="shared" si="205"/>
        <v>304.68075128568756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0.10764091010622232</v>
      </c>
      <c r="AV201" s="21">
        <f>EXP(-LN(2)/25)*AV200+(1-EXP(-LN(2)/25))/(LN(2)/25)*Calculateur!AQ201*Calculateur!AS201*VLOOKUP('Données projet'!$B$10,Paramètres!$A$1:$I$89,3,0)*0.475*44/12</f>
        <v>0.17734262843506041</v>
      </c>
      <c r="AW201" s="21">
        <f>EXP(-LN(2)/2)*AW200+(1-EXP(-LN(2)/2))/(LN(2)/2)*AQ201*AT201*VLOOKUP('Données projet'!$B$10,Paramètres!$A$1:$I$89,3,0)*0.475*44/12</f>
        <v>1.3444799429550465E-24</v>
      </c>
      <c r="AX201" s="21">
        <f t="shared" si="166"/>
        <v>0.28498353854128272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36.10000000000008</v>
      </c>
      <c r="BE201" s="13">
        <f>BD201*VLOOKUP('Données projet'!$B$11,Paramètres!$A$1:$I$89,3,0)*VLOOKUP('Données projet'!$B$11,Paramètres!$A$1:$I$89,5,0)</f>
        <v>31.536960000000075</v>
      </c>
      <c r="BF201" s="13">
        <f t="shared" si="167"/>
        <v>9.725440120377133</v>
      </c>
      <c r="BG201" s="20">
        <f t="shared" si="168"/>
        <v>71.865346876323642</v>
      </c>
      <c r="BH201" s="59">
        <f t="shared" si="194"/>
        <v>365.19868020965697</v>
      </c>
      <c r="BI201" s="59">
        <f ca="1">AVERAGE(OFFSET($BH$3,0,0,'Données projet'!$E$11+1,1))-AVERAGE(OFFSET($H$3,0,0,'Données projet'!$E$11+1,1))</f>
        <v>249.21292089724221</v>
      </c>
      <c r="BJ201" s="59">
        <f t="shared" si="206"/>
        <v>640.80644476065254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4.0481966382958392</v>
      </c>
      <c r="BQ201" s="21">
        <f>EXP(-LN(2)/25)*BQ200+(1-EXP(-LN(2)/25))/(LN(2)/25)*Calculateur!BL201*Calculateur!BN201*VLOOKUP('Données projet'!$B$11,Paramètres!$A$1:$I$89,3,0)*0.475*44/12</f>
        <v>1.0166814562130693</v>
      </c>
      <c r="BR201" s="21">
        <f>EXP(-LN(2)/2)*BR200+(1-EXP(-LN(2)/2))/(LN(2)/2)*BL201*BO201*VLOOKUP('Données projet'!$B$11,Paramètres!$A$1:$I$89,3,0)*0.475*44/12</f>
        <v>4.2671942983435473E-24</v>
      </c>
      <c r="BS201" s="22">
        <f t="shared" si="169"/>
        <v>5.0648780945089085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234.00000000000045</v>
      </c>
      <c r="BZ201" s="13">
        <f>BY201*VLOOKUP('Données projet'!$B$12,Paramètres!$A$1:$I$89,3,0)*VLOOKUP('Données projet'!$B$12,Paramètres!$A$1:$I$89,5,0)</f>
        <v>189.82080000000036</v>
      </c>
      <c r="CA201" s="13">
        <f t="shared" si="170"/>
        <v>47.500332100049881</v>
      </c>
      <c r="CB201" s="20">
        <f t="shared" si="171"/>
        <v>413.33430507425419</v>
      </c>
      <c r="CC201" s="59">
        <f t="shared" si="195"/>
        <v>706.66763840758745</v>
      </c>
      <c r="CD201" s="59">
        <f ca="1">AVERAGE(OFFSET($CC$3,0,0,'Données projet'!$E$12+1,1))-AVERAGE(OFFSET($H$3,0,0,'Données projet'!$E$12+1,1))</f>
        <v>192.4785660463869</v>
      </c>
      <c r="CE201" s="59">
        <f t="shared" si="207"/>
        <v>165.11095806515362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2.9068245772646488E-2</v>
      </c>
      <c r="CL201" s="21">
        <f>EXP(-LN(2)/25)*CL200+(1-EXP(-LN(2)/25))/(LN(2)/25)*Calculateur!CG201*Calculateur!CI201*VLOOKUP('Données projet'!$B$12,Paramètres!$A$1:$I$89,3,0)*0.475*44/12</f>
        <v>4.4784736138378918E-2</v>
      </c>
      <c r="CM201" s="21">
        <f>EXP(-LN(2)/2)*CM200+(1-EXP(-LN(2)/2))/(LN(2)/2)*CG201*CJ201*VLOOKUP('Données projet'!$B$12,Paramètres!$A$1:$I$89,3,0)*0.475*44/12</f>
        <v>3.7857060125039823E-25</v>
      </c>
      <c r="CN201" s="22">
        <f t="shared" si="172"/>
        <v>7.3852981911025406E-2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275.00000000000057</v>
      </c>
      <c r="CU201" s="17">
        <f>CT201*VLOOKUP('Données projet'!$B$13,Paramètres!$A$1:$I$89,3,0)*VLOOKUP('Données projet'!$B$13,Paramètres!$A$1:$I$89,5,0)</f>
        <v>231.66000000000051</v>
      </c>
      <c r="CV201" s="13">
        <f t="shared" si="173"/>
        <v>56.641461975682923</v>
      </c>
      <c r="CW201" s="20">
        <f t="shared" si="174"/>
        <v>502.12504627431525</v>
      </c>
      <c r="CX201" s="59">
        <f t="shared" si="196"/>
        <v>795.45837960764857</v>
      </c>
      <c r="CY201" s="59">
        <f ca="1">AVERAGE(OFFSET($CX$3,0,0,'Données projet'!$E$13+1,1))-AVERAGE(OFFSET($H$3,0,0,'Données projet'!$E$13+1,1))</f>
        <v>247.67539667223065</v>
      </c>
      <c r="CZ201" s="59">
        <f t="shared" si="208"/>
        <v>174.54442616983778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4.599810320067136E-2</v>
      </c>
      <c r="DG201" s="21">
        <f>EXP(-LN(2)/25)*DG200+(1-EXP(-LN(2)/25))/(LN(2)/25)*Calculateur!DB201*Calculateur!DD201*VLOOKUP('Données projet'!$B$13,Paramètres!$A$1:$I$89,3,0)*0.475*44/12</f>
        <v>6.2368386162489207E-2</v>
      </c>
      <c r="DH201" s="21">
        <f>EXP(-LN(2)/2)*DH200+(1-EXP(-LN(2)/2))/(LN(2)/2)*DB201*DE201*VLOOKUP('Données projet'!$B$13,Paramètres!$A$1:$I$89,3,0)*0.475*44/12</f>
        <v>5.9525029958413973E-25</v>
      </c>
      <c r="DI201" s="22">
        <f t="shared" si="175"/>
        <v>0.10836648936316057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-5.6843418860808015E-13</v>
      </c>
      <c r="DP201" s="17">
        <f>DO201*VLOOKUP('Données projet'!$B$14,Paramètres!$A$1:$I$89,3,0)*VLOOKUP('Données projet'!$B$14,Paramètres!$A$1:$I$89,5,0)</f>
        <v>-5.6752469390630732E-13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245.06609107649069</v>
      </c>
      <c r="DU201" s="59">
        <f t="shared" si="209"/>
        <v>156.24531945456499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-2.5579538487363607E-13</v>
      </c>
      <c r="EK201" s="17">
        <f>EJ201*VLOOKUP('Données projet'!$B$15,Paramètres!$A$1:$I$89,3,0)*VLOOKUP('Données projet'!$B$15,Paramètres!$A$1:$I$89,5,0)</f>
        <v>-2.7932856028201057E-13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173.63857221119594</v>
      </c>
      <c r="EP201" s="59">
        <f t="shared" si="210"/>
        <v>52.373745617370105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199.58634493109349</v>
      </c>
      <c r="T202" s="59">
        <f t="shared" si="204"/>
        <v>288.66487031729008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0.17586474889131215</v>
      </c>
      <c r="AA202" s="21">
        <f>EXP(-LN(2)/25)*AA201+(1-EXP(-LN(2)/25))/(LN(2)/25)*Calculateur!V202*Calculateur!X202*VLOOKUP('Données projet'!$B$9,Paramètres!$A$1:$I$89,3,0)*0.475*44/12</f>
        <v>0.15804840097791717</v>
      </c>
      <c r="AB202" s="21">
        <f>EXP(-LN(2)/2)*AB201+(1-EXP(-LN(2)/2))/(LN(2)/2)*V202*Y202*VLOOKUP('Données projet'!$B$9,Paramètres!$A$1:$I$89,3,0)*0.475*44/12</f>
        <v>1.0783827523452629E-25</v>
      </c>
      <c r="AC202" s="22">
        <f t="shared" si="163"/>
        <v>0.33391314986922932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606.99999999999989</v>
      </c>
      <c r="AJ202" s="13">
        <f>AI202*VLOOKUP('Données projet'!$B$10,Paramètres!$A$1:$I$89,3,0)*VLOOKUP('Données projet'!$B$10,Paramètres!$A$1:$I$89,5,0)</f>
        <v>362.98599999999999</v>
      </c>
      <c r="AK202" s="13">
        <f t="shared" si="164"/>
        <v>84.230767602863935</v>
      </c>
      <c r="AL202" s="20">
        <f t="shared" si="165"/>
        <v>778.90253690832139</v>
      </c>
      <c r="AM202" s="59">
        <f t="shared" si="193"/>
        <v>1072.2358702416548</v>
      </c>
      <c r="AN202" s="59">
        <f ca="1">AVERAGE(OFFSET($AM$3,0,0,'Données projet'!$E$10+1,1))-AVERAGE(OFFSET($H$3,0,0,'Données projet'!$E$10+1,1))</f>
        <v>395.40396173178527</v>
      </c>
      <c r="AO202" s="59">
        <f t="shared" si="205"/>
        <v>304.68075128568756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0.10553013751351162</v>
      </c>
      <c r="AV202" s="21">
        <f>EXP(-LN(2)/25)*AV201+(1-EXP(-LN(2)/25))/(LN(2)/25)*Calculateur!AQ202*Calculateur!AS202*VLOOKUP('Données projet'!$B$10,Paramètres!$A$1:$I$89,3,0)*0.475*44/12</f>
        <v>0.17249318493446017</v>
      </c>
      <c r="AW202" s="21">
        <f>EXP(-LN(2)/2)*AW201+(1-EXP(-LN(2)/2))/(LN(2)/2)*AQ202*AT202*VLOOKUP('Données projet'!$B$10,Paramètres!$A$1:$I$89,3,0)*0.475*44/12</f>
        <v>9.5069088483281598E-25</v>
      </c>
      <c r="AX202" s="21">
        <f t="shared" si="166"/>
        <v>0.27802332244797179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36.10000000000008</v>
      </c>
      <c r="BE202" s="13">
        <f>BD202*VLOOKUP('Données projet'!$B$11,Paramètres!$A$1:$I$89,3,0)*VLOOKUP('Données projet'!$B$11,Paramètres!$A$1:$I$89,5,0)</f>
        <v>31.536960000000075</v>
      </c>
      <c r="BF202" s="13">
        <f t="shared" si="167"/>
        <v>9.725440120377133</v>
      </c>
      <c r="BG202" s="20">
        <f t="shared" si="168"/>
        <v>71.865346876323642</v>
      </c>
      <c r="BH202" s="59">
        <f t="shared" si="194"/>
        <v>365.19868020965697</v>
      </c>
      <c r="BI202" s="59">
        <f ca="1">AVERAGE(OFFSET($BH$3,0,0,'Données projet'!$E$11+1,1))-AVERAGE(OFFSET($H$3,0,0,'Données projet'!$E$11+1,1))</f>
        <v>249.21292089724221</v>
      </c>
      <c r="BJ202" s="59">
        <f t="shared" si="206"/>
        <v>640.80644476065254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3.9688139713749981</v>
      </c>
      <c r="BQ202" s="21">
        <f>EXP(-LN(2)/25)*BQ201+(1-EXP(-LN(2)/25))/(LN(2)/25)*Calculateur!BL202*Calculateur!BN202*VLOOKUP('Données projet'!$B$11,Paramètres!$A$1:$I$89,3,0)*0.475*44/12</f>
        <v>0.98888024832796872</v>
      </c>
      <c r="BR202" s="21">
        <f>EXP(-LN(2)/2)*BR201+(1-EXP(-LN(2)/2))/(LN(2)/2)*BL202*BO202*VLOOKUP('Données projet'!$B$11,Paramètres!$A$1:$I$89,3,0)*0.475*44/12</f>
        <v>3.0173620249992939E-24</v>
      </c>
      <c r="BS202" s="22">
        <f t="shared" si="169"/>
        <v>4.957694219702967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234.00000000000045</v>
      </c>
      <c r="BZ202" s="13">
        <f>BY202*VLOOKUP('Données projet'!$B$12,Paramètres!$A$1:$I$89,3,0)*VLOOKUP('Données projet'!$B$12,Paramètres!$A$1:$I$89,5,0)</f>
        <v>189.82080000000036</v>
      </c>
      <c r="CA202" s="13">
        <f t="shared" si="170"/>
        <v>47.500332100049881</v>
      </c>
      <c r="CB202" s="20">
        <f t="shared" si="171"/>
        <v>413.33430507425419</v>
      </c>
      <c r="CC202" s="59">
        <f t="shared" si="195"/>
        <v>706.66763840758745</v>
      </c>
      <c r="CD202" s="59">
        <f ca="1">AVERAGE(OFFSET($CC$3,0,0,'Données projet'!$E$12+1,1))-AVERAGE(OFFSET($H$3,0,0,'Données projet'!$E$12+1,1))</f>
        <v>192.4785660463869</v>
      </c>
      <c r="CE202" s="59">
        <f t="shared" si="207"/>
        <v>165.11095806515362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2.8498235202924133E-2</v>
      </c>
      <c r="CL202" s="21">
        <f>EXP(-LN(2)/25)*CL201+(1-EXP(-LN(2)/25))/(LN(2)/25)*Calculateur!CG202*Calculateur!CI202*VLOOKUP('Données projet'!$B$12,Paramètres!$A$1:$I$89,3,0)*0.475*44/12</f>
        <v>4.356009517354803E-2</v>
      </c>
      <c r="CM202" s="21">
        <f>EXP(-LN(2)/2)*CM201+(1-EXP(-LN(2)/2))/(LN(2)/2)*CG202*CJ202*VLOOKUP('Données projet'!$B$12,Paramètres!$A$1:$I$89,3,0)*0.475*44/12</f>
        <v>2.6768983930202507E-25</v>
      </c>
      <c r="CN202" s="22">
        <f t="shared" si="172"/>
        <v>7.2058330376472163E-2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275.00000000000057</v>
      </c>
      <c r="CU202" s="17">
        <f>CT202*VLOOKUP('Données projet'!$B$13,Paramètres!$A$1:$I$89,3,0)*VLOOKUP('Données projet'!$B$13,Paramètres!$A$1:$I$89,5,0)</f>
        <v>231.66000000000051</v>
      </c>
      <c r="CV202" s="13">
        <f t="shared" si="173"/>
        <v>56.641461975682923</v>
      </c>
      <c r="CW202" s="20">
        <f t="shared" si="174"/>
        <v>502.12504627431525</v>
      </c>
      <c r="CX202" s="59">
        <f t="shared" si="196"/>
        <v>795.45837960764857</v>
      </c>
      <c r="CY202" s="59">
        <f ca="1">AVERAGE(OFFSET($CX$3,0,0,'Données projet'!$E$13+1,1))-AVERAGE(OFFSET($H$3,0,0,'Données projet'!$E$13+1,1))</f>
        <v>247.67539667223065</v>
      </c>
      <c r="CZ202" s="59">
        <f t="shared" si="208"/>
        <v>174.54442616983778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4.5096108452978838E-2</v>
      </c>
      <c r="DG202" s="21">
        <f>EXP(-LN(2)/25)*DG201+(1-EXP(-LN(2)/25))/(LN(2)/25)*Calculateur!DB202*Calculateur!DD202*VLOOKUP('Données projet'!$B$13,Paramètres!$A$1:$I$89,3,0)*0.475*44/12</f>
        <v>6.066291936306506E-2</v>
      </c>
      <c r="DH202" s="21">
        <f>EXP(-LN(2)/2)*DH201+(1-EXP(-LN(2)/2))/(LN(2)/2)*DB202*DE202*VLOOKUP('Données projet'!$B$13,Paramètres!$A$1:$I$89,3,0)*0.475*44/12</f>
        <v>4.2090552333926915E-25</v>
      </c>
      <c r="DI202" s="22">
        <f t="shared" si="175"/>
        <v>0.1057590278160439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-5.6843418860808015E-13</v>
      </c>
      <c r="DP202" s="17">
        <f>DO202*VLOOKUP('Données projet'!$B$14,Paramètres!$A$1:$I$89,3,0)*VLOOKUP('Données projet'!$B$14,Paramètres!$A$1:$I$89,5,0)</f>
        <v>-5.6752469390630732E-13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245.06609107649069</v>
      </c>
      <c r="DU202" s="59">
        <f t="shared" si="209"/>
        <v>156.24531945456499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-2.5579538487363607E-13</v>
      </c>
      <c r="EK202" s="17">
        <f>EJ202*VLOOKUP('Données projet'!$B$15,Paramètres!$A$1:$I$89,3,0)*VLOOKUP('Données projet'!$B$15,Paramètres!$A$1:$I$89,5,0)</f>
        <v>-2.7932856028201057E-13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173.63857221119594</v>
      </c>
      <c r="EP202" s="59">
        <f t="shared" si="210"/>
        <v>52.373745617370105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199.58634493109349</v>
      </c>
      <c r="T203" s="59">
        <f t="shared" si="204"/>
        <v>288.66487031729008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0.17241614843245862</v>
      </c>
      <c r="AA203" s="21">
        <f>EXP(-LN(2)/25)*AA202+(1-EXP(-LN(2)/25))/(LN(2)/25)*Calculateur!V203*Calculateur!X203*VLOOKUP('Données projet'!$B$9,Paramètres!$A$1:$I$89,3,0)*0.475*44/12</f>
        <v>0.15372655914177183</v>
      </c>
      <c r="AB203" s="21">
        <f>EXP(-LN(2)/2)*AB202+(1-EXP(-LN(2)/2))/(LN(2)/2)*V203*Y203*VLOOKUP('Données projet'!$B$9,Paramètres!$A$1:$I$89,3,0)*0.475*44/12</f>
        <v>7.6253175689794869E-26</v>
      </c>
      <c r="AC203" s="22">
        <f t="shared" si="163"/>
        <v>0.32614270757423047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606.99999999999989</v>
      </c>
      <c r="AJ203" s="13">
        <f>AI203*VLOOKUP('Données projet'!$B$10,Paramètres!$A$1:$I$89,3,0)*VLOOKUP('Données projet'!$B$10,Paramètres!$A$1:$I$89,5,0)</f>
        <v>362.98599999999999</v>
      </c>
      <c r="AK203" s="13">
        <f t="shared" si="164"/>
        <v>84.230767602863935</v>
      </c>
      <c r="AL203" s="20">
        <f t="shared" si="165"/>
        <v>778.90253690832139</v>
      </c>
      <c r="AM203" s="59">
        <f t="shared" si="193"/>
        <v>1072.2358702416548</v>
      </c>
      <c r="AN203" s="59">
        <f ca="1">AVERAGE(OFFSET($AM$3,0,0,'Données projet'!$E$10+1,1))-AVERAGE(OFFSET($H$3,0,0,'Données projet'!$E$10+1,1))</f>
        <v>395.40396173178527</v>
      </c>
      <c r="AO203" s="59">
        <f t="shared" si="205"/>
        <v>304.68075128568756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0.10346075588389982</v>
      </c>
      <c r="AV203" s="21">
        <f>EXP(-LN(2)/25)*AV202+(1-EXP(-LN(2)/25))/(LN(2)/25)*Calculateur!AQ203*Calculateur!AS203*VLOOKUP('Données projet'!$B$10,Paramètres!$A$1:$I$89,3,0)*0.475*44/12</f>
        <v>0.16777634972140501</v>
      </c>
      <c r="AW203" s="21">
        <f>EXP(-LN(2)/2)*AW202+(1-EXP(-LN(2)/2))/(LN(2)/2)*AQ203*AT203*VLOOKUP('Données projet'!$B$10,Paramètres!$A$1:$I$89,3,0)*0.475*44/12</f>
        <v>6.7223997147752327E-25</v>
      </c>
      <c r="AX203" s="21">
        <f t="shared" si="166"/>
        <v>0.27123710560530484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36.10000000000008</v>
      </c>
      <c r="BE203" s="13">
        <f>BD203*VLOOKUP('Données projet'!$B$11,Paramètres!$A$1:$I$89,3,0)*VLOOKUP('Données projet'!$B$11,Paramètres!$A$1:$I$89,5,0)</f>
        <v>31.536960000000075</v>
      </c>
      <c r="BF203" s="13">
        <f t="shared" si="167"/>
        <v>9.725440120377133</v>
      </c>
      <c r="BG203" s="20">
        <f t="shared" si="168"/>
        <v>71.865346876323642</v>
      </c>
      <c r="BH203" s="59">
        <f t="shared" si="194"/>
        <v>365.19868020965697</v>
      </c>
      <c r="BI203" s="59">
        <f ca="1">AVERAGE(OFFSET($BH$3,0,0,'Données projet'!$E$11+1,1))-AVERAGE(OFFSET($H$3,0,0,'Données projet'!$E$11+1,1))</f>
        <v>249.21292089724221</v>
      </c>
      <c r="BJ203" s="59">
        <f t="shared" si="206"/>
        <v>640.80644476065254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3.8909879501338289</v>
      </c>
      <c r="BQ203" s="21">
        <f>EXP(-LN(2)/25)*BQ202+(1-EXP(-LN(2)/25))/(LN(2)/25)*Calculateur!BL203*Calculateur!BN203*VLOOKUP('Données projet'!$B$11,Paramètres!$A$1:$I$89,3,0)*0.475*44/12</f>
        <v>0.96183926593448832</v>
      </c>
      <c r="BR203" s="21">
        <f>EXP(-LN(2)/2)*BR202+(1-EXP(-LN(2)/2))/(LN(2)/2)*BL203*BO203*VLOOKUP('Données projet'!$B$11,Paramètres!$A$1:$I$89,3,0)*0.475*44/12</f>
        <v>2.1335971491717736E-24</v>
      </c>
      <c r="BS203" s="22">
        <f t="shared" si="169"/>
        <v>4.8528272160683175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234.00000000000045</v>
      </c>
      <c r="BZ203" s="13">
        <f>BY203*VLOOKUP('Données projet'!$B$12,Paramètres!$A$1:$I$89,3,0)*VLOOKUP('Données projet'!$B$12,Paramètres!$A$1:$I$89,5,0)</f>
        <v>189.82080000000036</v>
      </c>
      <c r="CA203" s="13">
        <f t="shared" si="170"/>
        <v>47.500332100049881</v>
      </c>
      <c r="CB203" s="20">
        <f t="shared" si="171"/>
        <v>413.33430507425419</v>
      </c>
      <c r="CC203" s="59">
        <f t="shared" si="195"/>
        <v>706.66763840758745</v>
      </c>
      <c r="CD203" s="59">
        <f ca="1">AVERAGE(OFFSET($CC$3,0,0,'Données projet'!$E$12+1,1))-AVERAGE(OFFSET($H$3,0,0,'Données projet'!$E$12+1,1))</f>
        <v>192.4785660463869</v>
      </c>
      <c r="CE203" s="59">
        <f t="shared" si="207"/>
        <v>165.11095806515362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2.7939402192801915E-2</v>
      </c>
      <c r="CL203" s="21">
        <f>EXP(-LN(2)/25)*CL202+(1-EXP(-LN(2)/25))/(LN(2)/25)*Calculateur!CG203*Calculateur!CI203*VLOOKUP('Données projet'!$B$12,Paramètres!$A$1:$I$89,3,0)*0.475*44/12</f>
        <v>4.2368942080301515E-2</v>
      </c>
      <c r="CM203" s="21">
        <f>EXP(-LN(2)/2)*CM202+(1-EXP(-LN(2)/2))/(LN(2)/2)*CG203*CJ203*VLOOKUP('Données projet'!$B$12,Paramètres!$A$1:$I$89,3,0)*0.475*44/12</f>
        <v>1.8928530062519912E-25</v>
      </c>
      <c r="CN203" s="22">
        <f t="shared" si="172"/>
        <v>7.0308344273103424E-2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275.00000000000057</v>
      </c>
      <c r="CU203" s="17">
        <f>CT203*VLOOKUP('Données projet'!$B$13,Paramètres!$A$1:$I$89,3,0)*VLOOKUP('Données projet'!$B$13,Paramètres!$A$1:$I$89,5,0)</f>
        <v>231.66000000000051</v>
      </c>
      <c r="CV203" s="13">
        <f t="shared" si="173"/>
        <v>56.641461975682923</v>
      </c>
      <c r="CW203" s="20">
        <f t="shared" si="174"/>
        <v>502.12504627431525</v>
      </c>
      <c r="CX203" s="59">
        <f t="shared" si="196"/>
        <v>795.45837960764857</v>
      </c>
      <c r="CY203" s="59">
        <f ca="1">AVERAGE(OFFSET($CX$3,0,0,'Données projet'!$E$13+1,1))-AVERAGE(OFFSET($H$3,0,0,'Données projet'!$E$13+1,1))</f>
        <v>247.67539667223065</v>
      </c>
      <c r="CZ203" s="59">
        <f t="shared" si="208"/>
        <v>174.54442616983778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4.4211801272126094E-2</v>
      </c>
      <c r="DG203" s="21">
        <f>EXP(-LN(2)/25)*DG202+(1-EXP(-LN(2)/25))/(LN(2)/25)*Calculateur!DB203*Calculateur!DD203*VLOOKUP('Données projet'!$B$13,Paramètres!$A$1:$I$89,3,0)*0.475*44/12</f>
        <v>5.9004088642957767E-2</v>
      </c>
      <c r="DH203" s="21">
        <f>EXP(-LN(2)/2)*DH202+(1-EXP(-LN(2)/2))/(LN(2)/2)*DB203*DE203*VLOOKUP('Données projet'!$B$13,Paramètres!$A$1:$I$89,3,0)*0.475*44/12</f>
        <v>2.9762514979206987E-25</v>
      </c>
      <c r="DI203" s="22">
        <f t="shared" si="175"/>
        <v>0.10321588991508386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-5.6843418860808015E-13</v>
      </c>
      <c r="DP203" s="17">
        <f>DO203*VLOOKUP('Données projet'!$B$14,Paramètres!$A$1:$I$89,3,0)*VLOOKUP('Données projet'!$B$14,Paramètres!$A$1:$I$89,5,0)</f>
        <v>-5.6752469390630732E-13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245.06609107649069</v>
      </c>
      <c r="DU203" s="59">
        <f t="shared" si="209"/>
        <v>156.24531945456499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-2.5579538487363607E-13</v>
      </c>
      <c r="EK203" s="17">
        <f>EJ203*VLOOKUP('Données projet'!$B$15,Paramètres!$A$1:$I$89,3,0)*VLOOKUP('Données projet'!$B$15,Paramètres!$A$1:$I$89,5,0)</f>
        <v>-2.7932856028201057E-13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173.63857221119594</v>
      </c>
      <c r="EP203" s="59">
        <f t="shared" si="210"/>
        <v>52.373745617370105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1.4338352942213981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1.2730501155464236</v>
      </c>
      <c r="BA205" s="82">
        <f>EXP(LN('Données projet'!B88)/'Données projet'!A88)</f>
        <v>1.6934803938384888</v>
      </c>
      <c r="BV205" s="82">
        <f>EXP(LN('Données projet'!B114)/'Données projet'!A114)</f>
        <v>1.2357836771486921</v>
      </c>
      <c r="CQ205" s="82">
        <f>EXP(LN('Données projet'!B140)/'Données projet'!A140)</f>
        <v>1.2240347367580502</v>
      </c>
      <c r="DL205" s="82">
        <f>EXP(LN('Données projet'!B166)/'Données projet'!A166)</f>
        <v>1.1608269964373037</v>
      </c>
      <c r="EG205" s="82">
        <f>EXP(LN('Données projet'!B192)/'Données projet'!A192)</f>
        <v>1.1886563890642909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B1" workbookViewId="0">
      <selection activeCell="E8" sqref="E8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60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70.974113000000003</v>
      </c>
      <c r="C6" s="147">
        <f ca="1">IF(OR('Données projet'!B9="",'Données projet'!C9="",'Données projet'!C9=0%),0,Calculateur!S3)</f>
        <v>199.58634493109349</v>
      </c>
      <c r="D6" s="147">
        <f>IF(OR('Données projet'!B9="",'Données projet'!C9="",'Données projet'!C9=0%),0,Calculateur!T3)</f>
        <v>288.66487031729008</v>
      </c>
      <c r="E6" s="147">
        <f ca="1">MIN(C6,D6)</f>
        <v>199.58634493109349</v>
      </c>
      <c r="F6" s="147">
        <f ca="1">E6*B6</f>
        <v>14165.463798396408</v>
      </c>
      <c r="G6" s="147">
        <f ca="1">F6*(100%-'Données projet'!$C$24)*(100%-'Données projet'!$C$25)*(100%-'Données projet'!$C$26)*(100%-'Données projet'!$C$27)</f>
        <v>10836.579805773252</v>
      </c>
      <c r="H6" s="148">
        <f>IF(OR('Données projet'!B9="",'Données projet'!C9="",'Données projet'!C9=0%),0,AVERAGE(Calculateur!$AC$3:$AC$33)*B6)</f>
        <v>925.40870603334349</v>
      </c>
      <c r="I6" s="149">
        <f>H6*(100%-'Données projet'!$C$24)*(100%-'Données projet'!$C$25)*(100%-'Données projet'!$C$26)*(100%-'Données projet'!$C$27)</f>
        <v>707.9376601155077</v>
      </c>
      <c r="J6" s="150">
        <f>IF(OR('Données projet'!B9="",'Données projet'!C9="",'Données projet'!C9=0%),0,SUM(Calculateur!$V$3:$V$33)*VLOOKUP('Données projet'!$B$9,Paramètres!$A$1:$I$89,9,0)*B6)</f>
        <v>6020.6193552997702</v>
      </c>
      <c r="K6" s="151">
        <f>J6*(100%-'Données projet'!$C$24)*(100%-'Données projet'!$C$25)*(100%-'Données projet'!$C$26)*(100%-'Données projet'!$C$27)</f>
        <v>4605.7738068043245</v>
      </c>
      <c r="L6" s="152">
        <f ca="1">G6+I6+K6</f>
        <v>16150.291272693084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taeda</v>
      </c>
      <c r="B7" s="154">
        <f>'Données projet'!D10</f>
        <v>12.702578000000001</v>
      </c>
      <c r="C7" s="147">
        <f ca="1">IF(OR('Données projet'!B10="",'Données projet'!C10="",'Données projet'!C10=0%),0,Calculateur!AN3)</f>
        <v>395.40396173178527</v>
      </c>
      <c r="D7" s="147">
        <f>IF(OR('Données projet'!B10="",'Données projet'!C10="",'Données projet'!C10=0%),0,Calculateur!AO3)</f>
        <v>304.68075128568756</v>
      </c>
      <c r="E7" s="147">
        <f t="shared" ref="E7:E15" ca="1" si="0">MIN(C7,D7)</f>
        <v>304.68075128568756</v>
      </c>
      <c r="F7" s="147">
        <f t="shared" ref="F7:F15" ca="1" si="1">E7*B7</f>
        <v>3870.231008305047</v>
      </c>
      <c r="G7" s="147">
        <f ca="1">F7*(100%-'Données projet'!$C$24)*(100%-'Données projet'!$C$25)*(100%-'Données projet'!$C$26)*(100%-'Données projet'!$C$27)</f>
        <v>2960.726721353361</v>
      </c>
      <c r="H7" s="155">
        <f>IF(OR('Données projet'!B10="",'Données projet'!C10="",'Données projet'!C10=0%),0,AVERAGE(Calculateur!$AX$3:$AX$33)*B7)</f>
        <v>62.597928021401685</v>
      </c>
      <c r="I7" s="149">
        <f>H7*(100%-'Données projet'!$C$24)*(100%-'Données projet'!$C$25)*(100%-'Données projet'!$C$26)*(100%-'Données projet'!$C$27)</f>
        <v>47.887414936372288</v>
      </c>
      <c r="J7" s="150">
        <f>IF(OR('Données projet'!B10="",'Données projet'!C10="",'Données projet'!C10=0%),0,SUM(Calculateur!$AQ$3:$AQ$33)*VLOOKUP('Données projet'!$B$10,Paramètres!$A$1:$I$89,9,0)*B7)</f>
        <v>671.83935042000007</v>
      </c>
      <c r="K7" s="151">
        <f>J7*(100%-'Données projet'!$C$24)*(100%-'Données projet'!$C$25)*(100%-'Données projet'!$C$26)*(100%-'Données projet'!$C$27)</f>
        <v>513.95710307130003</v>
      </c>
      <c r="L7" s="152">
        <f t="shared" ref="L7:L15" ca="1" si="2">G7+I7+K7</f>
        <v>3522.5712393610333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Eucalyptus</v>
      </c>
      <c r="B8" s="154">
        <f>'Données projet'!D11</f>
        <v>1.7794179999999999</v>
      </c>
      <c r="C8" s="147">
        <f ca="1">IF(OR('Données projet'!B11="",'Données projet'!C11="",'Données projet'!C11=0%),0,Calculateur!BI3)</f>
        <v>249.21292089724221</v>
      </c>
      <c r="D8" s="147">
        <f>IF(OR('Données projet'!B11="",'Données projet'!C11="",'Données projet'!C11=0%),0,Calculateur!BJ3)</f>
        <v>640.80644476065254</v>
      </c>
      <c r="E8" s="147">
        <f t="shared" ca="1" si="0"/>
        <v>249.21292089724221</v>
      </c>
      <c r="F8" s="147">
        <f t="shared" ca="1" si="1"/>
        <v>443.45395727712895</v>
      </c>
      <c r="G8" s="147">
        <f ca="1">F8*(100%-'Données projet'!$C$24)*(100%-'Données projet'!$C$25)*(100%-'Données projet'!$C$26)*(100%-'Données projet'!$C$27)</f>
        <v>339.24227731700364</v>
      </c>
      <c r="H8" s="155">
        <f>IF(OR('Données projet'!B11="",'Données projet'!C11="",'Données projet'!C11=0%),0,AVERAGE(Calculateur!$BS$3:$BS$33)*B8)</f>
        <v>135.21150880838161</v>
      </c>
      <c r="I8" s="149">
        <f>H8*(100%-'Données projet'!$C$24)*(100%-'Données projet'!$C$25)*(100%-'Données projet'!$C$26)*(100%-'Données projet'!$C$27)</f>
        <v>103.43680423841192</v>
      </c>
      <c r="J8" s="150">
        <f>IF(OR('Données projet'!B11="",'Données projet'!C11="",'Données projet'!C11=0%),0,SUM(Calculateur!$BL$3:$BL$33)*VLOOKUP('Données projet'!$B$11,Paramètres!$A$1:$I$89,9,0)*B8)</f>
        <v>344.71775205</v>
      </c>
      <c r="K8" s="151">
        <f>J8*(100%-'Données projet'!$C$24)*(100%-'Données projet'!$C$25)*(100%-'Données projet'!$C$26)*(100%-'Données projet'!$C$27)</f>
        <v>263.70908031825002</v>
      </c>
      <c r="L8" s="152">
        <f t="shared" ca="1" si="2"/>
        <v>706.38816187366558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Bouleau verruqueux</v>
      </c>
      <c r="B9" s="154">
        <f>'Données projet'!D12</f>
        <v>1.0394620000000001</v>
      </c>
      <c r="C9" s="147">
        <f ca="1">IF(OR('Données projet'!B12="",'Données projet'!C12="",'Données projet'!C12=0%),0,Calculateur!CD3)</f>
        <v>192.4785660463869</v>
      </c>
      <c r="D9" s="147">
        <f>IF(OR('Données projet'!B12="",'Données projet'!C12="",'Données projet'!C12=0%),0,Calculateur!CE3)</f>
        <v>165.11095806515362</v>
      </c>
      <c r="E9" s="147">
        <f t="shared" ca="1" si="0"/>
        <v>165.11095806515362</v>
      </c>
      <c r="F9" s="147">
        <f t="shared" ca="1" si="1"/>
        <v>171.62656669232072</v>
      </c>
      <c r="G9" s="147">
        <f ca="1">F9*(100%-'Données projet'!$C$24)*(100%-'Données projet'!$C$25)*(100%-'Données projet'!$C$26)*(100%-'Données projet'!$C$27)</f>
        <v>131.29432351962535</v>
      </c>
      <c r="H9" s="155">
        <f>IF(OR('Données projet'!B12="",'Données projet'!C12="",'Données projet'!C12=0%),0,AVERAGE(Calculateur!$CN$3:$CN$33)*B9)</f>
        <v>1.1769736775003865</v>
      </c>
      <c r="I9" s="149">
        <f>H9*(100%-'Données projet'!$C$24)*(100%-'Données projet'!$C$25)*(100%-'Données projet'!$C$26)*(100%-'Données projet'!$C$27)</f>
        <v>0.90038486328779566</v>
      </c>
      <c r="J9" s="150">
        <f>IF(OR('Données projet'!B12="",'Données projet'!C12="",'Données projet'!C12=0%),0,SUM(Calculateur!$CG$3:$CG$33)*VLOOKUP('Données projet'!$B$12,Paramètres!$A$1:$I$89,9,0)*B9)</f>
        <v>9.3551580000000012</v>
      </c>
      <c r="K9" s="151">
        <f>J9*(100%-'Données projet'!$C$24)*(100%-'Données projet'!$C$25)*(100%-'Données projet'!$C$26)*(100%-'Données projet'!$C$27)</f>
        <v>7.1566958700000018</v>
      </c>
      <c r="L9" s="152">
        <f t="shared" ca="1" si="2"/>
        <v>139.35140425291314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pédonculé</v>
      </c>
      <c r="B10" s="154">
        <f>'Données projet'!D13</f>
        <v>0.66948400000000008</v>
      </c>
      <c r="C10" s="147">
        <f ca="1">IF(OR('Données projet'!B13="",'Données projet'!C13="",'Données projet'!C13=0%),0,Calculateur!CY3)</f>
        <v>247.67539667223065</v>
      </c>
      <c r="D10" s="147">
        <f>IF(OR('Données projet'!B13="",'Données projet'!C13="",'Données projet'!C13=0%),0,Calculateur!CZ3)</f>
        <v>174.54442616983778</v>
      </c>
      <c r="E10" s="147">
        <f t="shared" ca="1" si="0"/>
        <v>174.54442616983778</v>
      </c>
      <c r="F10" s="147">
        <f t="shared" ca="1" si="1"/>
        <v>116.85470060988769</v>
      </c>
      <c r="G10" s="147">
        <f ca="1">F10*(100%-'Données projet'!$C$24)*(100%-'Données projet'!$C$25)*(100%-'Données projet'!$C$26)*(100%-'Données projet'!$C$27)</f>
        <v>89.393845966564086</v>
      </c>
      <c r="H10" s="155">
        <f>IF(OR('Données projet'!B13="",'Données projet'!C13="",'Données projet'!C13=0%),0,AVERAGE(Calculateur!$DI$3:$DI$33)*B10)</f>
        <v>0.78421088782003401</v>
      </c>
      <c r="I10" s="149">
        <f>H10*(100%-'Données projet'!$C$24)*(100%-'Données projet'!$C$25)*(100%-'Données projet'!$C$26)*(100%-'Données projet'!$C$27)</f>
        <v>0.59992132918232599</v>
      </c>
      <c r="J10" s="150">
        <f>IF(OR('Données projet'!B13="",'Données projet'!C13="",'Données projet'!C13=0%),0,SUM(Calculateur!$DB$3:$DB$33)*VLOOKUP('Données projet'!$B$13,Paramètres!$A$1:$I$89,9,0)*B10)</f>
        <v>7.1969530000000006</v>
      </c>
      <c r="K10" s="151">
        <f>J10*(100%-'Données projet'!$C$24)*(100%-'Données projet'!$C$25)*(100%-'Données projet'!$C$26)*(100%-'Données projet'!$C$27)</f>
        <v>5.5056690450000003</v>
      </c>
      <c r="L10" s="152">
        <f t="shared" ca="1" si="2"/>
        <v>95.499436340746414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 tauzin</v>
      </c>
      <c r="B11" s="154">
        <f>'Données projet'!D14</f>
        <v>0.66948400000000008</v>
      </c>
      <c r="C11" s="147">
        <f ca="1">IF(OR('Données projet'!B14="",'Données projet'!C14="",'Données projet'!C14=0%),0,Calculateur!DT3)</f>
        <v>245.06609107649069</v>
      </c>
      <c r="D11" s="147">
        <f>IF(OR('Données projet'!B14="",'Données projet'!C14="",'Données projet'!C14=0%),0,Calculateur!DU3)</f>
        <v>156.24531945456499</v>
      </c>
      <c r="E11" s="147">
        <f t="shared" ca="1" si="0"/>
        <v>156.24531945456499</v>
      </c>
      <c r="F11" s="147">
        <f t="shared" ca="1" si="1"/>
        <v>104.60374144972</v>
      </c>
      <c r="G11" s="147">
        <f ca="1">F11*(100%-'Données projet'!$C$24)*(100%-'Données projet'!$C$25)*(100%-'Données projet'!$C$26)*(100%-'Données projet'!$C$27)</f>
        <v>80.021862209035802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80.021862209035802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Chêne-liège</v>
      </c>
      <c r="B12" s="154">
        <f>'Données projet'!D15</f>
        <v>0.25546099999999999</v>
      </c>
      <c r="C12" s="147">
        <f ca="1">IF(OR('Données projet'!B15="",'Données projet'!C15="",'Données projet'!C15=0%),0,Calculateur!EO3)</f>
        <v>173.63857221119594</v>
      </c>
      <c r="D12" s="147">
        <f>IF(OR('Données projet'!B15="",'Données projet'!C15="",'Données projet'!C15=0%),0,Calculateur!EP3)</f>
        <v>52.373745617370105</v>
      </c>
      <c r="E12" s="147">
        <f t="shared" ca="1" si="0"/>
        <v>52.373745617370105</v>
      </c>
      <c r="F12" s="147">
        <f t="shared" ca="1" si="1"/>
        <v>13.379449429158983</v>
      </c>
      <c r="G12" s="147">
        <f ca="1">F12*(100%-'Données projet'!$C$24)*(100%-'Données projet'!$C$25)*(100%-'Données projet'!$C$26)*(100%-'Données projet'!$C$27)</f>
        <v>10.235278813306621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10.235278813306621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18885.613222159667</v>
      </c>
      <c r="G16" s="166">
        <f t="shared" ca="1" si="3"/>
        <v>14447.494114952149</v>
      </c>
      <c r="H16" s="167">
        <f t="shared" si="3"/>
        <v>1125.1793274284473</v>
      </c>
      <c r="I16" s="167">
        <f t="shared" si="3"/>
        <v>860.76218548276188</v>
      </c>
      <c r="J16" s="168">
        <f t="shared" si="3"/>
        <v>7053.7285687697704</v>
      </c>
      <c r="K16" s="168">
        <f t="shared" si="3"/>
        <v>5396.1023551088747</v>
      </c>
      <c r="L16" s="169">
        <f t="shared" ca="1" si="3"/>
        <v>20704.358655543787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Eucalyptus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pédonculé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 tauzin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Chêne-liège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4" zoomScale="82" zoomScaleNormal="82" workbookViewId="0">
      <selection activeCell="C28" sqref="C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3725.3341860552614</v>
      </c>
      <c r="U10" s="178">
        <f>'Données projet'!D9</f>
        <v>70.974113000000003</v>
      </c>
      <c r="V10" s="177">
        <f>U10*T10</f>
        <v>264402.28948384913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411.12311822856293</v>
      </c>
      <c r="U11" s="178">
        <f>'Données projet'!D10</f>
        <v>12.702578000000001</v>
      </c>
      <c r="V11" s="177">
        <f t="shared" ref="V11" si="0">U11*T11</f>
        <v>5222.3234769015426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Eucalyptus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10934.828875112218</v>
      </c>
      <c r="U12" s="178">
        <f>'Données projet'!D11</f>
        <v>1.7794179999999999</v>
      </c>
      <c r="V12" s="177">
        <f t="shared" ref="V12:V19" si="1">U12*T12</f>
        <v>19457.631327294432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-3500</v>
      </c>
      <c r="U13" s="178">
        <f>'Données projet'!D12</f>
        <v>1.0394620000000001</v>
      </c>
      <c r="V13" s="177">
        <f t="shared" si="1"/>
        <v>-3638.1170000000002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pédonculé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-3500</v>
      </c>
      <c r="U14" s="178">
        <f>'Données projet'!D13</f>
        <v>0.66948400000000008</v>
      </c>
      <c r="V14" s="177">
        <f t="shared" si="1"/>
        <v>-2343.1940000000004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tauzin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-3500</v>
      </c>
      <c r="U15" s="178">
        <f>'Données projet'!D14</f>
        <v>0.66948400000000008</v>
      </c>
      <c r="V15" s="177">
        <f t="shared" si="1"/>
        <v>-2343.1940000000004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30</v>
      </c>
      <c r="O16" s="23"/>
      <c r="P16" s="23"/>
      <c r="Q16" s="234"/>
      <c r="R16" s="23"/>
      <c r="S16" s="36" t="str">
        <f>B200</f>
        <v>Chêne-liège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-3500</v>
      </c>
      <c r="U16" s="178">
        <f>'Données projet'!D15</f>
        <v>0.25546099999999999</v>
      </c>
      <c r="V16" s="177">
        <f t="shared" si="1"/>
        <v>-894.11349999999993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700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4000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f>IF(H20+1&lt;=MIN('Données projet'!$E$9:$E$18),H20+1,"STOP")</f>
        <v>1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f>IF(H21+1&lt;=MIN('Données projet'!$E$9:$E$18),H21+1,"STOP")</f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f>IF(H22+1&lt;=MIN('Données projet'!$E$9:$E$18),H22+1,"STOP")</f>
        <v>3</v>
      </c>
      <c r="I23" s="191">
        <v>450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-307186.15267760493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14</v>
      </c>
      <c r="B24" s="181">
        <f>'Données projet'!D37</f>
        <v>35.969230769230769</v>
      </c>
      <c r="C24" s="193">
        <v>10</v>
      </c>
      <c r="D24" s="182">
        <f t="shared" ref="D24:D42" si="2">B24*C24</f>
        <v>359.69230769230768</v>
      </c>
      <c r="E24" s="193"/>
      <c r="F24" s="233"/>
      <c r="H24" s="190">
        <f>IF(H23+1&lt;=MIN('Données projet'!$E$9:$E$18),H23+1,"STOP")</f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21168.028229410702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19</v>
      </c>
      <c r="B25" s="181">
        <f>'Données projet'!D38</f>
        <v>54.907692307692301</v>
      </c>
      <c r="C25" s="193">
        <v>30</v>
      </c>
      <c r="D25" s="182">
        <f t="shared" si="2"/>
        <v>1647.2307692307691</v>
      </c>
      <c r="E25" s="193"/>
      <c r="F25" s="233"/>
      <c r="H25" s="190">
        <f>IF(H24+1&lt;=MIN('Données projet'!$E$9:$E$18),H24+1,"STOP")</f>
        <v>5</v>
      </c>
      <c r="I25" s="191">
        <v>200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-328354.18090701563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25</v>
      </c>
      <c r="B26" s="181">
        <f>'Données projet'!D39</f>
        <v>52.9</v>
      </c>
      <c r="C26" s="193">
        <v>35</v>
      </c>
      <c r="D26" s="182">
        <f t="shared" si="2"/>
        <v>1851.5</v>
      </c>
      <c r="E26" s="193"/>
      <c r="F26" s="233"/>
      <c r="G26" s="229"/>
      <c r="H26" s="190">
        <f>IF(H25+1&lt;=MIN('Données projet'!$E$9:$E$18),H25+1,"STOP")</f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32</v>
      </c>
      <c r="B27" s="181">
        <f>'Données projet'!D40</f>
        <v>63.899999999999991</v>
      </c>
      <c r="C27" s="193">
        <v>40</v>
      </c>
      <c r="D27" s="182">
        <f t="shared" si="2"/>
        <v>2555.9999999999995</v>
      </c>
      <c r="E27" s="193"/>
      <c r="F27" s="233"/>
      <c r="G27" s="229"/>
      <c r="H27" s="190">
        <f>IF(H26+1&lt;=MIN('Données projet'!$E$9:$E$18),H26+1,"STOP")</f>
        <v>7</v>
      </c>
      <c r="I27" s="191">
        <v>150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412.49230769230769</v>
      </c>
      <c r="C28" s="193">
        <v>40</v>
      </c>
      <c r="D28" s="182">
        <f t="shared" si="2"/>
        <v>16499.692307692309</v>
      </c>
      <c r="E28" s="193"/>
      <c r="F28" s="233"/>
      <c r="G28" s="205"/>
      <c r="H28" s="190">
        <f>IF(H27+1&lt;=MIN('Données projet'!$E$9:$E$18),H27+1,"STOP")</f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f>IF(H28+1&lt;=MIN('Données projet'!$E$9:$E$18),H28+1,"STOP")</f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f>IF(H29+1&lt;=MIN('Données projet'!$E$9:$E$18),H29+1,"STOP")</f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f>IF(H30+1&lt;=MIN('Données projet'!$E$9:$E$18),H30+1,"STOP")</f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f>IF(H31+1&lt;=MIN('Données projet'!$E$9:$E$18),H31+1,"STOP")</f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f>IF(H32+1&lt;=MIN('Données projet'!$E$9:$E$18),H32+1,"STOP")</f>
        <v>13</v>
      </c>
      <c r="I33" s="191">
        <v>150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f>IF(H33+1&lt;=MIN('Données projet'!$E$9:$E$18),H33+1,"STOP")</f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f>IF(H34+1&lt;=MIN('Données projet'!$E$9:$E$18),H34+1,"STOP")</f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f>IF(H35+1&lt;=MIN('Données projet'!$E$9:$E$18),H35+1,"STOP")</f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f>IF(H36+1&lt;=MIN('Données projet'!$E$9:$E$18),H36+1,"STOP")</f>
        <v>17</v>
      </c>
      <c r="I37" s="191">
        <v>350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f>IF(H37+1&lt;=MIN('Données projet'!$E$9:$E$18),H37+1,"STOP")</f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f>IF(H38+1&lt;=MIN('Données projet'!$E$9:$E$18),H38+1,"STOP")</f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f>IF(H39+1&lt;=MIN('Données projet'!$E$9:$E$18),H39+1,"STOP")</f>
        <v>20</v>
      </c>
      <c r="I40" s="191">
        <v>150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f>IF(H40+1&lt;=MIN('Données projet'!$E$9:$E$18),H40+1,"STOP")</f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f>IF(H41+1&lt;=MIN('Données projet'!$E$9:$E$18),H41+1,"STOP")</f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f>IF(H42+1&lt;=MIN('Données projet'!$E$9:$E$18),H42+1,"STOP")</f>
        <v>23</v>
      </c>
      <c r="I43" s="191">
        <v>150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f>IF(H43+1&lt;=MIN('Données projet'!$E$9:$E$18),H43+1,"STOP")</f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f>IF(H44+1&lt;=MIN('Données projet'!$E$9:$E$18),H44+1,"STOP")</f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f>IF(H45+1&lt;=MIN('Données projet'!$E$9:$E$18),H45+1,"STOP")</f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f>IF(H46+1&lt;=MIN('Données projet'!$E$9:$E$18),H46+1,"STOP")</f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800</v>
      </c>
      <c r="F48" s="231"/>
      <c r="G48" s="203"/>
      <c r="H48" s="190">
        <f>IF(H47+1&lt;=MIN('Données projet'!$E$9:$E$18),H47+1,"STOP")</f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f>IF(H48+1&lt;=MIN('Données projet'!$E$9:$E$18),H48+1,"STOP")</f>
        <v>29</v>
      </c>
      <c r="I49" s="191">
        <v>150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f>IF(H49+1&lt;=MIN('Données projet'!$E$9:$E$18),H49+1,"STOP")</f>
        <v>30</v>
      </c>
      <c r="I50" s="191">
        <v>150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39</v>
      </c>
      <c r="C54" s="191">
        <v>10</v>
      </c>
      <c r="D54" s="179">
        <f>B54*C54</f>
        <v>390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84</v>
      </c>
      <c r="C55" s="191">
        <v>15</v>
      </c>
      <c r="D55" s="179">
        <f t="shared" ref="D55:D73" si="4">B55*C55</f>
        <v>1260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111</v>
      </c>
      <c r="C56" s="191">
        <v>25</v>
      </c>
      <c r="D56" s="179">
        <f t="shared" si="4"/>
        <v>2775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125</v>
      </c>
      <c r="C57" s="191">
        <v>25</v>
      </c>
      <c r="D57" s="179">
        <f t="shared" si="4"/>
        <v>3125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127</v>
      </c>
      <c r="C58" s="191">
        <v>25</v>
      </c>
      <c r="D58" s="179">
        <f t="shared" si="4"/>
        <v>3175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120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109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97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Eucalyptus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1600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174.6</v>
      </c>
      <c r="C85" s="191">
        <v>40</v>
      </c>
      <c r="D85" s="179">
        <f>B85*C85</f>
        <v>6984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275.40000000000003</v>
      </c>
      <c r="C86" s="191">
        <v>40</v>
      </c>
      <c r="D86" s="179">
        <f t="shared" ref="D86:D104" si="6">B86*C86</f>
        <v>11016.000000000002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324.90000000000003</v>
      </c>
      <c r="C87" s="191">
        <v>40</v>
      </c>
      <c r="D87" s="179">
        <f t="shared" si="6"/>
        <v>12996.000000000002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15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21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25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28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28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28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27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25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pédonculé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11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32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39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43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44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44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43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40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37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34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31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 tauzin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44</v>
      </c>
      <c r="B179" s="181">
        <f>'Données projet'!D167</f>
        <v>64.416666666666657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51</v>
      </c>
      <c r="B180" s="181">
        <f>'Données projet'!D168</f>
        <v>37.685897435897431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59</v>
      </c>
      <c r="B181" s="181">
        <f>'Données projet'!D169</f>
        <v>38.942307692307693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67</v>
      </c>
      <c r="B182" s="181">
        <f>'Données projet'!D170</f>
        <v>31.993589743589741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75</v>
      </c>
      <c r="B183" s="181">
        <f>'Données projet'!D171</f>
        <v>30.916666666666664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84</v>
      </c>
      <c r="B184" s="181">
        <f>'Données projet'!D172</f>
        <v>35.083333333333329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93</v>
      </c>
      <c r="B185" s="181">
        <f>'Données projet'!D173</f>
        <v>30.083333333333332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103</v>
      </c>
      <c r="B186" s="181">
        <f>'Données projet'!D174</f>
        <v>39.512820512820511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113</v>
      </c>
      <c r="B187" s="181">
        <f>'Données projet'!D175</f>
        <v>31.602564102564099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125</v>
      </c>
      <c r="B188" s="181">
        <f>'Données projet'!D176</f>
        <v>48.160256410256409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137</v>
      </c>
      <c r="B189" s="181">
        <f>'Données projet'!D177</f>
        <v>51.160256410256409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149</v>
      </c>
      <c r="B190" s="181">
        <f>'Données projet'!D178</f>
        <v>120.50641025641026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153</v>
      </c>
      <c r="B191" s="181">
        <f>'Données projet'!D179</f>
        <v>70.115384615384613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157</v>
      </c>
      <c r="B192" s="181">
        <f>'Données projet'!D180</f>
        <v>45.71153846153846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161</v>
      </c>
      <c r="B193" s="181">
        <f>'Données projet'!D181</f>
        <v>91.365384615384613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Chêne-liège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30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40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50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60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70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80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90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100</v>
      </c>
      <c r="B218" s="181">
        <f>'Données projet'!D201</f>
        <v>247.91208324870993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2024-11-15T16:24:09Z</dcterms:modified>
</cp:coreProperties>
</file>