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ASLGF BAUGE - 18165983 LE/LBC/"/>
    </mc:Choice>
  </mc:AlternateContent>
  <xr:revisionPtr revIDLastSave="261" documentId="8_{CD06B418-4A63-4102-8C3E-B30B912FDDE9}" xr6:coauthVersionLast="47" xr6:coauthVersionMax="47" xr10:uidLastSave="{7B0302DD-5001-40A4-BD42-572EA89AD70C}"/>
  <bookViews>
    <workbookView xWindow="-28920" yWindow="7515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A7" i="2"/>
  <c r="HI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H10" i="2"/>
  <c r="EB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EC14" i="2"/>
  <c r="EB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X18" i="2"/>
  <c r="HG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EB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G38" i="2"/>
  <c r="HI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HH44" i="2"/>
  <c r="EW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EB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H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W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W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W78" i="2"/>
  <c r="EV78" i="2"/>
  <c r="HI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HG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A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EX113" i="2"/>
  <c r="FS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FQ118" i="2"/>
  <c r="HH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EC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HI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HI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EW139" i="2"/>
  <c r="FS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HI150" i="2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A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A155" i="2"/>
  <c r="DI154" i="2"/>
  <c r="AC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D155" i="2" l="1"/>
  <c r="EB156" i="2"/>
  <c r="HI156" i="2"/>
  <c r="AB156" i="2"/>
  <c r="DH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HI159" i="2"/>
  <c r="EC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DG160" i="2"/>
  <c r="HI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D160" i="2"/>
  <c r="FS161" i="2"/>
  <c r="HH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DI161" i="2"/>
  <c r="ED161" i="2"/>
  <c r="EC162" i="2"/>
  <c r="HH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EB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EV164" i="2"/>
  <c r="FR164" i="2"/>
  <c r="DH164" i="2"/>
  <c r="FS164" i="2"/>
  <c r="EA164" i="2"/>
  <c r="EX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A167" i="2"/>
  <c r="EC167" i="2"/>
  <c r="HI167" i="2"/>
  <c r="FR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I167" i="2"/>
  <c r="DG168" i="2"/>
  <c r="EV168" i="2"/>
  <c r="EY168" i="2" s="1"/>
  <c r="EW168" i="2"/>
  <c r="HH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H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A172" i="2"/>
  <c r="HI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X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V179" i="2"/>
  <c r="DF179" i="2"/>
  <c r="EA179" i="2"/>
  <c r="EB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EA183" i="2"/>
  <c r="ED182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B185" i="2"/>
  <c r="HI185" i="2"/>
  <c r="EW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FS186" i="2"/>
  <c r="ED185" i="2"/>
  <c r="HH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EB192" i="2"/>
  <c r="EW192" i="2"/>
  <c r="EC192" i="2"/>
  <c r="HI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A193" i="2" l="1"/>
  <c r="ED192" i="2"/>
  <c r="EB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D194" i="2"/>
  <c r="EA195" i="2"/>
  <c r="EX195" i="2"/>
  <c r="A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DI200" i="2" s="1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B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FZ6" i="2"/>
  <c r="HI202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90" i="2" a="1"/>
  <c r="FY90" i="2" s="1"/>
  <c r="FY22" i="2" a="1"/>
  <c r="FY22" i="2" s="1"/>
  <c r="FY32" i="2" a="1"/>
  <c r="FY32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10" i="2" a="1"/>
  <c r="FY110" i="2" s="1"/>
  <c r="FY191" i="2" a="1"/>
  <c r="FY191" i="2" s="1"/>
  <c r="FY143" i="2" a="1"/>
  <c r="FY14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126" i="2" a="1"/>
  <c r="FY126" i="2" s="1"/>
  <c r="FY55" i="2" a="1"/>
  <c r="FY55" i="2" s="1"/>
  <c r="FY178" i="2" a="1"/>
  <c r="FY178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D144" i="2" a="1"/>
  <c r="FD144" i="2" s="1"/>
  <c r="FD59" i="2" a="1"/>
  <c r="FD59" i="2" s="1"/>
  <c r="BC34" i="2" a="1"/>
  <c r="BC34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52" i="2" a="1"/>
  <c r="CS52" i="2" s="1"/>
  <c r="CS129" i="2" a="1"/>
  <c r="CS129" i="2" s="1"/>
  <c r="DN43" i="2" a="1"/>
  <c r="DN43" i="2" s="1"/>
  <c r="CS116" i="2" a="1"/>
  <c r="CS116" i="2" s="1"/>
  <c r="EI195" i="2" a="1"/>
  <c r="EI195" i="2" s="1"/>
  <c r="CS161" i="2" a="1"/>
  <c r="CS161" i="2" s="1"/>
  <c r="CS105" i="2" a="1"/>
  <c r="CS105" i="2" s="1"/>
  <c r="CS38" i="2" a="1"/>
  <c r="CS38" i="2" s="1"/>
  <c r="FY115" i="2" a="1"/>
  <c r="FY115" i="2" s="1"/>
  <c r="FY182" i="2" a="1"/>
  <c r="FY182" i="2" s="1"/>
  <c r="FY82" i="2" a="1"/>
  <c r="FY8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64" i="2" a="1"/>
  <c r="FD64" i="2" s="1"/>
  <c r="FD43" i="2" a="1"/>
  <c r="FD43" i="2" s="1"/>
  <c r="FD131" i="2" a="1"/>
  <c r="FD131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DN56" i="2" l="1" a="1"/>
  <c r="DN56" i="2" s="1"/>
  <c r="DN186" i="2" a="1"/>
  <c r="DN186" i="2" s="1"/>
  <c r="DN133" i="2" a="1"/>
  <c r="DN133" i="2" s="1"/>
  <c r="DN65" i="2" a="1"/>
  <c r="DN65" i="2" s="1"/>
  <c r="DN190" i="2" a="1"/>
  <c r="DN190" i="2" s="1"/>
  <c r="DN150" i="2" a="1"/>
  <c r="DN150" i="2" s="1"/>
  <c r="DN192" i="2" a="1"/>
  <c r="DN192" i="2" s="1"/>
  <c r="DN176" i="2" a="1"/>
  <c r="DN176" i="2" s="1"/>
  <c r="DN66" i="2" a="1"/>
  <c r="DN66" i="2" s="1"/>
  <c r="DN80" i="2" a="1"/>
  <c r="DN80" i="2" s="1"/>
  <c r="DN29" i="2" a="1"/>
  <c r="DN29" i="2" s="1"/>
  <c r="DN168" i="2" a="1"/>
  <c r="DN168" i="2" s="1"/>
  <c r="DN41" i="2" a="1"/>
  <c r="DN41" i="2" s="1"/>
  <c r="BC130" i="2" a="1"/>
  <c r="BC130" i="2" s="1"/>
  <c r="AH163" i="2" a="1"/>
  <c r="AH163" i="2" s="1"/>
  <c r="AH62" i="2" a="1"/>
  <c r="AH62" i="2" s="1"/>
  <c r="AH199" i="2" a="1"/>
  <c r="AH199" i="2" s="1"/>
  <c r="GT138" i="2" a="1"/>
  <c r="GT138" i="2" s="1"/>
  <c r="AH166" i="2" a="1"/>
  <c r="AH166" i="2" s="1"/>
  <c r="GT147" i="2" a="1"/>
  <c r="GT147" i="2" s="1"/>
  <c r="BX107" i="2" a="1"/>
  <c r="BX107" i="2" s="1"/>
  <c r="AH19" i="2" a="1"/>
  <c r="AH19" i="2" s="1"/>
  <c r="DN124" i="2" a="1"/>
  <c r="DN124" i="2" s="1"/>
  <c r="CS72" i="2" a="1"/>
  <c r="CS72" i="2" s="1"/>
  <c r="DN153" i="2" a="1"/>
  <c r="DN153" i="2" s="1"/>
  <c r="CS66" i="2" a="1"/>
  <c r="CS66" i="2" s="1"/>
  <c r="DN16" i="2" a="1"/>
  <c r="DN16" i="2" s="1"/>
  <c r="GT190" i="2" a="1"/>
  <c r="GT190" i="2" s="1"/>
  <c r="FD107" i="2" a="1"/>
  <c r="FD107" i="2" s="1"/>
  <c r="FY42" i="2" a="1"/>
  <c r="FY42" i="2" s="1"/>
  <c r="CS77" i="2" a="1"/>
  <c r="CS77" i="2" s="1"/>
  <c r="DN170" i="2" a="1"/>
  <c r="DN170" i="2" s="1"/>
  <c r="DN155" i="2" a="1"/>
  <c r="DN155" i="2" s="1"/>
  <c r="GT133" i="2" a="1"/>
  <c r="GT133" i="2" s="1"/>
  <c r="BC68" i="2" a="1"/>
  <c r="BC68" i="2" s="1"/>
  <c r="FY72" i="2" a="1"/>
  <c r="FY72" i="2" s="1"/>
  <c r="FY173" i="2" a="1"/>
  <c r="FY173" i="2" s="1"/>
  <c r="FY165" i="2" a="1"/>
  <c r="FY165" i="2" s="1"/>
  <c r="DN70" i="2" a="1"/>
  <c r="DN70" i="2" s="1"/>
  <c r="DN137" i="2" a="1"/>
  <c r="DN137" i="2" s="1"/>
  <c r="DN55" i="2" a="1"/>
  <c r="DN55" i="2" s="1"/>
  <c r="DN110" i="2" a="1"/>
  <c r="DN110" i="2" s="1"/>
  <c r="DN177" i="2" a="1"/>
  <c r="DN177" i="2" s="1"/>
  <c r="DN31" i="2" a="1"/>
  <c r="DN31" i="2" s="1"/>
  <c r="GT107" i="2" a="1"/>
  <c r="GT107" i="2" s="1"/>
  <c r="DN115" i="2" a="1"/>
  <c r="DN115" i="2" s="1"/>
  <c r="GT152" i="2" a="1"/>
  <c r="GT152" i="2" s="1"/>
  <c r="DN167" i="2" a="1"/>
  <c r="DN167" i="2" s="1"/>
  <c r="GT174" i="2" a="1"/>
  <c r="GT174" i="2" s="1"/>
  <c r="AH90" i="2" a="1"/>
  <c r="AH90" i="2" s="1"/>
  <c r="GT33" i="2" a="1"/>
  <c r="GT33" i="2" s="1"/>
  <c r="DN45" i="2" a="1"/>
  <c r="DN45" i="2" s="1"/>
  <c r="CS134" i="2" a="1"/>
  <c r="CS134" i="2" s="1"/>
  <c r="DN162" i="2" a="1"/>
  <c r="DN162" i="2" s="1"/>
  <c r="GT191" i="2" a="1"/>
  <c r="GT191" i="2" s="1"/>
  <c r="FD167" i="2" a="1"/>
  <c r="FD167" i="2" s="1"/>
  <c r="FY196" i="2" a="1"/>
  <c r="FY196" i="2" s="1"/>
  <c r="DN114" i="2" a="1"/>
  <c r="DN114" i="2" s="1"/>
  <c r="DN129" i="2" a="1"/>
  <c r="DN129" i="2" s="1"/>
  <c r="GT121" i="2" a="1"/>
  <c r="GT121" i="2" s="1"/>
  <c r="BC58" i="2" a="1"/>
  <c r="BC58" i="2" s="1"/>
  <c r="AH92" i="2" a="1"/>
  <c r="AH92" i="2" s="1"/>
  <c r="FY159" i="2" a="1"/>
  <c r="FY159" i="2" s="1"/>
  <c r="FY146" i="2" a="1"/>
  <c r="FY146" i="2" s="1"/>
  <c r="DN63" i="2" a="1"/>
  <c r="DN63" i="2" s="1"/>
  <c r="DN50" i="2" a="1"/>
  <c r="DN50" i="2" s="1"/>
  <c r="DN164" i="2" a="1"/>
  <c r="DN164" i="2" s="1"/>
  <c r="GT126" i="2" a="1"/>
  <c r="GT126" i="2" s="1"/>
  <c r="DN135" i="2" a="1"/>
  <c r="DN135" i="2" s="1"/>
  <c r="CS137" i="2" a="1"/>
  <c r="CS137" i="2" s="1"/>
  <c r="GT68" i="2" a="1"/>
  <c r="GT68" i="2" s="1"/>
  <c r="DN38" i="2" a="1"/>
  <c r="DN38" i="2" s="1"/>
  <c r="GT178" i="2" a="1"/>
  <c r="GT178" i="2" s="1"/>
  <c r="FD189" i="2" a="1"/>
  <c r="FD189" i="2" s="1"/>
  <c r="FY86" i="2" a="1"/>
  <c r="FY86" i="2" s="1"/>
  <c r="DN123" i="2" a="1"/>
  <c r="DN123" i="2" s="1"/>
  <c r="DN184" i="2" a="1"/>
  <c r="DN184" i="2" s="1"/>
  <c r="GT181" i="2" a="1"/>
  <c r="GT181" i="2" s="1"/>
  <c r="FD21" i="2" a="1"/>
  <c r="FD21" i="2" s="1"/>
  <c r="FY188" i="2" a="1"/>
  <c r="FY188" i="2" s="1"/>
  <c r="FY153" i="2" a="1"/>
  <c r="FY153" i="2" s="1"/>
  <c r="FY57" i="2" a="1"/>
  <c r="FY57" i="2" s="1"/>
  <c r="DN188" i="2" a="1"/>
  <c r="DN188" i="2" s="1"/>
  <c r="DN187" i="2" a="1"/>
  <c r="DN187" i="2" s="1"/>
  <c r="DN86" i="2" a="1"/>
  <c r="DN86" i="2" s="1"/>
  <c r="DN49" i="2" a="1"/>
  <c r="DN49" i="2" s="1"/>
  <c r="GT38" i="2" a="1"/>
  <c r="GT38" i="2" s="1"/>
  <c r="DN103" i="2" a="1"/>
  <c r="DN103" i="2" s="1"/>
  <c r="GT122" i="2" a="1"/>
  <c r="GT122" i="2" s="1"/>
  <c r="FS203" i="2"/>
  <c r="DN132" i="2" a="1"/>
  <c r="DN132" i="2" s="1"/>
  <c r="AH151" i="2" a="1"/>
  <c r="AH151" i="2" s="1"/>
  <c r="DN113" i="2" a="1"/>
  <c r="DN113" i="2" s="1"/>
  <c r="GT51" i="2" a="1"/>
  <c r="GT51" i="2" s="1"/>
  <c r="DN30" i="2" a="1"/>
  <c r="DN30" i="2" s="1"/>
  <c r="GT74" i="2" a="1"/>
  <c r="GT74" i="2" s="1"/>
  <c r="DN25" i="2" a="1"/>
  <c r="DN25" i="2" s="1"/>
  <c r="DN46" i="2" a="1"/>
  <c r="DN46" i="2" s="1"/>
  <c r="CS114" i="2" a="1"/>
  <c r="CS114" i="2" s="1"/>
  <c r="GT189" i="2" a="1"/>
  <c r="GT189" i="2" s="1"/>
  <c r="FD14" i="2" a="1"/>
  <c r="FD14" i="2" s="1"/>
  <c r="FY58" i="2" a="1"/>
  <c r="FY58" i="2" s="1"/>
  <c r="DN152" i="2" a="1"/>
  <c r="DN152" i="2" s="1"/>
  <c r="GT184" i="2" a="1"/>
  <c r="GT184" i="2" s="1"/>
  <c r="FY172" i="2" a="1"/>
  <c r="FY172" i="2" s="1"/>
  <c r="FY28" i="2" a="1"/>
  <c r="FY28" i="2" s="1"/>
  <c r="FY102" i="2" a="1"/>
  <c r="FY102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Y122" i="2" l="1"/>
  <c r="CY24" i="2"/>
  <c r="CY44" i="2"/>
  <c r="CY139" i="2"/>
  <c r="CY203" i="2"/>
  <c r="CY50" i="2"/>
  <c r="CY46" i="2"/>
  <c r="CY16" i="2"/>
  <c r="CY179" i="2"/>
  <c r="CY104" i="2"/>
  <c r="CY83" i="2"/>
  <c r="CY31" i="2"/>
  <c r="CY149" i="2"/>
  <c r="CY134" i="2"/>
  <c r="CY156" i="2"/>
  <c r="CY168" i="2"/>
  <c r="CY91" i="2"/>
  <c r="CY51" i="2"/>
  <c r="CY186" i="2"/>
  <c r="CY62" i="2"/>
  <c r="CY148" i="2"/>
  <c r="CY118" i="2"/>
  <c r="CY199" i="2"/>
  <c r="CY105" i="2"/>
  <c r="CY166" i="2"/>
  <c r="CY35" i="2"/>
  <c r="CY133" i="2"/>
  <c r="CY110" i="2"/>
  <c r="CY75" i="2"/>
  <c r="CY15" i="2"/>
  <c r="CY59" i="2"/>
  <c r="CY57" i="2"/>
  <c r="CY88" i="2"/>
  <c r="CY116" i="2"/>
  <c r="CY72" i="2"/>
  <c r="CY175" i="2"/>
  <c r="CY154" i="2"/>
  <c r="CY58" i="2"/>
  <c r="CY33" i="2"/>
  <c r="CY41" i="2"/>
  <c r="CY67" i="2"/>
  <c r="CY201" i="2"/>
  <c r="CY20" i="2"/>
  <c r="CY132" i="2"/>
  <c r="CY19" i="2"/>
  <c r="CY112" i="2"/>
  <c r="CY52" i="2"/>
  <c r="CY29" i="2"/>
  <c r="CY80" i="2"/>
  <c r="CY96" i="2"/>
  <c r="CY45" i="2"/>
  <c r="CY22" i="2"/>
  <c r="CY65" i="2"/>
  <c r="CY190" i="2"/>
  <c r="CY81" i="2"/>
  <c r="CY107" i="2"/>
  <c r="CY174" i="2"/>
  <c r="CY189" i="2"/>
  <c r="CY142" i="2"/>
  <c r="CY9" i="2"/>
  <c r="CY152" i="2"/>
  <c r="CY197" i="2"/>
  <c r="CY85" i="2"/>
  <c r="CY63" i="2"/>
  <c r="CY126" i="2"/>
  <c r="CY144" i="2"/>
  <c r="CY120" i="2"/>
  <c r="CY30" i="2"/>
  <c r="CY145" i="2"/>
  <c r="CY161" i="2"/>
  <c r="CY160" i="2"/>
  <c r="CY119" i="2"/>
  <c r="CY165" i="2"/>
  <c r="CY28" i="2"/>
  <c r="CY191" i="2"/>
  <c r="CY185" i="2"/>
  <c r="CY82" i="2"/>
  <c r="CY114" i="2"/>
  <c r="CY153" i="2"/>
  <c r="CY169" i="2"/>
  <c r="CY151" i="2"/>
  <c r="CY17" i="2"/>
  <c r="CY54" i="2"/>
  <c r="CY192" i="2"/>
  <c r="CY184" i="2"/>
  <c r="CY60" i="2"/>
  <c r="CY43" i="2"/>
  <c r="CY143" i="2"/>
  <c r="CY38" i="2"/>
  <c r="CY180" i="2"/>
  <c r="CY8" i="2"/>
  <c r="CY4" i="2"/>
  <c r="CY23" i="2"/>
  <c r="CY61" i="2"/>
  <c r="CY98" i="2"/>
  <c r="CY76" i="2"/>
  <c r="CY138" i="2"/>
  <c r="CY113" i="2"/>
  <c r="CY176" i="2"/>
  <c r="CY125" i="2"/>
  <c r="CY49" i="2"/>
  <c r="CY146" i="2"/>
  <c r="CY178" i="2"/>
  <c r="CY93" i="2"/>
  <c r="CY10" i="2"/>
  <c r="CY129" i="2"/>
  <c r="CY108" i="2"/>
  <c r="CY172" i="2"/>
  <c r="CY21" i="2"/>
  <c r="CY135" i="2"/>
  <c r="CY147" i="2"/>
  <c r="CY12" i="2"/>
  <c r="CY7" i="2"/>
  <c r="CY106" i="2"/>
  <c r="CY66" i="2"/>
  <c r="CY39" i="2"/>
  <c r="CY155" i="2"/>
  <c r="CY115" i="2"/>
  <c r="CY92" i="2"/>
  <c r="CY141" i="2"/>
  <c r="CY13" i="2"/>
  <c r="CY200" i="2"/>
  <c r="CY95" i="2"/>
  <c r="CY157" i="2"/>
  <c r="CY5" i="2"/>
  <c r="CY177" i="2"/>
  <c r="CY193" i="2"/>
  <c r="CY99" i="2"/>
  <c r="CY73" i="2"/>
  <c r="CY202" i="2"/>
  <c r="CY181" i="2"/>
  <c r="CY111" i="2"/>
  <c r="CY123" i="2"/>
  <c r="CY36" i="2"/>
  <c r="CY167" i="2"/>
  <c r="CY74" i="2"/>
  <c r="CY27" i="2"/>
  <c r="CY159" i="2"/>
  <c r="CY56" i="2"/>
  <c r="CY188" i="2"/>
  <c r="CY121" i="2"/>
  <c r="CY127" i="2"/>
  <c r="CY53" i="2"/>
  <c r="CY140" i="2"/>
  <c r="CY26" i="2"/>
  <c r="CY25" i="2"/>
  <c r="CY131" i="2"/>
  <c r="CY198" i="2"/>
  <c r="CY182" i="2"/>
  <c r="CY42" i="2"/>
  <c r="CY37" i="2"/>
  <c r="CY84" i="2"/>
  <c r="CY173" i="2"/>
  <c r="CY94" i="2"/>
  <c r="CY128" i="2"/>
  <c r="CY163" i="2"/>
  <c r="CY150" i="2"/>
  <c r="CY109" i="2"/>
  <c r="CY89" i="2"/>
  <c r="CY170" i="2"/>
  <c r="CY137" i="2"/>
  <c r="CY117" i="2"/>
  <c r="CY87" i="2"/>
  <c r="CY47" i="2"/>
  <c r="CY70" i="2"/>
  <c r="CY187" i="2"/>
  <c r="CY130" i="2"/>
  <c r="CY79" i="2"/>
  <c r="CY3" i="2"/>
  <c r="C10" i="4" s="1"/>
  <c r="E10" i="4" s="1"/>
  <c r="F10" i="4" s="1"/>
  <c r="G10" i="4" s="1"/>
  <c r="L10" i="4" s="1"/>
  <c r="CY64" i="2"/>
  <c r="CY196" i="2"/>
  <c r="CY103" i="2"/>
  <c r="CY183" i="2"/>
  <c r="CY124" i="2"/>
  <c r="CY158" i="2"/>
  <c r="CY162" i="2"/>
  <c r="CY136" i="2"/>
  <c r="CY11" i="2"/>
  <c r="CY97" i="2"/>
  <c r="CY164" i="2"/>
  <c r="CY18" i="2"/>
  <c r="CY32" i="2"/>
  <c r="CY100" i="2"/>
  <c r="CY77" i="2"/>
  <c r="CY171" i="2"/>
  <c r="CY48" i="2"/>
  <c r="CY14" i="2"/>
  <c r="CY101" i="2"/>
  <c r="CY194" i="2"/>
  <c r="CY55" i="2"/>
  <c r="CY90" i="2"/>
  <c r="CY40" i="2"/>
  <c r="CY78" i="2"/>
  <c r="CY86" i="2"/>
  <c r="CY68" i="2"/>
  <c r="CY71" i="2"/>
  <c r="CY102" i="2"/>
  <c r="CY69" i="2"/>
  <c r="CY195" i="2"/>
  <c r="CY6" i="2"/>
  <c r="CY34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CD163" i="2" l="1"/>
  <c r="CD7" i="2"/>
  <c r="CD33" i="2"/>
  <c r="CD103" i="2"/>
  <c r="CD17" i="2"/>
  <c r="CD60" i="2"/>
  <c r="CD158" i="2"/>
  <c r="CD58" i="2"/>
  <c r="CD69" i="2"/>
  <c r="CD189" i="2"/>
  <c r="CD56" i="2"/>
  <c r="CD129" i="2"/>
  <c r="CD141" i="2"/>
  <c r="CD57" i="2"/>
  <c r="CD90" i="2"/>
  <c r="CD187" i="2"/>
  <c r="CD83" i="2"/>
  <c r="CD121" i="2"/>
  <c r="CD67" i="2"/>
  <c r="CD199" i="2"/>
  <c r="CD162" i="2"/>
  <c r="CD20" i="2"/>
  <c r="CD71" i="2"/>
  <c r="CD131" i="2"/>
  <c r="CD172" i="2"/>
  <c r="CD96" i="2"/>
  <c r="CD118" i="2"/>
  <c r="CD76" i="2"/>
  <c r="CD8" i="2"/>
  <c r="CD63" i="2"/>
  <c r="CD54" i="2"/>
  <c r="CD185" i="2"/>
  <c r="CD165" i="2"/>
  <c r="CD68" i="2"/>
  <c r="CD87" i="2"/>
  <c r="CD101" i="2"/>
  <c r="CD146" i="2"/>
  <c r="CD104" i="2"/>
  <c r="CD21" i="2"/>
  <c r="CD137" i="2"/>
  <c r="CD181" i="2"/>
  <c r="CD12" i="2"/>
  <c r="CD84" i="2"/>
  <c r="CD95" i="2"/>
  <c r="CD173" i="2"/>
  <c r="CD43" i="2"/>
  <c r="CD192" i="2"/>
  <c r="CD78" i="2"/>
  <c r="CD39" i="2"/>
  <c r="CD31" i="2"/>
  <c r="CD119" i="2"/>
  <c r="CD37" i="2"/>
  <c r="CD40" i="2"/>
  <c r="CD201" i="2"/>
  <c r="CD152" i="2"/>
  <c r="CD179" i="2"/>
  <c r="CD198" i="2"/>
  <c r="CD77" i="2"/>
  <c r="CD13" i="2"/>
  <c r="CD140" i="2"/>
  <c r="CD169" i="2"/>
  <c r="CD48" i="2"/>
  <c r="CD100" i="2"/>
  <c r="CD3" i="2"/>
  <c r="C9" i="4" s="1"/>
  <c r="E9" i="4" s="1"/>
  <c r="F9" i="4" s="1"/>
  <c r="G9" i="4" s="1"/>
  <c r="L9" i="4" s="1"/>
  <c r="CD183" i="2"/>
  <c r="CD180" i="2"/>
  <c r="CD164" i="2"/>
  <c r="CD147" i="2"/>
  <c r="CD156" i="2"/>
  <c r="CD149" i="2"/>
  <c r="CD36" i="2"/>
  <c r="CD23" i="2"/>
  <c r="CD81" i="2"/>
  <c r="CD19" i="2"/>
  <c r="CD138" i="2"/>
  <c r="CD10" i="2"/>
  <c r="CD18" i="2"/>
  <c r="CD128" i="2"/>
  <c r="CD122" i="2"/>
  <c r="CD99" i="2"/>
  <c r="CD154" i="2"/>
  <c r="CD159" i="2"/>
  <c r="CD126" i="2"/>
  <c r="CD73" i="2"/>
  <c r="CD191" i="2"/>
  <c r="CD171" i="2"/>
  <c r="CD107" i="2"/>
  <c r="CD151" i="2"/>
  <c r="CD178" i="2"/>
  <c r="CD42" i="2"/>
  <c r="CD52" i="2"/>
  <c r="CD133" i="2"/>
  <c r="CD155" i="2"/>
  <c r="CD70" i="2"/>
  <c r="CD61" i="2"/>
  <c r="CD38" i="2"/>
  <c r="CD55" i="2"/>
  <c r="CD72" i="2"/>
  <c r="CD108" i="2"/>
  <c r="CD130" i="2"/>
  <c r="CD88" i="2"/>
  <c r="CD22" i="2"/>
  <c r="CD170" i="2"/>
  <c r="CD117" i="2"/>
  <c r="CD127" i="2"/>
  <c r="CD143" i="2"/>
  <c r="CD194" i="2"/>
  <c r="CD153" i="2"/>
  <c r="CD30" i="2"/>
  <c r="CD188" i="2"/>
  <c r="CD79" i="2"/>
  <c r="CD197" i="2"/>
  <c r="CD25" i="2"/>
  <c r="CD136" i="2"/>
  <c r="CD62" i="2"/>
  <c r="CD45" i="2"/>
  <c r="CD115" i="2"/>
  <c r="CD59" i="2"/>
  <c r="CD174" i="2"/>
  <c r="CD26" i="2"/>
  <c r="CD112" i="2"/>
  <c r="CD47" i="2"/>
  <c r="CD32" i="2"/>
  <c r="CD134" i="2"/>
  <c r="CD202" i="2"/>
  <c r="CD4" i="2"/>
  <c r="CD53" i="2"/>
  <c r="CD193" i="2"/>
  <c r="CD132" i="2"/>
  <c r="CD50" i="2"/>
  <c r="CD64" i="2"/>
  <c r="CD176" i="2"/>
  <c r="CD195" i="2"/>
  <c r="CD184" i="2"/>
  <c r="CD97" i="2"/>
  <c r="CD110" i="2"/>
  <c r="CD144" i="2"/>
  <c r="CD166" i="2"/>
  <c r="CD177" i="2"/>
  <c r="CD114" i="2"/>
  <c r="CD124" i="2"/>
  <c r="CD93" i="2"/>
  <c r="CD182" i="2"/>
  <c r="CD116" i="2"/>
  <c r="CD86" i="2"/>
  <c r="CD5" i="2"/>
  <c r="CD142" i="2"/>
  <c r="CD46" i="2"/>
  <c r="CD123" i="2"/>
  <c r="CD105" i="2"/>
  <c r="CD74" i="2"/>
  <c r="CD27" i="2"/>
  <c r="CD44" i="2"/>
  <c r="CD11" i="2"/>
  <c r="CD82" i="2"/>
  <c r="CD24" i="2"/>
  <c r="CD161" i="2"/>
  <c r="CD28" i="2"/>
  <c r="CD139" i="2"/>
  <c r="CD196" i="2"/>
  <c r="CD49" i="2"/>
  <c r="CD186" i="2"/>
  <c r="CD111" i="2"/>
  <c r="CD89" i="2"/>
  <c r="CD135" i="2"/>
  <c r="CD125" i="2"/>
  <c r="CD148" i="2"/>
  <c r="CD168" i="2"/>
  <c r="CD145" i="2"/>
  <c r="CD75" i="2"/>
  <c r="CD15" i="2"/>
  <c r="CD102" i="2"/>
  <c r="CD160" i="2"/>
  <c r="CD29" i="2"/>
  <c r="CD85" i="2"/>
  <c r="CD65" i="2"/>
  <c r="CD51" i="2"/>
  <c r="CD41" i="2"/>
  <c r="CD14" i="2"/>
  <c r="CD98" i="2"/>
  <c r="CD190" i="2"/>
  <c r="CD157" i="2"/>
  <c r="CD66" i="2"/>
  <c r="CD9" i="2"/>
  <c r="CD106" i="2"/>
  <c r="CD120" i="2"/>
  <c r="CD203" i="2"/>
  <c r="CD109" i="2"/>
  <c r="CD167" i="2"/>
  <c r="CD16" i="2"/>
  <c r="CD150" i="2"/>
  <c r="CD34" i="2"/>
  <c r="CD6" i="2"/>
  <c r="CD92" i="2"/>
  <c r="CD200" i="2"/>
  <c r="CD175" i="2"/>
  <c r="CD94" i="2"/>
  <c r="CD91" i="2"/>
  <c r="CD80" i="2"/>
  <c r="CD113" i="2"/>
  <c r="CD35" i="2"/>
  <c r="AN58" i="2"/>
  <c r="AN52" i="2"/>
  <c r="AN193" i="2"/>
  <c r="AN35" i="2"/>
  <c r="AN32" i="2"/>
  <c r="AN3" i="2"/>
  <c r="C7" i="4" s="1"/>
  <c r="E7" i="4" s="1"/>
  <c r="F7" i="4" s="1"/>
  <c r="G7" i="4" s="1"/>
  <c r="L7" i="4" s="1"/>
  <c r="AN75" i="2"/>
  <c r="AN76" i="2"/>
  <c r="AN10" i="2"/>
  <c r="AN72" i="2"/>
  <c r="AN177" i="2"/>
  <c r="AN136" i="2"/>
  <c r="AN160" i="2"/>
  <c r="AN167" i="2"/>
  <c r="AN63" i="2"/>
  <c r="AN137" i="2"/>
  <c r="AN202" i="2"/>
  <c r="AN105" i="2"/>
  <c r="AN124" i="2"/>
  <c r="AN96" i="2"/>
  <c r="AN70" i="2"/>
  <c r="AN171" i="2"/>
  <c r="AN19" i="2"/>
  <c r="AN82" i="2"/>
  <c r="AN188" i="2"/>
  <c r="AN100" i="2"/>
  <c r="AN107" i="2"/>
  <c r="AN164" i="2"/>
  <c r="AN148" i="2"/>
  <c r="AN55" i="2"/>
  <c r="AN30" i="2"/>
  <c r="AN154" i="2"/>
  <c r="AN69" i="2"/>
  <c r="AN27" i="2"/>
  <c r="AN90" i="2"/>
  <c r="AN143" i="2"/>
  <c r="AN99" i="2"/>
  <c r="AN68" i="2"/>
  <c r="AN103" i="2"/>
  <c r="AN187" i="2"/>
  <c r="AN175" i="2"/>
  <c r="AN108" i="2"/>
  <c r="AN183" i="2"/>
  <c r="AN89" i="2"/>
  <c r="AN139" i="2"/>
  <c r="AN22" i="2"/>
  <c r="AN83" i="2"/>
  <c r="AN5" i="2"/>
  <c r="AN26" i="2"/>
  <c r="AN173" i="2"/>
  <c r="AN109" i="2"/>
  <c r="AN121" i="2"/>
  <c r="AN4" i="2"/>
  <c r="AN36" i="2"/>
  <c r="AN53" i="2"/>
  <c r="AN34" i="2"/>
  <c r="AN113" i="2"/>
  <c r="AN16" i="2"/>
  <c r="AN129" i="2"/>
  <c r="AN127" i="2"/>
  <c r="AN79" i="2"/>
  <c r="AN203" i="2"/>
  <c r="AN54" i="2"/>
  <c r="AN47" i="2"/>
  <c r="AN165" i="2"/>
  <c r="AN162" i="2"/>
  <c r="AN74" i="2"/>
  <c r="AN118" i="2"/>
  <c r="AN57" i="2"/>
  <c r="AN67" i="2"/>
  <c r="AN84" i="2"/>
  <c r="AN117" i="2"/>
  <c r="AN85" i="2"/>
  <c r="AN134" i="2"/>
  <c r="AN178" i="2"/>
  <c r="AN12" i="2"/>
  <c r="AN59" i="2"/>
  <c r="AN157" i="2"/>
  <c r="AN195" i="2"/>
  <c r="AN95" i="2"/>
  <c r="AN112" i="2"/>
  <c r="AN77" i="2"/>
  <c r="AN23" i="2"/>
  <c r="AN92" i="2"/>
  <c r="AN166" i="2"/>
  <c r="AN176" i="2"/>
  <c r="AN49" i="2"/>
  <c r="AN197" i="2"/>
  <c r="AN191" i="2"/>
  <c r="AN199" i="2"/>
  <c r="AN185" i="2"/>
  <c r="AN158" i="2"/>
  <c r="AN25" i="2"/>
  <c r="AN45" i="2"/>
  <c r="AN146" i="2"/>
  <c r="AN38" i="2"/>
  <c r="AN142" i="2"/>
  <c r="AN11" i="2"/>
  <c r="AN43" i="2"/>
  <c r="AN41" i="2"/>
  <c r="AN106" i="2"/>
  <c r="AN40" i="2"/>
  <c r="AN144" i="2"/>
  <c r="AN87" i="2"/>
  <c r="AN29" i="2"/>
  <c r="AN111" i="2"/>
  <c r="AN138" i="2"/>
  <c r="AN18" i="2"/>
  <c r="AN48" i="2"/>
  <c r="AN51" i="2"/>
  <c r="AN102" i="2"/>
  <c r="AN200" i="2"/>
  <c r="AN13" i="2"/>
  <c r="AN198" i="2"/>
  <c r="AN9" i="2"/>
  <c r="AN190" i="2"/>
  <c r="AN128" i="2"/>
  <c r="AN31" i="2"/>
  <c r="AN189" i="2"/>
  <c r="AN62" i="2"/>
  <c r="AN156" i="2"/>
  <c r="AN152" i="2"/>
  <c r="AN196" i="2"/>
  <c r="AN44" i="2"/>
  <c r="AN155" i="2"/>
  <c r="AN130" i="2"/>
  <c r="AN56" i="2"/>
  <c r="AN114" i="2"/>
  <c r="AN7" i="2"/>
  <c r="AN20" i="2"/>
  <c r="AN91" i="2"/>
  <c r="AN101" i="2"/>
  <c r="AN169" i="2"/>
  <c r="AN110" i="2"/>
  <c r="AN66" i="2"/>
  <c r="AN147" i="2"/>
  <c r="AN145" i="2"/>
  <c r="AN182" i="2"/>
  <c r="AN104" i="2"/>
  <c r="AN184" i="2"/>
  <c r="AN6" i="2"/>
  <c r="AN98" i="2"/>
  <c r="AN73" i="2"/>
  <c r="AN119" i="2"/>
  <c r="AN131" i="2"/>
  <c r="AN135" i="2"/>
  <c r="AN8" i="2"/>
  <c r="AN194" i="2"/>
  <c r="AN141" i="2"/>
  <c r="AN133" i="2"/>
  <c r="AN172" i="2"/>
  <c r="AN168" i="2"/>
  <c r="AN140" i="2"/>
  <c r="AN71" i="2"/>
  <c r="AN37" i="2"/>
  <c r="AN28" i="2"/>
  <c r="AN125" i="2"/>
  <c r="AN150" i="2"/>
  <c r="AN50" i="2"/>
  <c r="AN126" i="2"/>
  <c r="AN151" i="2"/>
  <c r="AN170" i="2"/>
  <c r="AN122" i="2"/>
  <c r="AN33" i="2"/>
  <c r="AN153" i="2"/>
  <c r="AN163" i="2"/>
  <c r="AN179" i="2"/>
  <c r="AN15" i="2"/>
  <c r="AN64" i="2"/>
  <c r="AN39" i="2"/>
  <c r="AN14" i="2"/>
  <c r="AN201" i="2"/>
  <c r="AN80" i="2"/>
  <c r="AN161" i="2"/>
  <c r="AN174" i="2"/>
  <c r="AN21" i="2"/>
  <c r="AN88" i="2"/>
  <c r="AN149" i="2"/>
  <c r="AN159" i="2"/>
  <c r="AN61" i="2"/>
  <c r="AN116" i="2"/>
  <c r="AN115" i="2"/>
  <c r="AN120" i="2"/>
  <c r="AN192" i="2"/>
  <c r="AN123" i="2"/>
  <c r="AN186" i="2"/>
  <c r="AN86" i="2"/>
  <c r="AN81" i="2"/>
  <c r="AN65" i="2"/>
  <c r="AN24" i="2"/>
  <c r="AN97" i="2"/>
  <c r="AN132" i="2"/>
  <c r="AN60" i="2"/>
  <c r="AN181" i="2"/>
  <c r="AN42" i="2"/>
  <c r="AN93" i="2"/>
  <c r="AN78" i="2"/>
  <c r="AN46" i="2"/>
  <c r="AN94" i="2"/>
  <c r="AN17" i="2"/>
  <c r="AN180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<sst xmlns="http://schemas.openxmlformats.org/spreadsheetml/2006/main" count="1179" uniqueCount="329">
  <si>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</si>
  <si>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</si>
  <si>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</si>
  <si>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</si>
  <si>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</si>
  <si>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</si>
  <si>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</si>
  <si>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</si>
  <si>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</si>
  <si>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</si>
  <si>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</si>
  <si>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</si>
  <si>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</si>
  <si>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</si>
  <si>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</si>
  <si>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</si>
  <si>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</si>
  <si>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</si>
  <si>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</si>
  <si>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</si>
  <si>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</si>
  <si>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</si>
  <si>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</si>
  <si>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</si>
  <si>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</si>
  <si>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</si>
  <si>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</si>
  <si>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</si>
  <si>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</si>
  <si>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</si>
  <si>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</si>
  <si>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</si>
  <si>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</si>
  <si>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</si>
  <si>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</si>
  <si>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</si>
  <si>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</si>
  <si>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</si>
  <si>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</si>
  <si>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</si>
  <si>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</si>
  <si>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</si>
  <si>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</si>
  <si>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</si>
  <si>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</si>
  <si>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</si>
  <si>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</si>
  <si>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</si>
  <si>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</si>
  <si>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</si>
  <si>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</si>
  <si>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</si>
  <si>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</si>
  <si>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</si>
  <si>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</si>
  <si>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</si>
  <si>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</si>
  <si>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</si>
  <si>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</si>
  <si>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</si>
  <si>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</si>
  <si>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</si>
  <si>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</si>
  <si>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</si>
  <si>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</si>
  <si>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</si>
  <si>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</si>
  <si>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</si>
  <si>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</si>
  <si>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</si>
  <si>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</si>
  <si>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</si>
  <si>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</si>
  <si>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</si>
  <si>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</si>
  <si>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</si>
  <si>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</si>
  <si>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</si>
  <si>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</si>
  <si>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</si>
  <si>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</si>
  <si>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</si>
  <si>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</si>
  <si>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</si>
  <si>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</si>
  <si>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</si>
  <si>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</si>
  <si>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</si>
  <si>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</si>
  <si>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</si>
  <si>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</si>
  <si>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</si>
  <si>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</si>
  <si>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</si>
  <si>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</si>
  <si>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</si>
  <si>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</si>
  <si>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</si>
  <si>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</si>
  <si>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</si>
  <si>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</si>
  <si>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</si>
  <si>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</si>
  <si>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</si>
  <si>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</si>
  <si>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</si>
  <si>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</si>
  <si>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</si>
  <si>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</si>
  <si>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</si>
  <si>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</si>
  <si>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</si>
  <si>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</si>
  <si>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</si>
  <si>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</si>
  <si>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</si>
  <si>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</si>
  <si>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</si>
  <si>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</si>
  <si>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</si>
  <si>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</si>
  <si>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</si>
  <si>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</si>
  <si>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</si>
  <si>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</si>
  <si>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</si>
  <si>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</si>
  <si>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</si>
  <si>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</si>
  <si>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</si>
  <si>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</si>
  <si>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</si>
  <si>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</si>
  <si>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</si>
  <si>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</si>
  <si>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</si>
  <si>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</si>
  <si>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</si>
  <si>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</si>
  <si>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</si>
  <si>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</si>
  <si>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</si>
  <si>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</si>
  <si>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</si>
  <si>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</si>
  <si>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</si>
  <si>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</si>
  <si>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</si>
  <si>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</si>
  <si>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</si>
  <si>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</si>
  <si>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</si>
  <si>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</si>
  <si>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</si>
  <si>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</si>
  <si>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</si>
  <si>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</si>
  <si>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</si>
  <si>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</si>
  <si>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</si>
  <si>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</si>
  <si>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</si>
  <si>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</si>
  <si>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</si>
  <si>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</si>
  <si>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</si>
  <si>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</si>
  <si>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</si>
  <si>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</si>
  <si>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</si>
  <si>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</si>
  <si>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</si>
  <si>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</si>
  <si>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</si>
  <si>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</si>
  <si>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</si>
  <si>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</si>
  <si>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</si>
  <si>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</si>
  <si>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</si>
  <si>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</si>
  <si>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</si>
  <si>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</si>
  <si>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</si>
  <si>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</si>
  <si>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</si>
  <si>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</si>
  <si>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</si>
  <si>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</si>
  <si>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</si>
  <si>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</si>
  <si>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</si>
  <si>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</si>
  <si>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</si>
  <si>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</si>
  <si>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</si>
  <si>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</si>
  <si>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</si>
  <si>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</si>
  <si>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</si>
  <si>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</si>
  <si>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</si>
  <si>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</si>
  <si>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</si>
  <si>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</si>
  <si>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</si>
  <si>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</si>
  <si>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</si>
  <si>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</si>
  <si>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</si>
  <si>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</si>
  <si>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</si>
  <si>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</si>
  <si>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</si>
  <si>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</si>
  <si>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</si>
  <si>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</si>
  <si>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</si>
  <si>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</si>
  <si>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</si>
  <si>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</si>
  <si>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</si>
  <si>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</si>
  <si>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</si>
  <si>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</si>
  <si>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</si>
  <si>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</si>
  <si>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</si>
  <si>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</si>
  <si>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</si>
  <si>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</si>
  <si>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</si>
  <si>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</si>
  <si>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</si>
  <si>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</si>
  <si>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</si>
  <si>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</si>
  <si>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</si>
  <si>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</si>
  <si>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</si>
  <si>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</si>
  <si>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</si>
  <si>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</si>
  <si>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</si>
  <si>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</si>
  <si>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</si>
  <si>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</si>
  <si>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</si>
  <si>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</si>
  <si>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</si>
  <si>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</si>
  <si>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</si>
  <si>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</si>
  <si>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</si>
  <si>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</si>
  <si>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</si>
  <si>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</si>
  <si>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</si>
  <si>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</si>
  <si>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</si>
  <si>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</si>
  <si>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</si>
  <si>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</si>
  <si>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</si>
  <si>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</si>
  <si>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</si>
  <si>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</si>
  <si>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</si>
  <si>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</si>
  <si>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</si>
  <si>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</si>
  <si>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</si>
  <si>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</si>
  <si>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</si>
  <si>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</si>
  <si>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</si>
  <si>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</si>
  <si>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</si>
  <si>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</si>
  <si>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</si>
  <si>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</si>
  <si>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</si>
  <si>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</si>
  <si>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</si>
  <si>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</si>
  <si>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</si>
  <si>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</si>
  <si>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</si>
  <si>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</si>
  <si>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</si>
  <si>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</si>
  <si>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</si>
  <si>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</si>
  <si>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</si>
  <si>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</si>
  <si>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</si>
  <si>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</si>
  <si>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</si>
  <si>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</si>
  <si>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</si>
  <si>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</si>
  <si>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</si>
  <si>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</si>
  <si>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</si>
  <si>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</si>
  <si>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</si>
  <si>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</si>
  <si>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</si>
  <si>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</si>
  <si>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</si>
  <si>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</si>
  <si>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</si>
  <si>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</si>
  <si>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</si>
  <si>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</si>
  <si>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</si>
  <si>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</si>
  <si>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</si>
  <si>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</si>
  <si>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</si>
  <si>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</si>
  <si>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</si>
  <si>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</si>
  <si>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</si>
  <si>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ONF_CHS_F3</t>
  </si>
  <si>
    <t>J.J JANSEN_CHR_F6</t>
  </si>
  <si>
    <t>ONF_CEA_1100st/ha_F3</t>
  </si>
  <si>
    <t>ONF_CHS_Loire basin_Plantation_F2</t>
  </si>
  <si>
    <t>ONF_F1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</si>
</sst>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168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2.1334285104713615</c:v>
                </c:pt>
                <c:pt idx="2">
                  <c:v>2.9353408895492845</c:v>
                </c:pt>
                <c:pt idx="3">
                  <c:v>4.039964437386435</c:v>
                </c:pt>
                <c:pt idx="4">
                  <c:v>5.56202642625703</c:v>
                </c:pt>
                <c:pt idx="5">
                  <c:v>7.6598976599795643</c:v>
                </c:pt>
                <c:pt idx="6">
                  <c:v>10.55225204441256</c:v>
                </c:pt>
                <c:pt idx="7">
                  <c:v>14.541105476202981</c:v>
                </c:pt>
                <c:pt idx="8">
                  <c:v>20.043683844100759</c:v>
                </c:pt>
                <c:pt idx="9">
                  <c:v>27.636513156144243</c:v>
                </c:pt>
                <c:pt idx="10">
                  <c:v>38.116432033448227</c:v>
                </c:pt>
                <c:pt idx="11">
                  <c:v>52.585038820898312</c:v>
                </c:pt>
                <c:pt idx="12">
                  <c:v>72.565597674284803</c:v>
                </c:pt>
                <c:pt idx="13">
                  <c:v>100.16491122227438</c:v>
                </c:pt>
                <c:pt idx="14">
                  <c:v>138.2974979090055</c:v>
                </c:pt>
                <c:pt idx="15">
                  <c:v>190.99611197319894</c:v>
                </c:pt>
                <c:pt idx="16">
                  <c:v>155.256978631686</c:v>
                </c:pt>
                <c:pt idx="17">
                  <c:v>185.00517186105367</c:v>
                </c:pt>
                <c:pt idx="18">
                  <c:v>214.64142025602294</c:v>
                </c:pt>
                <c:pt idx="19">
                  <c:v>244.18337108523338</c:v>
                </c:pt>
                <c:pt idx="20">
                  <c:v>273.64403918646246</c:v>
                </c:pt>
                <c:pt idx="21">
                  <c:v>233.89014607034687</c:v>
                </c:pt>
                <c:pt idx="22">
                  <c:v>265.06349566455668</c:v>
                </c:pt>
                <c:pt idx="23">
                  <c:v>296.15414676007953</c:v>
                </c:pt>
                <c:pt idx="24">
                  <c:v>327.17199695479388</c:v>
                </c:pt>
                <c:pt idx="25">
                  <c:v>358.12491265217704</c:v>
                </c:pt>
                <c:pt idx="26">
                  <c:v>389.01928929133305</c:v>
                </c:pt>
                <c:pt idx="27">
                  <c:v>349.30264839689653</c:v>
                </c:pt>
                <c:pt idx="28">
                  <c:v>381.18143660146501</c:v>
                </c:pt>
                <c:pt idx="29">
                  <c:v>413.00225010505613</c:v>
                </c:pt>
                <c:pt idx="30">
                  <c:v>444.77017787716136</c:v>
                </c:pt>
                <c:pt idx="31">
                  <c:v>476.48952312680632</c:v>
                </c:pt>
                <c:pt idx="32">
                  <c:v>508.16396992698787</c:v>
                </c:pt>
                <c:pt idx="33">
                  <c:v>436.83767056079637</c:v>
                </c:pt>
                <c:pt idx="34">
                  <c:v>466.44941609934472</c:v>
                </c:pt>
                <c:pt idx="35">
                  <c:v>496.0211046581191</c:v>
                </c:pt>
                <c:pt idx="36">
                  <c:v>525.55545685100537</c:v>
                </c:pt>
                <c:pt idx="37">
                  <c:v>555.0548629154506</c:v>
                </c:pt>
                <c:pt idx="38">
                  <c:v>584.52143860798708</c:v>
                </c:pt>
                <c:pt idx="39">
                  <c:v>613.95706924671242</c:v>
                </c:pt>
                <c:pt idx="40">
                  <c:v>643.36344487291547</c:v>
                </c:pt>
                <c:pt idx="41">
                  <c:v>520.78320077784304</c:v>
                </c:pt>
                <c:pt idx="42">
                  <c:v>545.51100151163848</c:v>
                </c:pt>
                <c:pt idx="43">
                  <c:v>570.21528899315069</c:v>
                </c:pt>
                <c:pt idx="44">
                  <c:v>594.89722403219321</c:v>
                </c:pt>
                <c:pt idx="45">
                  <c:v>619.55786337057941</c:v>
                </c:pt>
                <c:pt idx="46">
                  <c:v>644.19817286540308</c:v>
                </c:pt>
                <c:pt idx="47">
                  <c:v>668.81903855203529</c:v>
                </c:pt>
                <c:pt idx="48">
                  <c:v>693.4212759948449</c:v>
                </c:pt>
                <c:pt idx="49">
                  <c:v>580.12446097271857</c:v>
                </c:pt>
                <c:pt idx="50">
                  <c:v>600.8029190934418</c:v>
                </c:pt>
                <c:pt idx="51">
                  <c:v>621.46659067212056</c:v>
                </c:pt>
                <c:pt idx="52">
                  <c:v>642.11603608146129</c:v>
                </c:pt>
                <c:pt idx="53">
                  <c:v>662.75177675014834</c:v>
                </c:pt>
                <c:pt idx="54">
                  <c:v>683.37429902203985</c:v>
                </c:pt>
                <c:pt idx="55">
                  <c:v>703.9840575257158</c:v>
                </c:pt>
                <c:pt idx="56">
                  <c:v>724.58147812929258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7.3800406658039828</c:v>
                </c:pt>
                <c:pt idx="2">
                  <c:v>14.430122778312859</c:v>
                </c:pt>
                <c:pt idx="3">
                  <c:v>21.373644840990689</c:v>
                </c:pt>
                <c:pt idx="4">
                  <c:v>28.251480809573795</c:v>
                </c:pt>
                <c:pt idx="5">
                  <c:v>35.082156100738764</c:v>
                </c:pt>
                <c:pt idx="6">
                  <c:v>41.876238385615665</c:v>
                </c:pt>
                <c:pt idx="7">
                  <c:v>48.640540233177099</c:v>
                </c:pt>
                <c:pt idx="8">
                  <c:v>55.379806866672531</c:v>
                </c:pt>
                <c:pt idx="9">
                  <c:v>62.097526085554399</c:v>
                </c:pt>
                <c:pt idx="10">
                  <c:v>68.796365153350322</c:v>
                </c:pt>
                <c:pt idx="11">
                  <c:v>75.47842701139993</c:v>
                </c:pt>
                <c:pt idx="12">
                  <c:v>82.145410317563559</c:v>
                </c:pt>
                <c:pt idx="13">
                  <c:v>88.79871447595167</c:v>
                </c:pt>
                <c:pt idx="14">
                  <c:v>95.439511367710338</c:v>
                </c:pt>
                <c:pt idx="15">
                  <c:v>102.06879597606302</c:v>
                </c:pt>
                <c:pt idx="16">
                  <c:v>108.68742311436408</c:v>
                </c:pt>
                <c:pt idx="17">
                  <c:v>115.29613470502277</c:v>
                </c:pt>
                <c:pt idx="18">
                  <c:v>121.89558045466629</c:v>
                </c:pt>
                <c:pt idx="19">
                  <c:v>128.48633380310281</c:v>
                </c:pt>
                <c:pt idx="20">
                  <c:v>135.06890441882061</c:v>
                </c:pt>
                <c:pt idx="21">
                  <c:v>141.64374812436762</c:v>
                </c:pt>
                <c:pt idx="22">
                  <c:v>148.21127487761666</c:v>
                </c:pt>
                <c:pt idx="23">
                  <c:v>154.77185526087118</c:v>
                </c:pt>
                <c:pt idx="24">
                  <c:v>161.32582580958686</c:v>
                </c:pt>
                <c:pt idx="25">
                  <c:v>167.87349342794758</c:v>
                </c:pt>
                <c:pt idx="26">
                  <c:v>174.41513907806188</c:v>
                </c:pt>
                <c:pt idx="27">
                  <c:v>180.95102088562683</c:v>
                </c:pt>
                <c:pt idx="28">
                  <c:v>187.48137677255966</c:v>
                </c:pt>
                <c:pt idx="29">
                  <c:v>194.00642670297006</c:v>
                </c:pt>
                <c:pt idx="30">
                  <c:v>200.52637461064015</c:v>
                </c:pt>
                <c:pt idx="31">
                  <c:v>207.04141006228784</c:v>
                </c:pt>
                <c:pt idx="32">
                  <c:v>213.55170970018628</c:v>
                </c:pt>
                <c:pt idx="33">
                  <c:v>220.05743849939086</c:v>
                </c:pt>
                <c:pt idx="34">
                  <c:v>226.55875086829255</c:v>
                </c:pt>
                <c:pt idx="35">
                  <c:v>233.05579161605704</c:v>
                </c:pt>
                <c:pt idx="36">
                  <c:v>239.5486968063905</c:v>
                </c:pt>
                <c:pt idx="37">
                  <c:v>246.03759451377718</c:v>
                </c:pt>
                <c:pt idx="38">
                  <c:v>252.5226054956606</c:v>
                </c:pt>
                <c:pt idx="39">
                  <c:v>259.00384379188023</c:v>
                </c:pt>
                <c:pt idx="40">
                  <c:v>265.48141726089602</c:v>
                </c:pt>
                <c:pt idx="41">
                  <c:v>271.95542806088224</c:v>
                </c:pt>
                <c:pt idx="42">
                  <c:v>278.42597308256319</c:v>
                </c:pt>
                <c:pt idx="43">
                  <c:v>284.89314433966507</c:v>
                </c:pt>
                <c:pt idx="44">
                  <c:v>291.35702932202412</c:v>
                </c:pt>
                <c:pt idx="45">
                  <c:v>297.8177113156882</c:v>
                </c:pt>
                <c:pt idx="46">
                  <c:v>304.27526969376351</c:v>
                </c:pt>
                <c:pt idx="47">
                  <c:v>310.72978018125599</c:v>
                </c:pt>
                <c:pt idx="48">
                  <c:v>317.1813150967381</c:v>
                </c:pt>
                <c:pt idx="49">
                  <c:v>323.62994357330712</c:v>
                </c:pt>
                <c:pt idx="50">
                  <c:v>330.0757317609972</c:v>
                </c:pt>
                <c:pt idx="51">
                  <c:v>336.51874301254134</c:v>
                </c:pt>
                <c:pt idx="52">
                  <c:v>247.01200248677006</c:v>
                </c:pt>
                <c:pt idx="53">
                  <c:v>259.43488785150095</c:v>
                </c:pt>
                <c:pt idx="54">
                  <c:v>271.84433604206578</c:v>
                </c:pt>
                <c:pt idx="55">
                  <c:v>284.24104711596163</c:v>
                </c:pt>
                <c:pt idx="56">
                  <c:v>296.6256550515152</c:v>
                </c:pt>
                <c:pt idx="57">
                  <c:v>308.99873654266725</c:v>
                </c:pt>
                <c:pt idx="58">
                  <c:v>321.36081831054946</c:v>
                </c:pt>
                <c:pt idx="59">
                  <c:v>333.71238323059265</c:v>
                </c:pt>
                <c:pt idx="60">
                  <c:v>346.05387550468822</c:v>
                </c:pt>
                <c:pt idx="61">
                  <c:v>358.3857050566765</c:v>
                </c:pt>
                <c:pt idx="62">
                  <c:v>370.70825129105378</c:v>
                </c:pt>
                <c:pt idx="63">
                  <c:v>383.02186632567759</c:v>
                </c:pt>
                <c:pt idx="64">
                  <c:v>278.73116194548425</c:v>
                </c:pt>
                <c:pt idx="65">
                  <c:v>290.09879353244492</c:v>
                </c:pt>
                <c:pt idx="66">
                  <c:v>301.4564733796521</c:v>
                </c:pt>
                <c:pt idx="67">
                  <c:v>312.80462944093028</c:v>
                </c:pt>
                <c:pt idx="68">
                  <c:v>324.1436560691223</c:v>
                </c:pt>
                <c:pt idx="69">
                  <c:v>335.47391776262225</c:v>
                </c:pt>
                <c:pt idx="70">
                  <c:v>346.7957523790833</c:v>
                </c:pt>
                <c:pt idx="71">
                  <c:v>358.10947390735413</c:v>
                </c:pt>
                <c:pt idx="72">
                  <c:v>369.41537487070042</c:v>
                </c:pt>
                <c:pt idx="73">
                  <c:v>380.71372842036959</c:v>
                </c:pt>
                <c:pt idx="74">
                  <c:v>392.00479016759505</c:v>
                </c:pt>
                <c:pt idx="75">
                  <c:v>403.28879979346425</c:v>
                </c:pt>
                <c:pt idx="76">
                  <c:v>320.09055988993907</c:v>
                </c:pt>
                <c:pt idx="77">
                  <c:v>330.51376496417566</c:v>
                </c:pt>
                <c:pt idx="78">
                  <c:v>340.9297203238948</c:v>
                </c:pt>
                <c:pt idx="79">
                  <c:v>351.33867878828346</c:v>
                </c:pt>
                <c:pt idx="80">
                  <c:v>361.74087696659825</c:v>
                </c:pt>
                <c:pt idx="81">
                  <c:v>372.13653674377588</c:v>
                </c:pt>
                <c:pt idx="82">
                  <c:v>382.52586659131663</c:v>
                </c:pt>
                <c:pt idx="83">
                  <c:v>392.90906272827596</c:v>
                </c:pt>
                <c:pt idx="84">
                  <c:v>403.28631015309378</c:v>
                </c:pt>
                <c:pt idx="85">
                  <c:v>413.6577835636549</c:v>
                </c:pt>
                <c:pt idx="86">
                  <c:v>424.02364818024301</c:v>
                </c:pt>
                <c:pt idx="87">
                  <c:v>434.38406048380944</c:v>
                </c:pt>
                <c:pt idx="88">
                  <c:v>351.58422801050841</c:v>
                </c:pt>
                <c:pt idx="89">
                  <c:v>360.99635900937443</c:v>
                </c:pt>
                <c:pt idx="90">
                  <c:v>370.40312470931332</c:v>
                </c:pt>
                <c:pt idx="91">
                  <c:v>379.80468065192116</c:v>
                </c:pt>
                <c:pt idx="92">
                  <c:v>389.20117404606736</c:v>
                </c:pt>
                <c:pt idx="93">
                  <c:v>398.59274440905824</c:v>
                </c:pt>
                <c:pt idx="94">
                  <c:v>407.97952414419888</c:v>
                </c:pt>
                <c:pt idx="95">
                  <c:v>417.36163906241222</c:v>
                </c:pt>
                <c:pt idx="96">
                  <c:v>426.73920885449638</c:v>
                </c:pt>
                <c:pt idx="97">
                  <c:v>436.11234751969567</c:v>
                </c:pt>
                <c:pt idx="98">
                  <c:v>445.48116375549813</c:v>
                </c:pt>
                <c:pt idx="99">
                  <c:v>454.84576131292738</c:v>
                </c:pt>
                <c:pt idx="100">
                  <c:v>238.64812478518766</c:v>
                </c:pt>
                <c:pt idx="101">
                  <c:v>245.25745220730889</c:v>
                </c:pt>
                <c:pt idx="102">
                  <c:v>251.86273322597432</c:v>
                </c:pt>
                <c:pt idx="103">
                  <c:v>258.46408908205132</c:v>
                </c:pt>
                <c:pt idx="104">
                  <c:v>265.06163430905343</c:v>
                </c:pt>
                <c:pt idx="105">
                  <c:v>271.65547726567394</c:v>
                </c:pt>
                <c:pt idx="106">
                  <c:v>278.2457206138526</c:v>
                </c:pt>
                <c:pt idx="107">
                  <c:v>284.83246174913438</c:v>
                </c:pt>
                <c:pt idx="108">
                  <c:v>291.41579318909641</c:v>
                </c:pt>
                <c:pt idx="109">
                  <c:v>297.99580292480601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3.3607023068976729</c:v>
                </c:pt>
                <c:pt idx="2">
                  <c:v>4.2547221455608728</c:v>
                </c:pt>
                <c:pt idx="3">
                  <c:v>5.3874913175360541</c:v>
                </c:pt>
                <c:pt idx="4">
                  <c:v>6.822999493748207</c:v>
                </c:pt>
                <c:pt idx="5">
                  <c:v>8.6424447671064257</c:v>
                </c:pt>
                <c:pt idx="6">
                  <c:v>10.948875863598902</c:v>
                </c:pt>
                <c:pt idx="7">
                  <c:v>13.873090242281457</c:v>
                </c:pt>
                <c:pt idx="8">
                  <c:v>17.581128737253849</c:v>
                </c:pt>
                <c:pt idx="9">
                  <c:v>22.283800014650385</c:v>
                </c:pt>
                <c:pt idx="10">
                  <c:v>28.248785974087401</c:v>
                </c:pt>
                <c:pt idx="11">
                  <c:v>37.044761351668747</c:v>
                </c:pt>
                <c:pt idx="12">
                  <c:v>45.783421279666953</c:v>
                </c:pt>
                <c:pt idx="13">
                  <c:v>54.477343172934816</c:v>
                </c:pt>
                <c:pt idx="14">
                  <c:v>63.134713140647797</c:v>
                </c:pt>
                <c:pt idx="15">
                  <c:v>71.761269961795847</c:v>
                </c:pt>
                <c:pt idx="16">
                  <c:v>83.617060344493396</c:v>
                </c:pt>
                <c:pt idx="17">
                  <c:v>95.430378362145419</c:v>
                </c:pt>
                <c:pt idx="18">
                  <c:v>107.20723543568683</c:v>
                </c:pt>
                <c:pt idx="19">
                  <c:v>118.9522086529156</c:v>
                </c:pt>
                <c:pt idx="20">
                  <c:v>130.66889437805216</c:v>
                </c:pt>
                <c:pt idx="21">
                  <c:v>99.850701125907904</c:v>
                </c:pt>
                <c:pt idx="22">
                  <c:v>111.61512570313761</c:v>
                </c:pt>
                <c:pt idx="23">
                  <c:v>123.3491121177467</c:v>
                </c:pt>
                <c:pt idx="24">
                  <c:v>135.05596788582679</c:v>
                </c:pt>
                <c:pt idx="25">
                  <c:v>146.73837885160424</c:v>
                </c:pt>
                <c:pt idx="26">
                  <c:v>130.66889437805222</c:v>
                </c:pt>
                <c:pt idx="27">
                  <c:v>142.36018960459288</c:v>
                </c:pt>
                <c:pt idx="28">
                  <c:v>154.02847557165751</c:v>
                </c:pt>
                <c:pt idx="29">
                  <c:v>165.67574259607389</c:v>
                </c:pt>
                <c:pt idx="30">
                  <c:v>177.30367784131445</c:v>
                </c:pt>
                <c:pt idx="31">
                  <c:v>158.68980415698181</c:v>
                </c:pt>
                <c:pt idx="32">
                  <c:v>169.16608298395553</c:v>
                </c:pt>
                <c:pt idx="33">
                  <c:v>179.62707610009167</c:v>
                </c:pt>
                <c:pt idx="34">
                  <c:v>190.07380002073512</c:v>
                </c:pt>
                <c:pt idx="35">
                  <c:v>200.50715025518218</c:v>
                </c:pt>
                <c:pt idx="36">
                  <c:v>181.65947157363226</c:v>
                </c:pt>
                <c:pt idx="37">
                  <c:v>191.81359784117478</c:v>
                </c:pt>
                <c:pt idx="38">
                  <c:v>201.95521485937351</c:v>
                </c:pt>
                <c:pt idx="39">
                  <c:v>212.08503993201165</c:v>
                </c:pt>
                <c:pt idx="40">
                  <c:v>222.20371616988226</c:v>
                </c:pt>
                <c:pt idx="41">
                  <c:v>202.53437324255785</c:v>
                </c:pt>
                <c:pt idx="42">
                  <c:v>211.79577397903063</c:v>
                </c:pt>
                <c:pt idx="43">
                  <c:v>221.04784133997921</c:v>
                </c:pt>
                <c:pt idx="44">
                  <c:v>230.2910214517143</c:v>
                </c:pt>
                <c:pt idx="45">
                  <c:v>239.52572166460229</c:v>
                </c:pt>
                <c:pt idx="46">
                  <c:v>220.75885097534115</c:v>
                </c:pt>
                <c:pt idx="47">
                  <c:v>229.42483959070205</c:v>
                </c:pt>
                <c:pt idx="48">
                  <c:v>238.08334323928753</c:v>
                </c:pt>
                <c:pt idx="49">
                  <c:v>246.73467280489569</c:v>
                </c:pt>
                <c:pt idx="50">
                  <c:v>255.37911556611792</c:v>
                </c:pt>
                <c:pt idx="51">
                  <c:v>236.9292971220211</c:v>
                </c:pt>
                <c:pt idx="52">
                  <c:v>244.42833642786528</c:v>
                </c:pt>
                <c:pt idx="53">
                  <c:v>251.9221473953688</c:v>
                </c:pt>
                <c:pt idx="54">
                  <c:v>259.41090767814842</c:v>
                </c:pt>
                <c:pt idx="55">
                  <c:v>266.89478382272017</c:v>
                </c:pt>
                <c:pt idx="56">
                  <c:v>249.61690536823653</c:v>
                </c:pt>
                <c:pt idx="57">
                  <c:v>256.81920545571325</c:v>
                </c:pt>
                <c:pt idx="58">
                  <c:v>264.01693774461648</c:v>
                </c:pt>
                <c:pt idx="59">
                  <c:v>271.21024448496547</c:v>
                </c:pt>
                <c:pt idx="60">
                  <c:v>278.39925975574312</c:v>
                </c:pt>
                <c:pt idx="61">
                  <c:v>261.71415155067552</c:v>
                </c:pt>
                <c:pt idx="62">
                  <c:v>268.04572597702128</c:v>
                </c:pt>
                <c:pt idx="63">
                  <c:v>274.37393226183292</c:v>
                </c:pt>
                <c:pt idx="64">
                  <c:v>280.69885915498259</c:v>
                </c:pt>
                <c:pt idx="65">
                  <c:v>287.02059107494546</c:v>
                </c:pt>
                <c:pt idx="66">
                  <c:v>271.49788662587986</c:v>
                </c:pt>
                <c:pt idx="67">
                  <c:v>277.53680025840237</c:v>
                </c:pt>
                <c:pt idx="68">
                  <c:v>283.5727648129357</c:v>
                </c:pt>
                <c:pt idx="69">
                  <c:v>289.60585200572694</c:v>
                </c:pt>
                <c:pt idx="70">
                  <c:v>295.63613031709252</c:v>
                </c:pt>
                <c:pt idx="71">
                  <c:v>280.41143241335362</c:v>
                </c:pt>
                <c:pt idx="72">
                  <c:v>285.29679456567902</c:v>
                </c:pt>
                <c:pt idx="73">
                  <c:v>290.18028419185146</c:v>
                </c:pt>
                <c:pt idx="74">
                  <c:v>295.06193730222367</c:v>
                </c:pt>
                <c:pt idx="75">
                  <c:v>299.94178861650352</c:v>
                </c:pt>
                <c:pt idx="76">
                  <c:v>287.30786792948942</c:v>
                </c:pt>
                <c:pt idx="77">
                  <c:v>291.90342847509879</c:v>
                </c:pt>
                <c:pt idx="78">
                  <c:v>296.49737320370468</c:v>
                </c:pt>
                <c:pt idx="79">
                  <c:v>301.08973072459509</c:v>
                </c:pt>
                <c:pt idx="80">
                  <c:v>305.68052870172897</c:v>
                </c:pt>
                <c:pt idx="81">
                  <c:v>293.91347640596678</c:v>
                </c:pt>
                <c:pt idx="82">
                  <c:v>297.93265411137128</c:v>
                </c:pt>
                <c:pt idx="83">
                  <c:v>301.95062331967574</c:v>
                </c:pt>
                <c:pt idx="84">
                  <c:v>305.96740240919087</c:v>
                </c:pt>
                <c:pt idx="85">
                  <c:v>309.98300923549431</c:v>
                </c:pt>
                <c:pt idx="86">
                  <c:v>299.65478781030816</c:v>
                </c:pt>
                <c:pt idx="87">
                  <c:v>303.67224474828663</c:v>
                </c:pt>
                <c:pt idx="88">
                  <c:v>307.68851928258727</c:v>
                </c:pt>
                <c:pt idx="89">
                  <c:v>311.70362905144191</c:v>
                </c:pt>
                <c:pt idx="90">
                  <c:v>315.71759120085159</c:v>
                </c:pt>
                <c:pt idx="91">
                  <c:v>305.39364900712383</c:v>
                </c:pt>
                <c:pt idx="92">
                  <c:v>309.4094222256216</c:v>
                </c:pt>
                <c:pt idx="93">
                  <c:v>313.42403808604359</c:v>
                </c:pt>
                <c:pt idx="94">
                  <c:v>317.43751352960925</c:v>
                </c:pt>
                <c:pt idx="95">
                  <c:v>321.44986503349952</c:v>
                </c:pt>
                <c:pt idx="96">
                  <c:v>309.98300923549442</c:v>
                </c:pt>
                <c:pt idx="97">
                  <c:v>314.2841639743362</c:v>
                </c:pt>
                <c:pt idx="98">
                  <c:v>318.58401365201161</c:v>
                </c:pt>
                <c:pt idx="99">
                  <c:v>322.88257839605905</c:v>
                </c:pt>
                <c:pt idx="100">
                  <c:v>327.17987775354362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8.3056921630164542</c:v>
                </c:pt>
                <c:pt idx="2">
                  <c:v>16.243789003972445</c:v>
                </c:pt>
                <c:pt idx="3">
                  <c:v>24.063171008033788</c:v>
                </c:pt>
                <c:pt idx="4">
                  <c:v>31.8093744244437</c:v>
                </c:pt>
                <c:pt idx="5">
                  <c:v>39.503037774136196</c:v>
                </c:pt>
                <c:pt idx="6">
                  <c:v>47.15593413113433</c:v>
                </c:pt>
                <c:pt idx="7">
                  <c:v>54.775653141048224</c:v>
                </c:pt>
                <c:pt idx="8">
                  <c:v>62.367481291684378</c:v>
                </c:pt>
                <c:pt idx="9">
                  <c:v>69.935304218830069</c:v>
                </c:pt>
                <c:pt idx="10">
                  <c:v>77.482093427802084</c:v>
                </c:pt>
                <c:pt idx="11">
                  <c:v>85.01019173223969</c:v>
                </c:pt>
                <c:pt idx="12">
                  <c:v>92.52149154765074</c:v>
                </c:pt>
                <c:pt idx="13">
                  <c:v>100.01755190137233</c:v>
                </c:pt>
                <c:pt idx="14">
                  <c:v>107.49967834533821</c:v>
                </c:pt>
                <c:pt idx="15">
                  <c:v>114.96897935567303</c:v>
                </c:pt>
                <c:pt idx="16">
                  <c:v>122.42640725013666</c:v>
                </c:pt>
                <c:pt idx="17">
                  <c:v>129.87278857862222</c:v>
                </c:pt>
                <c:pt idx="18">
                  <c:v>137.30884715663467</c:v>
                </c:pt>
                <c:pt idx="19">
                  <c:v>144.73522183347453</c:v>
                </c:pt>
                <c:pt idx="20">
                  <c:v>152.15248041303775</c:v>
                </c:pt>
                <c:pt idx="21">
                  <c:v>159.56113071133535</c:v>
                </c:pt>
                <c:pt idx="22">
                  <c:v>166.96162944814259</c:v>
                </c:pt>
                <c:pt idx="23">
                  <c:v>174.35438947628532</c:v>
                </c:pt>
                <c:pt idx="24">
                  <c:v>181.7397857181835</c:v>
                </c:pt>
                <c:pt idx="25">
                  <c:v>189.1181600850897</c:v>
                </c:pt>
                <c:pt idx="26">
                  <c:v>196.48982558709483</c:v>
                </c:pt>
                <c:pt idx="27">
                  <c:v>203.85506979304003</c:v>
                </c:pt>
                <c:pt idx="28">
                  <c:v>211.21415776343937</c:v>
                </c:pt>
                <c:pt idx="29">
                  <c:v>218.56733455263964</c:v>
                </c:pt>
                <c:pt idx="30">
                  <c:v>225.91482735615861</c:v>
                </c:pt>
                <c:pt idx="31">
                  <c:v>233.25684736366836</c:v>
                </c:pt>
                <c:pt idx="32">
                  <c:v>240.59359136616786</c:v>
                </c:pt>
                <c:pt idx="33">
                  <c:v>247.92524315661532</c:v>
                </c:pt>
                <c:pt idx="34">
                  <c:v>255.25197475601655</c:v>
                </c:pt>
                <c:pt idx="35">
                  <c:v>262.57394749121505</c:v>
                </c:pt>
                <c:pt idx="36">
                  <c:v>269.89131294604289</c:v>
                </c:pt>
                <c:pt idx="37">
                  <c:v>277.20421380381816</c:v>
                </c:pt>
                <c:pt idx="38">
                  <c:v>284.51278459619942</c:v>
                </c:pt>
                <c:pt idx="39">
                  <c:v>291.81715237099615</c:v>
                </c:pt>
                <c:pt idx="40">
                  <c:v>299.11743728955889</c:v>
                </c:pt>
                <c:pt idx="41">
                  <c:v>306.41375316274832</c:v>
                </c:pt>
                <c:pt idx="42">
                  <c:v>313.70620793314299</c:v>
                </c:pt>
                <c:pt idx="43">
                  <c:v>320.99490411002768</c:v>
                </c:pt>
                <c:pt idx="44">
                  <c:v>328.27993916277887</c:v>
                </c:pt>
                <c:pt idx="45">
                  <c:v>335.5614058774795</c:v>
                </c:pt>
                <c:pt idx="46">
                  <c:v>342.83939268093991</c:v>
                </c:pt>
                <c:pt idx="47">
                  <c:v>350.11398393574996</c:v>
                </c:pt>
                <c:pt idx="48">
                  <c:v>357.38526020950985</c:v>
                </c:pt>
                <c:pt idx="49">
                  <c:v>364.65329852099347</c:v>
                </c:pt>
                <c:pt idx="50">
                  <c:v>371.91817256564792</c:v>
                </c:pt>
                <c:pt idx="51">
                  <c:v>379.17995292254449</c:v>
                </c:pt>
                <c:pt idx="52">
                  <c:v>386.43870724463926</c:v>
                </c:pt>
                <c:pt idx="53">
                  <c:v>393.69450043398388</c:v>
                </c:pt>
                <c:pt idx="54">
                  <c:v>400.94739480334033</c:v>
                </c:pt>
                <c:pt idx="55">
                  <c:v>408.19745022548432</c:v>
                </c:pt>
                <c:pt idx="56">
                  <c:v>415.44472427134343</c:v>
                </c:pt>
                <c:pt idx="57">
                  <c:v>422.68927233798996</c:v>
                </c:pt>
                <c:pt idx="58">
                  <c:v>429.93114776739526</c:v>
                </c:pt>
                <c:pt idx="59">
                  <c:v>437.17040195676424</c:v>
                </c:pt>
                <c:pt idx="60">
                  <c:v>444.40708446117736</c:v>
                </c:pt>
                <c:pt idx="61">
                  <c:v>301.78859980380139</c:v>
                </c:pt>
                <c:pt idx="62">
                  <c:v>316.74909882186188</c:v>
                </c:pt>
                <c:pt idx="63">
                  <c:v>331.6939492220003</c:v>
                </c:pt>
                <c:pt idx="64">
                  <c:v>346.6239553389085</c:v>
                </c:pt>
                <c:pt idx="65">
                  <c:v>361.539846559446</c:v>
                </c:pt>
                <c:pt idx="66">
                  <c:v>376.44228717513016</c:v>
                </c:pt>
                <c:pt idx="67">
                  <c:v>391.33188459265767</c:v>
                </c:pt>
                <c:pt idx="68">
                  <c:v>406.20919622941773</c:v>
                </c:pt>
                <c:pt idx="69">
                  <c:v>421.07473534602883</c:v>
                </c:pt>
                <c:pt idx="70">
                  <c:v>344.43823643912452</c:v>
                </c:pt>
                <c:pt idx="71">
                  <c:v>359.03258357048571</c:v>
                </c:pt>
                <c:pt idx="72">
                  <c:v>373.61395480477341</c:v>
                </c:pt>
                <c:pt idx="73">
                  <c:v>388.18292785095059</c:v>
                </c:pt>
                <c:pt idx="74">
                  <c:v>402.74003351764833</c:v>
                </c:pt>
                <c:pt idx="75">
                  <c:v>417.28576111378544</c:v>
                </c:pt>
                <c:pt idx="76">
                  <c:v>431.8205630568612</c:v>
                </c:pt>
                <c:pt idx="77">
                  <c:v>446.34485882845661</c:v>
                </c:pt>
                <c:pt idx="78">
                  <c:v>387.68504212740351</c:v>
                </c:pt>
                <c:pt idx="79">
                  <c:v>402.24404369441692</c:v>
                </c:pt>
                <c:pt idx="80">
                  <c:v>416.79164879683066</c:v>
                </c:pt>
                <c:pt idx="81">
                  <c:v>431.32831117955783</c:v>
                </c:pt>
                <c:pt idx="82">
                  <c:v>445.85445151299149</c:v>
                </c:pt>
                <c:pt idx="83">
                  <c:v>460.37046082542201</c:v>
                </c:pt>
                <c:pt idx="84">
                  <c:v>474.87670348003502</c:v>
                </c:pt>
                <c:pt idx="85">
                  <c:v>489.37351976925379</c:v>
                </c:pt>
                <c:pt idx="86">
                  <c:v>503.86122818572488</c:v>
                </c:pt>
                <c:pt idx="87">
                  <c:v>437.66652036266078</c:v>
                </c:pt>
                <c:pt idx="88">
                  <c:v>452.22167614044662</c:v>
                </c:pt>
                <c:pt idx="89">
                  <c:v>466.76681776608552</c:v>
                </c:pt>
                <c:pt idx="90">
                  <c:v>481.30230117242854</c:v>
                </c:pt>
                <c:pt idx="91">
                  <c:v>495.82845904603795</c:v>
                </c:pt>
                <c:pt idx="92">
                  <c:v>510.34560299616987</c:v>
                </c:pt>
                <c:pt idx="93">
                  <c:v>524.85402546418084</c:v>
                </c:pt>
                <c:pt idx="94">
                  <c:v>539.35400141087905</c:v>
                </c:pt>
                <c:pt idx="95">
                  <c:v>553.84578981304333</c:v>
                </c:pt>
                <c:pt idx="96">
                  <c:v>477.81503001597611</c:v>
                </c:pt>
                <c:pt idx="97">
                  <c:v>492.38159188749614</c:v>
                </c:pt>
                <c:pt idx="98">
                  <c:v>506.93901981766635</c:v>
                </c:pt>
                <c:pt idx="99">
                  <c:v>521.48761296117152</c:v>
                </c:pt>
                <c:pt idx="100">
                  <c:v>536.02765242552857</c:v>
                </c:pt>
                <c:pt idx="101">
                  <c:v>550.55940283000689</c:v>
                </c:pt>
                <c:pt idx="102">
                  <c:v>565.08311369145497</c:v>
                </c:pt>
                <c:pt idx="103">
                  <c:v>579.59902066029906</c:v>
                </c:pt>
                <c:pt idx="104">
                  <c:v>594.10734662633229</c:v>
                </c:pt>
                <c:pt idx="105">
                  <c:v>524.42728878652235</c:v>
                </c:pt>
                <c:pt idx="106">
                  <c:v>539.18721769684169</c:v>
                </c:pt>
                <c:pt idx="107">
                  <c:v>553.93866001674166</c:v>
                </c:pt>
                <c:pt idx="108">
                  <c:v>568.68187348266281</c:v>
                </c:pt>
                <c:pt idx="109">
                  <c:v>583.41710138371138</c:v>
                </c:pt>
                <c:pt idx="110">
                  <c:v>598.14457372350319</c:v>
                </c:pt>
                <c:pt idx="111">
                  <c:v>612.86450826168243</c:v>
                </c:pt>
                <c:pt idx="112">
                  <c:v>627.57711145022802</c:v>
                </c:pt>
                <c:pt idx="113">
                  <c:v>642.2825792774405</c:v>
                </c:pt>
                <c:pt idx="114">
                  <c:v>568.18207427282073</c:v>
                </c:pt>
                <c:pt idx="115">
                  <c:v>583.1744725407691</c:v>
                </c:pt>
                <c:pt idx="116">
                  <c:v>598.15883853648563</c:v>
                </c:pt>
                <c:pt idx="117">
                  <c:v>613.13540171236571</c:v>
                </c:pt>
                <c:pt idx="118">
                  <c:v>628.10437940382712</c:v>
                </c:pt>
                <c:pt idx="119">
                  <c:v>643.06597774867816</c:v>
                </c:pt>
                <c:pt idx="120">
                  <c:v>658.020392516524</c:v>
                </c:pt>
                <c:pt idx="121">
                  <c:v>672.96780985890575</c:v>
                </c:pt>
                <c:pt idx="122">
                  <c:v>687.90840698936972</c:v>
                </c:pt>
                <c:pt idx="123">
                  <c:v>605.19695132921026</c:v>
                </c:pt>
                <c:pt idx="124">
                  <c:v>620.40915446659915</c:v>
                </c:pt>
                <c:pt idx="125">
                  <c:v>635.61363246553321</c:v>
                </c:pt>
                <c:pt idx="126">
                  <c:v>650.81059603610004</c:v>
                </c:pt>
                <c:pt idx="127">
                  <c:v>666.00024525190713</c:v>
                </c:pt>
                <c:pt idx="128">
                  <c:v>681.18277032234562</c:v>
                </c:pt>
                <c:pt idx="129">
                  <c:v>696.35835229247311</c:v>
                </c:pt>
                <c:pt idx="130">
                  <c:v>711.52716367875882</c:v>
                </c:pt>
                <c:pt idx="131">
                  <c:v>726.68936904783868</c:v>
                </c:pt>
                <c:pt idx="132">
                  <c:v>741.84512554449418</c:v>
                </c:pt>
                <c:pt idx="133">
                  <c:v>653.62036176110962</c:v>
                </c:pt>
                <c:pt idx="134">
                  <c:v>669.28793557733968</c:v>
                </c:pt>
                <c:pt idx="135">
                  <c:v>684.94797090998281</c:v>
                </c:pt>
                <c:pt idx="136">
                  <c:v>700.60066426424748</c:v>
                </c:pt>
                <c:pt idx="137">
                  <c:v>716.24620265561543</c:v>
                </c:pt>
                <c:pt idx="138">
                  <c:v>731.88476426965838</c:v>
                </c:pt>
                <c:pt idx="139">
                  <c:v>747.51651906257723</c:v>
                </c:pt>
                <c:pt idx="140">
                  <c:v>763.14162930893906</c:v>
                </c:pt>
                <c:pt idx="141">
                  <c:v>778.76025010226238</c:v>
                </c:pt>
                <c:pt idx="142">
                  <c:v>794.37252981339236</c:v>
                </c:pt>
                <c:pt idx="143">
                  <c:v>809.97861051100574</c:v>
                </c:pt>
                <c:pt idx="144">
                  <c:v>825.57862834804939</c:v>
                </c:pt>
                <c:pt idx="145">
                  <c:v>711.83666917952871</c:v>
                </c:pt>
                <c:pt idx="146">
                  <c:v>727.86433034101958</c:v>
                </c:pt>
                <c:pt idx="147">
                  <c:v>743.88479832061319</c:v>
                </c:pt>
                <c:pt idx="148">
                  <c:v>759.89824972185613</c:v>
                </c:pt>
                <c:pt idx="149">
                  <c:v>775.904853104891</c:v>
                </c:pt>
                <c:pt idx="150">
                  <c:v>791.90476951455923</c:v>
                </c:pt>
                <c:pt idx="151">
                  <c:v>807.89815296364668</c:v>
                </c:pt>
                <c:pt idx="152">
                  <c:v>823.88515087591293</c:v>
                </c:pt>
                <c:pt idx="153">
                  <c:v>839.8659044929808</c:v>
                </c:pt>
                <c:pt idx="154">
                  <c:v>855.84054924867905</c:v>
                </c:pt>
                <c:pt idx="155">
                  <c:v>871.80921511401391</c:v>
                </c:pt>
                <c:pt idx="156">
                  <c:v>887.77202691557977</c:v>
                </c:pt>
                <c:pt idx="157">
                  <c:v>764.45806346280631</c:v>
                </c:pt>
                <c:pt idx="158">
                  <c:v>780.80146292138977</c:v>
                </c:pt>
                <c:pt idx="159">
                  <c:v>797.13793918329975</c:v>
                </c:pt>
                <c:pt idx="160">
                  <c:v>813.46765398238688</c:v>
                </c:pt>
                <c:pt idx="161">
                  <c:v>829.79076203620934</c:v>
                </c:pt>
                <c:pt idx="162">
                  <c:v>846.10741148525494</c:v>
                </c:pt>
                <c:pt idx="163">
                  <c:v>862.41774429655925</c:v>
                </c:pt>
                <c:pt idx="164">
                  <c:v>878.72189663523716</c:v>
                </c:pt>
                <c:pt idx="165">
                  <c:v>895.0199992070369</c:v>
                </c:pt>
                <c:pt idx="166">
                  <c:v>911.31217757467437</c:v>
                </c:pt>
                <c:pt idx="167">
                  <c:v>927.59855245039887</c:v>
                </c:pt>
                <c:pt idx="168">
                  <c:v>943.879239966966</c:v>
                </c:pt>
                <c:pt idx="169">
                  <c:v>808.6725777976294</c:v>
                </c:pt>
                <c:pt idx="170">
                  <c:v>825.01886738881649</c:v>
                </c:pt>
                <c:pt idx="171">
                  <c:v>841.35863877127156</c:v>
                </c:pt>
                <c:pt idx="172">
                  <c:v>857.69203623567989</c:v>
                </c:pt>
                <c:pt idx="173">
                  <c:v>874.01919813493544</c:v>
                </c:pt>
                <c:pt idx="174">
                  <c:v>890.34025723710477</c:v>
                </c:pt>
                <c:pt idx="175">
                  <c:v>906.65534105119139</c:v>
                </c:pt>
                <c:pt idx="176">
                  <c:v>922.96457212826181</c:v>
                </c:pt>
                <c:pt idx="177">
                  <c:v>939.26806834020806</c:v>
                </c:pt>
                <c:pt idx="178">
                  <c:v>955.56594313817016</c:v>
                </c:pt>
                <c:pt idx="179">
                  <c:v>971.85830579243668</c:v>
                </c:pt>
                <c:pt idx="180">
                  <c:v>988.145261615442</c:v>
                </c:pt>
                <c:pt idx="181">
                  <c:v>624.85927956155399</c:v>
                </c:pt>
                <c:pt idx="182">
                  <c:v>635.11356363549817</c:v>
                </c:pt>
                <c:pt idx="183">
                  <c:v>645.36442647554566</c:v>
                </c:pt>
                <c:pt idx="184">
                  <c:v>655.61193007140548</c:v>
                </c:pt>
                <c:pt idx="185">
                  <c:v>445.27372254357095</c:v>
                </c:pt>
                <c:pt idx="186">
                  <c:v>451.90957876828219</c:v>
                </c:pt>
                <c:pt idx="187">
                  <c:v>458.54335148038626</c:v>
                </c:pt>
                <c:pt idx="188">
                  <c:v>465.17507509285309</c:v>
                </c:pt>
                <c:pt idx="189">
                  <c:v>313.55288913052675</c:v>
                </c:pt>
                <c:pt idx="190">
                  <c:v>317.8336225639469</c:v>
                </c:pt>
                <c:pt idx="191">
                  <c:v>322.11307915685478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25" x14ac:dyDescent="0.45"/>
  <cols>
    <col min="1" max="1" width="6.73046875" customWidth="1"/>
    <col min="2" max="13" width="15.8632812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L20" sqref="L20"/>
    </sheetView>
  </sheetViews>
  <sheetFormatPr baseColWidth="10" defaultColWidth="11.3984375" defaultRowHeight="14.25" x14ac:dyDescent="0.45"/>
  <cols>
    <col min="1" max="1" width="13.73046875" style="23" customWidth="1"/>
    <col min="2" max="2" width="36.1328125" style="23" customWidth="1"/>
    <col min="3" max="3" width="14.86328125" style="23" bestFit="1" customWidth="1"/>
    <col min="4" max="4" width="16.3984375" style="23" customWidth="1"/>
    <col min="5" max="5" width="23.265625" style="23" customWidth="1"/>
    <col min="6" max="6" width="28.86328125" style="23" bestFit="1" customWidth="1"/>
    <col min="7" max="8" width="14.73046875" style="23" customWidth="1"/>
    <col min="9" max="9" width="17" style="23" customWidth="1"/>
    <col min="10" max="10" width="13.86328125" style="23" customWidth="1"/>
    <col min="11" max="16384" width="11.3984375" style="23"/>
  </cols>
  <sheetData>
    <row r="1" spans="1:38" x14ac:dyDescent="0.4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148.87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36</v>
      </c>
      <c r="C9" s="32">
        <v>0.73644924973549164</v>
      </c>
      <c r="D9" s="33">
        <f t="shared" ref="D9:D18" si="0">C9*$C$5</f>
        <v>109.63519980812265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164</v>
      </c>
      <c r="C10" s="32">
        <v>8.2205764255770156E-2</v>
      </c>
      <c r="D10" s="33">
        <f t="shared" si="0"/>
        <v>12.237972124756503</v>
      </c>
      <c r="E10" s="34">
        <v>109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9</v>
      </c>
      <c r="C11" s="32">
        <v>0.1297252042210528</v>
      </c>
      <c r="D11" s="33">
        <f t="shared" si="0"/>
        <v>19.312191152388131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12</v>
      </c>
      <c r="C12" s="32">
        <v>2.5809890893842773E-2</v>
      </c>
      <c r="D12" s="33">
        <f t="shared" si="0"/>
        <v>3.8423184573663738</v>
      </c>
      <c r="E12" s="34">
        <v>191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14</v>
      </c>
      <c r="C13" s="32">
        <v>2.5809890893842773E-2</v>
      </c>
      <c r="D13" s="33">
        <f t="shared" si="0"/>
        <v>3.8423184573663738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1.0000000000000002</v>
      </c>
      <c r="D19" s="38">
        <f>SUM(D9:D18)</f>
        <v>148.87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Pin maritime</v>
      </c>
      <c r="C32" s="23" t="s">
        <v>328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15</v>
      </c>
      <c r="B36" s="60">
        <v>143.9</v>
      </c>
      <c r="C36" s="60">
        <v>1</v>
      </c>
      <c r="D36" s="60">
        <v>50.480000000000004</v>
      </c>
      <c r="E36" s="51">
        <v>0</v>
      </c>
      <c r="F36" s="51">
        <v>0.5</v>
      </c>
      <c r="G36" s="51">
        <v>0.5</v>
      </c>
      <c r="H36" s="51">
        <v>0</v>
      </c>
      <c r="I36" s="49">
        <f>IFERROR(B36/A36,"")</f>
        <v>9.5933333333333337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20</v>
      </c>
      <c r="B37" s="60">
        <v>208.05</v>
      </c>
      <c r="C37" s="60">
        <v>2</v>
      </c>
      <c r="D37" s="60">
        <v>55.160000000000025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22.926000000000002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26</v>
      </c>
      <c r="B38" s="60">
        <v>298.32</v>
      </c>
      <c r="C38" s="60">
        <v>3</v>
      </c>
      <c r="D38" s="60">
        <v>56.150000000000006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24.238333333333333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32</v>
      </c>
      <c r="B39" s="60">
        <v>392.16</v>
      </c>
      <c r="C39" s="60">
        <v>4</v>
      </c>
      <c r="D39" s="60">
        <v>79.57000000000005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24.998333333333338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40</v>
      </c>
      <c r="B40" s="60">
        <v>499.21</v>
      </c>
      <c r="C40" s="60">
        <v>5</v>
      </c>
      <c r="D40" s="60">
        <v>116.63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23.327500000000001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48</v>
      </c>
      <c r="B41" s="60">
        <v>538.97</v>
      </c>
      <c r="C41" s="60">
        <v>6</v>
      </c>
      <c r="D41" s="60">
        <v>106.28000000000003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19.548750000000005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56</v>
      </c>
      <c r="B42" s="60">
        <v>563.75</v>
      </c>
      <c r="C42" s="60">
        <v>7</v>
      </c>
      <c r="D42" s="60">
        <v>563.75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16.3825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326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51</v>
      </c>
      <c r="B62" s="60">
        <v>328.59</v>
      </c>
      <c r="C62" s="60">
        <v>1</v>
      </c>
      <c r="D62" s="60">
        <v>101.57999999999998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6.4429411764705877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63</v>
      </c>
      <c r="B63" s="60">
        <v>375.17</v>
      </c>
      <c r="C63" s="60">
        <v>2</v>
      </c>
      <c r="D63" s="60">
        <v>115.59000000000003</v>
      </c>
      <c r="E63" s="51">
        <v>0.6</v>
      </c>
      <c r="F63" s="51">
        <v>0.2</v>
      </c>
      <c r="G63" s="51">
        <v>0.2</v>
      </c>
      <c r="H63" s="51">
        <v>0</v>
      </c>
      <c r="I63" s="49">
        <f>IF(A63&lt;&gt;0,(B63-(B62-D62))/(A63-A62),"")</f>
        <v>12.346666666666669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75</v>
      </c>
      <c r="B64" s="60">
        <v>395.51</v>
      </c>
      <c r="C64" s="60">
        <v>3</v>
      </c>
      <c r="D64" s="60">
        <v>93.759999999999991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11.327500000000001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87</v>
      </c>
      <c r="B65" s="60">
        <v>426.76</v>
      </c>
      <c r="C65" s="60">
        <v>4</v>
      </c>
      <c r="D65" s="60">
        <v>92.519999999999982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10.417499999999999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99</v>
      </c>
      <c r="B66" s="60">
        <v>447.35</v>
      </c>
      <c r="C66" s="60">
        <v>5</v>
      </c>
      <c r="D66" s="60">
        <v>222.86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9.4258333333333351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109</v>
      </c>
      <c r="B67" s="60">
        <v>290.11</v>
      </c>
      <c r="C67" s="60">
        <v>6</v>
      </c>
      <c r="D67" s="60">
        <v>290.11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6.5620000000000003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325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chevelu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10</v>
      </c>
      <c r="B88" s="60">
        <v>11.538461538461538</v>
      </c>
      <c r="C88" s="60">
        <v>0</v>
      </c>
      <c r="D88" s="60">
        <v>0</v>
      </c>
      <c r="E88" s="51">
        <v>0</v>
      </c>
      <c r="F88" s="51">
        <v>0.5</v>
      </c>
      <c r="G88" s="51">
        <v>0</v>
      </c>
      <c r="H88" s="87">
        <v>0.5</v>
      </c>
      <c r="I88" s="53">
        <f>IFERROR(B88/A88,"")</f>
        <v>1.1538461538461537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15</v>
      </c>
      <c r="B89" s="60">
        <v>30.128205128205128</v>
      </c>
      <c r="C89" s="60">
        <v>0</v>
      </c>
      <c r="D89" s="60">
        <v>0</v>
      </c>
      <c r="E89" s="51">
        <v>0</v>
      </c>
      <c r="F89" s="51">
        <v>0.5</v>
      </c>
      <c r="G89" s="51">
        <v>0</v>
      </c>
      <c r="H89" s="87">
        <v>0.5</v>
      </c>
      <c r="I89" s="53">
        <f t="shared" ref="I89:I107" si="3">IF(A89&lt;&gt;0,(B89-(B88-D88))/(A89-A88),"")</f>
        <v>3.7179487179487181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20</v>
      </c>
      <c r="B90" s="60">
        <v>55.769230769230759</v>
      </c>
      <c r="C90" s="60">
        <v>1</v>
      </c>
      <c r="D90" s="60">
        <v>18.589743589743588</v>
      </c>
      <c r="E90" s="87">
        <v>0</v>
      </c>
      <c r="F90" s="87">
        <v>0.5</v>
      </c>
      <c r="G90" s="87">
        <v>0</v>
      </c>
      <c r="H90" s="87">
        <v>0.5</v>
      </c>
      <c r="I90" s="53">
        <f t="shared" si="3"/>
        <v>5.128205128205126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25</v>
      </c>
      <c r="B91" s="60">
        <v>62.820512820512818</v>
      </c>
      <c r="C91" s="60">
        <v>2</v>
      </c>
      <c r="D91" s="60">
        <v>12.179487179487179</v>
      </c>
      <c r="E91" s="87">
        <v>0</v>
      </c>
      <c r="F91" s="87">
        <v>0.5</v>
      </c>
      <c r="G91" s="87">
        <v>0</v>
      </c>
      <c r="H91" s="87">
        <v>0.5</v>
      </c>
      <c r="I91" s="53">
        <f t="shared" si="3"/>
        <v>5.1282051282051295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30</v>
      </c>
      <c r="B92" s="60">
        <v>76.282051282051285</v>
      </c>
      <c r="C92" s="60">
        <v>3</v>
      </c>
      <c r="D92" s="60">
        <v>12.820512820512819</v>
      </c>
      <c r="E92" s="87">
        <v>0</v>
      </c>
      <c r="F92" s="87">
        <v>0.5</v>
      </c>
      <c r="G92" s="87">
        <v>0</v>
      </c>
      <c r="H92" s="87">
        <v>0.5</v>
      </c>
      <c r="I92" s="53">
        <f t="shared" si="3"/>
        <v>5.1282051282051295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35</v>
      </c>
      <c r="B93" s="60">
        <v>86.538461538461533</v>
      </c>
      <c r="C93" s="60">
        <v>4</v>
      </c>
      <c r="D93" s="60">
        <v>12.820512820512819</v>
      </c>
      <c r="E93" s="87">
        <v>0</v>
      </c>
      <c r="F93" s="87">
        <v>0.5</v>
      </c>
      <c r="G93" s="87">
        <v>0</v>
      </c>
      <c r="H93" s="87">
        <v>0.5</v>
      </c>
      <c r="I93" s="53">
        <f t="shared" si="3"/>
        <v>4.6153846153846132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40</v>
      </c>
      <c r="B94" s="60">
        <v>96.153846153846146</v>
      </c>
      <c r="C94" s="60">
        <v>5</v>
      </c>
      <c r="D94" s="60">
        <v>12.820512820512819</v>
      </c>
      <c r="E94" s="87">
        <v>0</v>
      </c>
      <c r="F94" s="87">
        <v>0.5</v>
      </c>
      <c r="G94" s="87">
        <v>0</v>
      </c>
      <c r="H94" s="87">
        <v>0.5</v>
      </c>
      <c r="I94" s="53">
        <f t="shared" si="3"/>
        <v>4.4871794871794863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45</v>
      </c>
      <c r="B95" s="60">
        <v>103.84615384615384</v>
      </c>
      <c r="C95" s="60">
        <v>6</v>
      </c>
      <c r="D95" s="60">
        <v>12.179487179487179</v>
      </c>
      <c r="E95" s="87">
        <v>0</v>
      </c>
      <c r="F95" s="87">
        <v>0.5</v>
      </c>
      <c r="G95" s="87">
        <v>0</v>
      </c>
      <c r="H95" s="87">
        <v>0.5</v>
      </c>
      <c r="I95" s="53">
        <f t="shared" si="3"/>
        <v>4.1025641025641022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50</v>
      </c>
      <c r="B96" s="60">
        <v>110.89743589743588</v>
      </c>
      <c r="C96" s="60">
        <v>7</v>
      </c>
      <c r="D96" s="60">
        <v>11.538461538461538</v>
      </c>
      <c r="E96" s="87">
        <v>0</v>
      </c>
      <c r="F96" s="87">
        <v>0.5</v>
      </c>
      <c r="G96" s="87">
        <v>0</v>
      </c>
      <c r="H96" s="87">
        <v>0.5</v>
      </c>
      <c r="I96" s="53">
        <f t="shared" si="3"/>
        <v>3.8461538461538454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55</v>
      </c>
      <c r="B97" s="60">
        <v>116.02564102564102</v>
      </c>
      <c r="C97" s="60">
        <v>8</v>
      </c>
      <c r="D97" s="60">
        <v>10.897435897435898</v>
      </c>
      <c r="E97" s="87">
        <v>0</v>
      </c>
      <c r="F97" s="87">
        <v>0.5</v>
      </c>
      <c r="G97" s="87">
        <v>0</v>
      </c>
      <c r="H97" s="87">
        <v>0.5</v>
      </c>
      <c r="I97" s="53">
        <f t="shared" si="3"/>
        <v>3.3333333333333344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60</v>
      </c>
      <c r="B98" s="60">
        <v>121.15384615384616</v>
      </c>
      <c r="C98" s="60">
        <v>9</v>
      </c>
      <c r="D98" s="60">
        <v>10.256410256410255</v>
      </c>
      <c r="E98" s="87">
        <v>0</v>
      </c>
      <c r="F98" s="87">
        <v>0.5</v>
      </c>
      <c r="G98" s="87">
        <v>0</v>
      </c>
      <c r="H98" s="87">
        <v>0.5</v>
      </c>
      <c r="I98" s="53">
        <f t="shared" si="3"/>
        <v>3.2051282051282071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65</v>
      </c>
      <c r="B99" s="60">
        <v>125</v>
      </c>
      <c r="C99" s="60">
        <v>10</v>
      </c>
      <c r="D99" s="60">
        <v>9.615384615384615</v>
      </c>
      <c r="E99" s="87">
        <v>0.1</v>
      </c>
      <c r="F99" s="87">
        <v>0.5</v>
      </c>
      <c r="G99" s="87">
        <v>0</v>
      </c>
      <c r="H99" s="87">
        <v>0.4</v>
      </c>
      <c r="I99" s="53">
        <f t="shared" si="3"/>
        <v>2.8205128205128176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70</v>
      </c>
      <c r="B100" s="60">
        <v>128.84615384615384</v>
      </c>
      <c r="C100" s="60">
        <v>11</v>
      </c>
      <c r="D100" s="60">
        <v>8.9743589743589745</v>
      </c>
      <c r="E100" s="65">
        <v>0.1</v>
      </c>
      <c r="F100" s="65">
        <v>0.5</v>
      </c>
      <c r="G100" s="65">
        <v>0</v>
      </c>
      <c r="H100" s="65">
        <v>0.4</v>
      </c>
      <c r="I100" s="53">
        <f t="shared" si="3"/>
        <v>2.6923076923076907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75</v>
      </c>
      <c r="B101" s="60">
        <v>130.76923076923075</v>
      </c>
      <c r="C101" s="60">
        <v>12</v>
      </c>
      <c r="D101" s="60">
        <v>7.6923076923076916</v>
      </c>
      <c r="E101" s="65">
        <v>0.1</v>
      </c>
      <c r="F101" s="65">
        <v>0.5</v>
      </c>
      <c r="G101" s="65">
        <v>0</v>
      </c>
      <c r="H101" s="65">
        <v>0.4</v>
      </c>
      <c r="I101" s="53">
        <f t="shared" si="3"/>
        <v>2.1794871794871766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80</v>
      </c>
      <c r="B102" s="50">
        <v>133.33333333333334</v>
      </c>
      <c r="C102" s="60">
        <v>13</v>
      </c>
      <c r="D102" s="50">
        <v>7.0512820512820511</v>
      </c>
      <c r="E102" s="54">
        <v>0.1</v>
      </c>
      <c r="F102" s="54">
        <v>0.5</v>
      </c>
      <c r="G102" s="54">
        <v>0</v>
      </c>
      <c r="H102" s="54">
        <v>0.4</v>
      </c>
      <c r="I102" s="53">
        <f t="shared" si="3"/>
        <v>2.0512820512820582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85</v>
      </c>
      <c r="B103" s="50">
        <v>135.25641025641025</v>
      </c>
      <c r="C103" s="60">
        <v>14</v>
      </c>
      <c r="D103" s="50">
        <v>6.4102564102564097</v>
      </c>
      <c r="E103" s="54">
        <v>0.1</v>
      </c>
      <c r="F103" s="54">
        <v>0.5</v>
      </c>
      <c r="G103" s="54">
        <v>0</v>
      </c>
      <c r="H103" s="54">
        <v>0.4</v>
      </c>
      <c r="I103" s="53">
        <f t="shared" si="3"/>
        <v>1.7948717948717898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>
        <v>90</v>
      </c>
      <c r="B104" s="50">
        <v>137.82051282051282</v>
      </c>
      <c r="C104" s="60">
        <v>15</v>
      </c>
      <c r="D104" s="50">
        <v>6.4102564102564097</v>
      </c>
      <c r="E104" s="54">
        <v>0.1</v>
      </c>
      <c r="F104" s="54">
        <v>0.5</v>
      </c>
      <c r="G104" s="54">
        <v>0</v>
      </c>
      <c r="H104" s="54">
        <v>0.4</v>
      </c>
      <c r="I104" s="53">
        <f t="shared" si="3"/>
        <v>1.7948717948717956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>
        <v>95</v>
      </c>
      <c r="B105" s="50">
        <v>140.38461538461539</v>
      </c>
      <c r="C105" s="50">
        <v>16</v>
      </c>
      <c r="D105" s="50">
        <v>7.0512820512820511</v>
      </c>
      <c r="E105" s="54">
        <v>0.1</v>
      </c>
      <c r="F105" s="54">
        <v>0.5</v>
      </c>
      <c r="G105" s="54">
        <v>0</v>
      </c>
      <c r="H105" s="54">
        <v>0.4</v>
      </c>
      <c r="I105" s="53">
        <f t="shared" si="3"/>
        <v>1.7948717948717956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>
        <v>100</v>
      </c>
      <c r="B106" s="50">
        <v>142.94871794871796</v>
      </c>
      <c r="C106" s="50">
        <v>17</v>
      </c>
      <c r="D106" s="50">
        <v>142.94871794871796</v>
      </c>
      <c r="E106" s="54">
        <v>0.1</v>
      </c>
      <c r="F106" s="54">
        <v>0.5</v>
      </c>
      <c r="G106" s="54">
        <v>0</v>
      </c>
      <c r="H106" s="54">
        <v>0.4</v>
      </c>
      <c r="I106" s="53">
        <f t="shared" si="3"/>
        <v>1.9230769230769227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324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Chêne pubescent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60</v>
      </c>
      <c r="B114" s="60">
        <v>201.62</v>
      </c>
      <c r="C114" s="50">
        <v>1</v>
      </c>
      <c r="D114" s="60">
        <v>72.87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3.3603333333333336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69</v>
      </c>
      <c r="B115" s="60">
        <v>190.79</v>
      </c>
      <c r="C115" s="50">
        <v>2</v>
      </c>
      <c r="D115" s="60">
        <v>42.22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6.8933333333333326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77</v>
      </c>
      <c r="B116" s="60">
        <v>202.52</v>
      </c>
      <c r="C116" s="50">
        <v>3</v>
      </c>
      <c r="D116" s="60">
        <v>33.950000000000017</v>
      </c>
      <c r="E116" s="51">
        <v>0</v>
      </c>
      <c r="F116" s="51">
        <v>0.8</v>
      </c>
      <c r="G116" s="51">
        <v>0.2</v>
      </c>
      <c r="H116" s="51">
        <v>0</v>
      </c>
      <c r="I116" s="53">
        <f t="shared" si="4"/>
        <v>6.7437500000000021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86</v>
      </c>
      <c r="B117" s="60">
        <v>229.27</v>
      </c>
      <c r="C117" s="50">
        <v>4</v>
      </c>
      <c r="D117" s="60">
        <v>37.54000000000002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6.7444444444444462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95</v>
      </c>
      <c r="B118" s="60">
        <v>252.57</v>
      </c>
      <c r="C118" s="50">
        <v>5</v>
      </c>
      <c r="D118" s="60">
        <v>42.199999999999989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6.7600000000000007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104</v>
      </c>
      <c r="B119" s="60">
        <v>271.37</v>
      </c>
      <c r="C119" s="50">
        <v>6</v>
      </c>
      <c r="D119" s="60">
        <v>39.400000000000006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6.7777777777777777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113</v>
      </c>
      <c r="B120" s="60">
        <v>293.89999999999998</v>
      </c>
      <c r="C120" s="60">
        <v>7</v>
      </c>
      <c r="D120" s="60">
        <v>41.639999999999986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6.8811111111111085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122</v>
      </c>
      <c r="B121" s="60">
        <v>315.27</v>
      </c>
      <c r="C121" s="60">
        <v>8</v>
      </c>
      <c r="D121" s="60">
        <v>45.829999999999984</v>
      </c>
      <c r="E121" s="87">
        <v>0.35</v>
      </c>
      <c r="F121" s="87">
        <v>0.2</v>
      </c>
      <c r="G121" s="87">
        <v>0.1</v>
      </c>
      <c r="H121" s="87">
        <v>0.35</v>
      </c>
      <c r="I121" s="53">
        <f t="shared" si="4"/>
        <v>7.0011111111111104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132</v>
      </c>
      <c r="B122" s="60">
        <v>340.57</v>
      </c>
      <c r="C122" s="60">
        <v>9</v>
      </c>
      <c r="D122" s="60">
        <v>48.699999999999989</v>
      </c>
      <c r="E122" s="87">
        <v>0.35</v>
      </c>
      <c r="F122" s="87">
        <v>0.2</v>
      </c>
      <c r="G122" s="87">
        <v>0.1</v>
      </c>
      <c r="H122" s="87">
        <v>0.35</v>
      </c>
      <c r="I122" s="53">
        <f t="shared" si="4"/>
        <v>7.1129999999999995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144</v>
      </c>
      <c r="B123" s="60">
        <v>379.92</v>
      </c>
      <c r="C123" s="60">
        <v>10</v>
      </c>
      <c r="D123" s="60">
        <v>60.949999999999989</v>
      </c>
      <c r="E123" s="87">
        <v>0.35</v>
      </c>
      <c r="F123" s="87">
        <v>0.2</v>
      </c>
      <c r="G123" s="87">
        <v>0.1</v>
      </c>
      <c r="H123" s="87">
        <v>0.35</v>
      </c>
      <c r="I123" s="53">
        <f t="shared" si="4"/>
        <v>7.3375000000000012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156</v>
      </c>
      <c r="B124" s="60">
        <v>409.2</v>
      </c>
      <c r="C124" s="60">
        <v>11</v>
      </c>
      <c r="D124" s="60">
        <v>65.69</v>
      </c>
      <c r="E124" s="87">
        <v>0.5</v>
      </c>
      <c r="F124" s="87">
        <v>0.2</v>
      </c>
      <c r="G124" s="87">
        <v>0</v>
      </c>
      <c r="H124" s="87">
        <v>0.3</v>
      </c>
      <c r="I124" s="53">
        <f t="shared" si="4"/>
        <v>7.5191666666666634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168</v>
      </c>
      <c r="B125" s="60">
        <v>435.65</v>
      </c>
      <c r="C125" s="60">
        <v>12</v>
      </c>
      <c r="D125" s="60">
        <v>71.37</v>
      </c>
      <c r="E125" s="87">
        <v>0.5</v>
      </c>
      <c r="F125" s="87">
        <v>0.2</v>
      </c>
      <c r="G125" s="87">
        <v>0</v>
      </c>
      <c r="H125" s="87">
        <v>0.3</v>
      </c>
      <c r="I125" s="53">
        <f t="shared" si="4"/>
        <v>7.6783333333333319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180</v>
      </c>
      <c r="B126" s="60">
        <v>456.54</v>
      </c>
      <c r="C126" s="60">
        <v>13</v>
      </c>
      <c r="D126" s="60">
        <v>175.59000000000003</v>
      </c>
      <c r="E126" s="65">
        <v>0.5</v>
      </c>
      <c r="F126" s="65">
        <v>0.2</v>
      </c>
      <c r="G126" s="65">
        <v>0</v>
      </c>
      <c r="H126" s="65">
        <v>0.3</v>
      </c>
      <c r="I126" s="53">
        <f t="shared" si="4"/>
        <v>7.688333333333337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184</v>
      </c>
      <c r="B127" s="60">
        <v>300.14</v>
      </c>
      <c r="C127" s="60">
        <v>14</v>
      </c>
      <c r="D127" s="60">
        <v>101.19999999999999</v>
      </c>
      <c r="E127" s="65">
        <v>0.5</v>
      </c>
      <c r="F127" s="65">
        <v>0.2</v>
      </c>
      <c r="G127" s="65">
        <v>0</v>
      </c>
      <c r="H127" s="65">
        <v>0.3</v>
      </c>
      <c r="I127" s="53">
        <f t="shared" si="4"/>
        <v>4.7974999999999994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>
        <v>188</v>
      </c>
      <c r="B128" s="50">
        <v>211.27</v>
      </c>
      <c r="C128" s="50">
        <v>15</v>
      </c>
      <c r="D128" s="50">
        <v>72.180000000000007</v>
      </c>
      <c r="E128" s="54">
        <v>0.5</v>
      </c>
      <c r="F128" s="54">
        <v>0.2</v>
      </c>
      <c r="G128" s="54">
        <v>0</v>
      </c>
      <c r="H128" s="54">
        <v>0.3</v>
      </c>
      <c r="I128" s="53">
        <f t="shared" si="4"/>
        <v>3.0825000000000031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>
        <v>191</v>
      </c>
      <c r="B129" s="50">
        <v>145.01</v>
      </c>
      <c r="C129" s="50">
        <v>16</v>
      </c>
      <c r="D129" s="50">
        <v>145.01</v>
      </c>
      <c r="E129" s="54">
        <v>0.45</v>
      </c>
      <c r="F129" s="54">
        <v>0.05</v>
      </c>
      <c r="G129" s="54">
        <v>0.05</v>
      </c>
      <c r="H129" s="54">
        <v>0.45</v>
      </c>
      <c r="I129" s="53">
        <f t="shared" si="4"/>
        <v>1.9733333333333292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C135" s="23" t="s">
        <v>327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Chêne sessile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42</v>
      </c>
      <c r="B140" s="60">
        <v>171.96</v>
      </c>
      <c r="C140" s="50">
        <v>1</v>
      </c>
      <c r="D140" s="60">
        <v>44.510000000000005</v>
      </c>
      <c r="E140" s="51">
        <v>0</v>
      </c>
      <c r="F140" s="51">
        <v>0.8</v>
      </c>
      <c r="G140" s="51">
        <v>0.2</v>
      </c>
      <c r="H140" s="51">
        <v>0</v>
      </c>
      <c r="I140" s="57">
        <f>IFERROR(B140/A140,"")</f>
        <v>4.0942857142857143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50</v>
      </c>
      <c r="B141" s="60">
        <v>208.33</v>
      </c>
      <c r="C141" s="50">
        <v>2</v>
      </c>
      <c r="D141" s="60">
        <v>37.54000000000002</v>
      </c>
      <c r="E141" s="51">
        <v>0</v>
      </c>
      <c r="F141" s="51">
        <v>0.8</v>
      </c>
      <c r="G141" s="51">
        <v>0.2</v>
      </c>
      <c r="H141" s="51">
        <v>0</v>
      </c>
      <c r="I141" s="57">
        <f t="shared" ref="I141:I159" si="5">IF(A141&lt;&gt;0,(B141-(B140-D140))/(A141-A140),"")</f>
        <v>10.110000000000001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58</v>
      </c>
      <c r="B142" s="60">
        <v>253.7</v>
      </c>
      <c r="C142" s="50">
        <v>3</v>
      </c>
      <c r="D142" s="60">
        <v>47.789999999999992</v>
      </c>
      <c r="E142" s="51">
        <v>0</v>
      </c>
      <c r="F142" s="51">
        <v>0.8</v>
      </c>
      <c r="G142" s="51">
        <v>0.2</v>
      </c>
      <c r="H142" s="51">
        <v>0</v>
      </c>
      <c r="I142" s="57">
        <f t="shared" si="5"/>
        <v>10.36375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66</v>
      </c>
      <c r="B143" s="60">
        <v>286.77</v>
      </c>
      <c r="C143" s="50">
        <v>4</v>
      </c>
      <c r="D143" s="60">
        <v>53.679999999999978</v>
      </c>
      <c r="E143" s="51">
        <v>0.35</v>
      </c>
      <c r="F143" s="51">
        <v>0.2</v>
      </c>
      <c r="G143" s="51">
        <v>0.1</v>
      </c>
      <c r="H143" s="51">
        <v>0.35</v>
      </c>
      <c r="I143" s="57">
        <f t="shared" si="5"/>
        <v>10.107499999999998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74</v>
      </c>
      <c r="B144" s="60">
        <v>310.95999999999998</v>
      </c>
      <c r="C144" s="50">
        <v>5</v>
      </c>
      <c r="D144" s="60">
        <v>51.339999999999975</v>
      </c>
      <c r="E144" s="51">
        <v>0.35</v>
      </c>
      <c r="F144" s="51">
        <v>0.2</v>
      </c>
      <c r="G144" s="51">
        <v>0.1</v>
      </c>
      <c r="H144" s="51">
        <v>0.35</v>
      </c>
      <c r="I144" s="57">
        <f t="shared" si="5"/>
        <v>9.733749999999997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84</v>
      </c>
      <c r="B145" s="60">
        <v>355.09</v>
      </c>
      <c r="C145" s="50">
        <v>6</v>
      </c>
      <c r="D145" s="60">
        <v>66.69</v>
      </c>
      <c r="E145" s="51">
        <v>0.35</v>
      </c>
      <c r="F145" s="51">
        <v>0.2</v>
      </c>
      <c r="G145" s="51">
        <v>0.1</v>
      </c>
      <c r="H145" s="51">
        <v>0.35</v>
      </c>
      <c r="I145" s="57">
        <f t="shared" si="5"/>
        <v>9.546999999999997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94</v>
      </c>
      <c r="B146" s="60">
        <v>380.13</v>
      </c>
      <c r="C146" s="50">
        <v>7</v>
      </c>
      <c r="D146" s="60">
        <v>67.350000000000023</v>
      </c>
      <c r="E146" s="51">
        <v>0.35</v>
      </c>
      <c r="F146" s="51">
        <v>0.2</v>
      </c>
      <c r="G146" s="51">
        <v>0.1</v>
      </c>
      <c r="H146" s="51">
        <v>0.35</v>
      </c>
      <c r="I146" s="57">
        <f t="shared" si="5"/>
        <v>9.1730000000000018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104</v>
      </c>
      <c r="B147" s="60">
        <v>402.2</v>
      </c>
      <c r="C147" s="50">
        <v>8</v>
      </c>
      <c r="D147" s="60">
        <v>66.089999999999975</v>
      </c>
      <c r="E147" s="51">
        <v>0.35</v>
      </c>
      <c r="F147" s="51">
        <v>0.2</v>
      </c>
      <c r="G147" s="51">
        <v>0.1</v>
      </c>
      <c r="H147" s="51">
        <v>0.35</v>
      </c>
      <c r="I147" s="57">
        <f>IF(A147&lt;&gt;0,(B147-(B146-D146))/(A147-A146),"")</f>
        <v>8.9420000000000019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114</v>
      </c>
      <c r="B148" s="60">
        <v>424.56</v>
      </c>
      <c r="C148" s="50">
        <v>9</v>
      </c>
      <c r="D148" s="60">
        <v>61.860000000000014</v>
      </c>
      <c r="E148" s="51">
        <v>0.35</v>
      </c>
      <c r="F148" s="51">
        <v>0.2</v>
      </c>
      <c r="G148" s="51">
        <v>0.1</v>
      </c>
      <c r="H148" s="51">
        <v>0.35</v>
      </c>
      <c r="I148" s="57">
        <f t="shared" si="5"/>
        <v>8.8449999999999989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124</v>
      </c>
      <c r="B149" s="60">
        <v>451.86</v>
      </c>
      <c r="C149" s="50">
        <v>10</v>
      </c>
      <c r="D149" s="60">
        <v>57.81</v>
      </c>
      <c r="E149" s="51">
        <v>0.35</v>
      </c>
      <c r="F149" s="51">
        <v>0.2</v>
      </c>
      <c r="G149" s="51">
        <v>0.1</v>
      </c>
      <c r="H149" s="51">
        <v>0.35</v>
      </c>
      <c r="I149" s="57">
        <f t="shared" si="5"/>
        <v>8.9160000000000021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134</v>
      </c>
      <c r="B150" s="60">
        <v>484.28</v>
      </c>
      <c r="C150" s="50">
        <v>11</v>
      </c>
      <c r="D150" s="60">
        <v>60.779999999999973</v>
      </c>
      <c r="E150" s="51">
        <v>0.5</v>
      </c>
      <c r="F150" s="51">
        <v>0.2</v>
      </c>
      <c r="G150" s="51">
        <v>0</v>
      </c>
      <c r="H150" s="51">
        <v>0.3</v>
      </c>
      <c r="I150" s="57">
        <f t="shared" si="5"/>
        <v>9.0229999999999961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144</v>
      </c>
      <c r="B151" s="60">
        <v>514.94000000000005</v>
      </c>
      <c r="C151" s="50">
        <v>12</v>
      </c>
      <c r="D151" s="60">
        <v>61.800000000000068</v>
      </c>
      <c r="E151" s="51">
        <v>0.5</v>
      </c>
      <c r="F151" s="51">
        <v>0.2</v>
      </c>
      <c r="G151" s="51">
        <v>0</v>
      </c>
      <c r="H151" s="51">
        <v>0.3</v>
      </c>
      <c r="I151" s="57">
        <f t="shared" si="5"/>
        <v>9.1440000000000055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154</v>
      </c>
      <c r="B152" s="60">
        <v>546.49</v>
      </c>
      <c r="C152" s="50">
        <v>13</v>
      </c>
      <c r="D152" s="60">
        <v>61.050000000000011</v>
      </c>
      <c r="E152" s="54">
        <v>0.5</v>
      </c>
      <c r="F152" s="54">
        <v>0.2</v>
      </c>
      <c r="G152" s="54">
        <v>0</v>
      </c>
      <c r="H152" s="54">
        <v>0.3</v>
      </c>
      <c r="I152" s="57">
        <f t="shared" si="5"/>
        <v>9.3350000000000026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>
        <v>164</v>
      </c>
      <c r="B153" s="60">
        <v>580.32000000000005</v>
      </c>
      <c r="C153" s="50">
        <v>14</v>
      </c>
      <c r="D153" s="60">
        <v>66.020000000000095</v>
      </c>
      <c r="E153" s="54">
        <v>0.5</v>
      </c>
      <c r="F153" s="54">
        <v>0.2</v>
      </c>
      <c r="G153" s="54">
        <v>0</v>
      </c>
      <c r="H153" s="54">
        <v>0.3</v>
      </c>
      <c r="I153" s="57">
        <f t="shared" si="5"/>
        <v>9.4880000000000049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>
        <v>174</v>
      </c>
      <c r="B154" s="56">
        <v>610.52</v>
      </c>
      <c r="C154" s="50">
        <v>15</v>
      </c>
      <c r="D154" s="50">
        <v>240</v>
      </c>
      <c r="E154" s="54">
        <v>0.45</v>
      </c>
      <c r="F154" s="54">
        <v>0.05</v>
      </c>
      <c r="G154" s="54">
        <v>0.05</v>
      </c>
      <c r="H154" s="54">
        <v>0.45</v>
      </c>
      <c r="I154" s="57">
        <f t="shared" si="5"/>
        <v>9.6220000000000034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>
        <v>177</v>
      </c>
      <c r="B155" s="56">
        <v>388.94</v>
      </c>
      <c r="C155" s="50">
        <v>16</v>
      </c>
      <c r="D155" s="50">
        <v>128.66000000000003</v>
      </c>
      <c r="E155" s="54">
        <v>0.45</v>
      </c>
      <c r="F155" s="54">
        <v>0.05</v>
      </c>
      <c r="G155" s="54">
        <v>0.05</v>
      </c>
      <c r="H155" s="54">
        <v>0.45</v>
      </c>
      <c r="I155" s="57">
        <f t="shared" si="5"/>
        <v>6.140000000000005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>
        <v>180</v>
      </c>
      <c r="B156" s="56">
        <v>271.56</v>
      </c>
      <c r="C156" s="50">
        <v>17</v>
      </c>
      <c r="D156" s="50">
        <v>86.97</v>
      </c>
      <c r="E156" s="54">
        <v>0.45</v>
      </c>
      <c r="F156" s="54">
        <v>0.05</v>
      </c>
      <c r="G156" s="54">
        <v>0.05</v>
      </c>
      <c r="H156" s="54">
        <v>0.45</v>
      </c>
      <c r="I156" s="57">
        <f t="shared" si="5"/>
        <v>3.76000000000001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>
        <v>183</v>
      </c>
      <c r="B157" s="56">
        <v>191.47</v>
      </c>
      <c r="C157" s="50">
        <v>18</v>
      </c>
      <c r="D157" s="50">
        <v>191.47</v>
      </c>
      <c r="E157" s="54">
        <v>0.45</v>
      </c>
      <c r="F157" s="54">
        <v>0.05</v>
      </c>
      <c r="G157" s="54">
        <v>0.05</v>
      </c>
      <c r="H157" s="54">
        <v>0.45</v>
      </c>
      <c r="I157" s="57">
        <f t="shared" si="5"/>
        <v>2.2933333333333317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39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265625" style="1" customWidth="1"/>
    <col min="6" max="6" width="14.265625" style="1" customWidth="1"/>
    <col min="7" max="7" width="73.265625" style="1" bestFit="1" customWidth="1"/>
    <col min="8" max="10" width="11.3984375" style="1"/>
    <col min="11" max="11" width="12.59765625" style="1" customWidth="1"/>
    <col min="12" max="16384" width="11.39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984375" defaultRowHeight="14.25" x14ac:dyDescent="0.45"/>
  <cols>
    <col min="1" max="1" width="6.86328125" style="4" bestFit="1" customWidth="1"/>
    <col min="2" max="4" width="11.3984375" style="4"/>
    <col min="5" max="5" width="9.59765625" style="4" customWidth="1"/>
    <col min="6" max="7" width="11.3984375" style="4"/>
    <col min="8" max="8" width="10.73046875" style="4" customWidth="1"/>
    <col min="9" max="9" width="9.3984375" style="4" customWidth="1"/>
    <col min="10" max="11" width="10.59765625" style="4" bestFit="1" customWidth="1"/>
    <col min="12" max="12" width="14" style="4" bestFit="1" customWidth="1"/>
    <col min="13" max="13" width="14" style="4" customWidth="1"/>
    <col min="14" max="23" width="11.3984375" style="4"/>
    <col min="24" max="24" width="11.73046875" style="4" bestFit="1" customWidth="1"/>
    <col min="25" max="25" width="14.59765625" style="4" bestFit="1" customWidth="1"/>
    <col min="26" max="26" width="12.3984375" style="4" bestFit="1" customWidth="1"/>
    <col min="27" max="27" width="9.73046875" style="4" bestFit="1" customWidth="1"/>
    <col min="28" max="28" width="11" style="4" bestFit="1" customWidth="1"/>
    <col min="29" max="29" width="9.3984375" style="4" bestFit="1" customWidth="1"/>
    <col min="30" max="31" width="9.3984375" style="4" customWidth="1"/>
    <col min="32" max="32" width="11.3984375" style="4"/>
    <col min="33" max="34" width="14" style="4" bestFit="1" customWidth="1"/>
    <col min="35" max="35" width="10.59765625" style="4" bestFit="1" customWidth="1"/>
    <col min="36" max="36" width="9.3984375" style="4" bestFit="1" customWidth="1"/>
    <col min="37" max="38" width="10.59765625" style="4" bestFit="1" customWidth="1"/>
    <col min="39" max="41" width="10.59765625" style="4" customWidth="1"/>
    <col min="42" max="42" width="9" style="4" bestFit="1" customWidth="1"/>
    <col min="43" max="43" width="10.59765625" style="4" bestFit="1" customWidth="1"/>
    <col min="44" max="44" width="9.265625" style="4" bestFit="1" customWidth="1"/>
    <col min="45" max="45" width="11.73046875" style="4" bestFit="1" customWidth="1"/>
    <col min="46" max="46" width="8.3984375" style="4" bestFit="1" customWidth="1"/>
    <col min="47" max="47" width="9.3984375" style="4" bestFit="1" customWidth="1"/>
    <col min="48" max="48" width="9.73046875" style="4" bestFit="1" customWidth="1"/>
    <col min="49" max="49" width="11" style="4" bestFit="1" customWidth="1"/>
    <col min="50" max="50" width="9.3984375" style="4" bestFit="1" customWidth="1"/>
    <col min="51" max="52" width="9.3984375" style="4" customWidth="1"/>
    <col min="53" max="53" width="10.59765625" style="4" bestFit="1" customWidth="1"/>
    <col min="54" max="54" width="14.265625" style="4" customWidth="1"/>
    <col min="55" max="55" width="14" style="4" customWidth="1"/>
    <col min="56" max="56" width="10.59765625" style="4" bestFit="1" customWidth="1"/>
    <col min="57" max="57" width="9.3984375" style="4" bestFit="1" customWidth="1"/>
    <col min="58" max="59" width="10.59765625" style="4" bestFit="1" customWidth="1"/>
    <col min="60" max="62" width="10.59765625" style="4" customWidth="1"/>
    <col min="63" max="63" width="9" style="4" bestFit="1" customWidth="1"/>
    <col min="64" max="64" width="10.59765625" style="4" bestFit="1" customWidth="1"/>
    <col min="65" max="65" width="9.265625" style="4" bestFit="1" customWidth="1"/>
    <col min="66" max="66" width="11.73046875" style="4" bestFit="1" customWidth="1"/>
    <col min="67" max="67" width="8.3984375" style="4" bestFit="1" customWidth="1"/>
    <col min="68" max="68" width="9.3984375" style="4" bestFit="1" customWidth="1"/>
    <col min="69" max="69" width="9.73046875" style="4" bestFit="1" customWidth="1"/>
    <col min="70" max="70" width="11" style="4" bestFit="1" customWidth="1"/>
    <col min="71" max="71" width="9.3984375" style="4" bestFit="1" customWidth="1"/>
    <col min="72" max="73" width="9.3984375" style="4" customWidth="1"/>
    <col min="74" max="74" width="10.59765625" style="4" bestFit="1" customWidth="1"/>
    <col min="75" max="75" width="14" style="4" bestFit="1" customWidth="1"/>
    <col min="76" max="76" width="13.86328125" style="4" customWidth="1"/>
    <col min="77" max="77" width="10.59765625" style="4" bestFit="1" customWidth="1"/>
    <col min="78" max="78" width="9.3984375" style="4" bestFit="1" customWidth="1"/>
    <col min="79" max="80" width="10.59765625" style="4" bestFit="1" customWidth="1"/>
    <col min="81" max="83" width="10.59765625" style="4" customWidth="1"/>
    <col min="84" max="84" width="11.3984375" style="4"/>
    <col min="85" max="85" width="10.59765625" style="4" bestFit="1" customWidth="1"/>
    <col min="86" max="86" width="9.265625" style="4" bestFit="1" customWidth="1"/>
    <col min="87" max="87" width="11.73046875" style="4" bestFit="1" customWidth="1"/>
    <col min="88" max="88" width="8.3984375" style="4" bestFit="1" customWidth="1"/>
    <col min="89" max="89" width="9.3984375" style="4" bestFit="1" customWidth="1"/>
    <col min="90" max="90" width="9.73046875" style="4" bestFit="1" customWidth="1"/>
    <col min="91" max="91" width="11" style="4" bestFit="1" customWidth="1"/>
    <col min="92" max="92" width="9.3984375" style="4" bestFit="1" customWidth="1"/>
    <col min="93" max="94" width="9.3984375" style="4" customWidth="1"/>
    <col min="95" max="95" width="11.3984375" style="4"/>
    <col min="96" max="97" width="14" style="4" customWidth="1"/>
    <col min="98" max="98" width="10.59765625" style="4" bestFit="1" customWidth="1"/>
    <col min="99" max="99" width="9.3984375" style="4" bestFit="1" customWidth="1"/>
    <col min="100" max="101" width="10.59765625" style="4" bestFit="1" customWidth="1"/>
    <col min="102" max="104" width="10.59765625" style="4" customWidth="1"/>
    <col min="105" max="105" width="9" style="4" bestFit="1" customWidth="1"/>
    <col min="106" max="106" width="10.59765625" style="4" bestFit="1" customWidth="1"/>
    <col min="107" max="107" width="9.265625" style="4" bestFit="1" customWidth="1"/>
    <col min="108" max="108" width="11.73046875" style="4" bestFit="1" customWidth="1"/>
    <col min="109" max="109" width="8.3984375" style="4" bestFit="1" customWidth="1"/>
    <col min="110" max="110" width="9.3984375" style="4" bestFit="1" customWidth="1"/>
    <col min="111" max="111" width="9.73046875" style="4" bestFit="1" customWidth="1"/>
    <col min="112" max="112" width="11" style="4" bestFit="1" customWidth="1"/>
    <col min="113" max="113" width="9.3984375" style="4" bestFit="1" customWidth="1"/>
    <col min="114" max="115" width="9.3984375" style="4" customWidth="1"/>
    <col min="116" max="116" width="10.59765625" style="4" bestFit="1" customWidth="1"/>
    <col min="117" max="117" width="14.265625" style="4" customWidth="1"/>
    <col min="118" max="118" width="14" style="4" bestFit="1" customWidth="1"/>
    <col min="119" max="119" width="10.59765625" style="4" bestFit="1" customWidth="1"/>
    <col min="120" max="120" width="9.3984375" style="4" bestFit="1" customWidth="1"/>
    <col min="121" max="122" width="10.59765625" style="4" bestFit="1" customWidth="1"/>
    <col min="123" max="125" width="10.59765625" style="4" customWidth="1"/>
    <col min="126" max="126" width="9" style="4" bestFit="1" customWidth="1"/>
    <col min="127" max="127" width="10.59765625" style="4" bestFit="1" customWidth="1"/>
    <col min="128" max="128" width="9.265625" style="4" bestFit="1" customWidth="1"/>
    <col min="129" max="129" width="11.73046875" style="4" bestFit="1" customWidth="1"/>
    <col min="130" max="130" width="8.3984375" style="4" bestFit="1" customWidth="1"/>
    <col min="131" max="131" width="9.3984375" style="4" bestFit="1" customWidth="1"/>
    <col min="132" max="132" width="9.73046875" style="4" bestFit="1" customWidth="1"/>
    <col min="133" max="133" width="11" style="4" bestFit="1" customWidth="1"/>
    <col min="134" max="134" width="9.3984375" style="4" bestFit="1" customWidth="1"/>
    <col min="135" max="136" width="9.3984375" style="4" customWidth="1"/>
    <col min="137" max="137" width="10.59765625" style="4" bestFit="1" customWidth="1"/>
    <col min="138" max="139" width="14" style="4" customWidth="1"/>
    <col min="140" max="140" width="10.59765625" style="4" bestFit="1" customWidth="1"/>
    <col min="141" max="141" width="9.3984375" style="4" bestFit="1" customWidth="1"/>
    <col min="142" max="143" width="10.59765625" style="4" bestFit="1" customWidth="1"/>
    <col min="144" max="146" width="10.59765625" style="4" customWidth="1"/>
    <col min="147" max="147" width="9" style="4" bestFit="1" customWidth="1"/>
    <col min="148" max="148" width="10.59765625" style="4" bestFit="1" customWidth="1"/>
    <col min="149" max="149" width="9.265625" style="4" bestFit="1" customWidth="1"/>
    <col min="150" max="150" width="11.73046875" style="4" bestFit="1" customWidth="1"/>
    <col min="151" max="151" width="8.3984375" style="4" bestFit="1" customWidth="1"/>
    <col min="152" max="152" width="9.3984375" style="4" bestFit="1" customWidth="1"/>
    <col min="153" max="153" width="9.73046875" style="4" bestFit="1" customWidth="1"/>
    <col min="154" max="154" width="11" style="4" bestFit="1" customWidth="1"/>
    <col min="155" max="155" width="9.3984375" style="4" bestFit="1" customWidth="1"/>
    <col min="156" max="157" width="9.3984375" style="4" customWidth="1"/>
    <col min="158" max="158" width="11.3984375" style="4"/>
    <col min="159" max="160" width="14" style="4" bestFit="1" customWidth="1"/>
    <col min="161" max="161" width="10.59765625" style="4" bestFit="1" customWidth="1"/>
    <col min="162" max="162" width="9.3984375" style="4" bestFit="1" customWidth="1"/>
    <col min="163" max="164" width="10.59765625" style="4" bestFit="1" customWidth="1"/>
    <col min="165" max="167" width="10.59765625" style="4" customWidth="1"/>
    <col min="168" max="168" width="9" style="4" bestFit="1" customWidth="1"/>
    <col min="169" max="169" width="10.59765625" style="4" bestFit="1" customWidth="1"/>
    <col min="170" max="170" width="9.265625" style="4" bestFit="1" customWidth="1"/>
    <col min="171" max="171" width="11.73046875" style="4" bestFit="1" customWidth="1"/>
    <col min="172" max="172" width="8.1328125" style="4" bestFit="1" customWidth="1"/>
    <col min="173" max="173" width="9.3984375" style="4" bestFit="1" customWidth="1"/>
    <col min="174" max="174" width="9.73046875" style="4" bestFit="1" customWidth="1"/>
    <col min="175" max="175" width="11" style="4" bestFit="1" customWidth="1"/>
    <col min="176" max="176" width="9.3984375" style="4" bestFit="1" customWidth="1"/>
    <col min="177" max="178" width="9.3984375" style="4" customWidth="1"/>
    <col min="179" max="179" width="10.59765625" style="4" bestFit="1" customWidth="1"/>
    <col min="180" max="181" width="14" style="4" bestFit="1" customWidth="1"/>
    <col min="182" max="182" width="10.59765625" style="4" bestFit="1" customWidth="1"/>
    <col min="183" max="183" width="9.3984375" style="4" bestFit="1" customWidth="1"/>
    <col min="184" max="185" width="10.59765625" style="4" bestFit="1" customWidth="1"/>
    <col min="186" max="188" width="10.59765625" style="4" customWidth="1"/>
    <col min="189" max="189" width="9" style="4" bestFit="1" customWidth="1"/>
    <col min="190" max="190" width="10.59765625" style="4" bestFit="1" customWidth="1"/>
    <col min="191" max="191" width="9.265625" style="4" bestFit="1" customWidth="1"/>
    <col min="192" max="192" width="11.3984375" style="4"/>
    <col min="193" max="193" width="8.3984375" style="4" bestFit="1" customWidth="1"/>
    <col min="194" max="194" width="9.3984375" style="4" bestFit="1" customWidth="1"/>
    <col min="195" max="195" width="9.73046875" style="4" bestFit="1" customWidth="1"/>
    <col min="196" max="196" width="11" style="4" bestFit="1" customWidth="1"/>
    <col min="197" max="197" width="9.3984375" style="4" bestFit="1" customWidth="1"/>
    <col min="198" max="199" width="9.3984375" style="4" customWidth="1"/>
    <col min="200" max="200" width="10.59765625" style="4" bestFit="1" customWidth="1"/>
    <col min="201" max="201" width="14" style="4" customWidth="1"/>
    <col min="202" max="202" width="14.265625" style="4" customWidth="1"/>
    <col min="203" max="203" width="10.59765625" style="4" bestFit="1" customWidth="1"/>
    <col min="204" max="204" width="9.3984375" style="4" bestFit="1" customWidth="1"/>
    <col min="205" max="206" width="10.59765625" style="4" bestFit="1" customWidth="1"/>
    <col min="207" max="209" width="10.59765625" style="4" customWidth="1"/>
    <col min="210" max="210" width="9" style="4" bestFit="1" customWidth="1"/>
    <col min="211" max="211" width="10.59765625" style="4" bestFit="1" customWidth="1"/>
    <col min="212" max="212" width="9.265625" style="4" bestFit="1" customWidth="1"/>
    <col min="213" max="213" width="11.73046875" style="4" bestFit="1" customWidth="1"/>
    <col min="214" max="214" width="8.3984375" style="4" bestFit="1" customWidth="1"/>
    <col min="215" max="215" width="9.3984375" style="4" bestFit="1" customWidth="1"/>
    <col min="216" max="216" width="9.73046875" style="4" bestFit="1" customWidth="1"/>
    <col min="217" max="217" width="11" style="4" bestFit="1" customWidth="1"/>
    <col min="218" max="218" width="9.3984375" style="4" bestFit="1" customWidth="1"/>
    <col min="219" max="16384" width="11.39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chevelu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pubescent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sessile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322.7909000321435</v>
      </c>
      <c r="T3" s="59">
        <f>IF('Données projet'!E9&gt;30,$R$33-$H$33,LOOKUP('Données projet'!$E$9,$A$3:$A$203,R3:R203)-LOOKUP('Données projet'!$E$9,$A$3:$A$203,$H$3:$H$203))</f>
        <v>403.23516981532316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187.82209112143374</v>
      </c>
      <c r="AO3" s="59">
        <f>IF('Données projet'!E10&gt;30,$AM$33-$H$33,LOOKUP('Données projet'!$E$10,$A$3:$A$203,AM3:AM203)-LOOKUP('Données projet'!$E$10,$A$3:$A$203,$H$3:$H$203))</f>
        <v>158.99136654880203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140.32771978791288</v>
      </c>
      <c r="BJ3" s="59">
        <f>IF('Données projet'!E11&gt;30,$BH$33-$H$33,LOOKUP('Données projet'!$E$11,$A$3:$A$203,BH3:BH203)-LOOKUP('Données projet'!$E$11,$A$3:$A$203,$H$3:$H$203))</f>
        <v>135.76866977947634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372.05986520199804</v>
      </c>
      <c r="CE3" s="59">
        <f>IF('Données projet'!E12&gt;30,$CC$33-$H$33,LOOKUP('Données projet'!$E$12,$A$3:$A$203,CC3:CC203)-LOOKUP('Données projet'!$E$12,$A$3:$A$203,$H$3:$H$203))</f>
        <v>184.37981929432044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479.84731392413374</v>
      </c>
      <c r="CZ3" s="59">
        <f>IF('Données projet'!E13&gt;30,$CX$33-$H$33,LOOKUP('Données projet'!$E$13,$A$3:$A$203,CX3:CX203)-LOOKUP('Données projet'!$E$13,$A$3:$A$203,$H$3:$H$203))</f>
        <v>203.57601099841213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9.5933333333333337</v>
      </c>
      <c r="N4" s="13">
        <f>IF('Données projet'!$A$36&gt;35,N3+M4-V3,IF(A4&lt;'Données projet'!$A$36,$K$205^A4,IF(A4='Données projet'!$A$36,'Données projet'!$B$36,N3+M4-V3)))</f>
        <v>1.3927421509577205</v>
      </c>
      <c r="O4" s="13">
        <f>N4*VLOOKUP('Données projet'!$B$9,Paramètres!$A$1:$I$89,3,0)*VLOOKUP('Données projet'!$B$9,Paramètres!$A$1:$I$89,5,0)</f>
        <v>0.83285980627271683</v>
      </c>
      <c r="P4" s="13">
        <f>EXP(-1.0587+0.8836*LN(O4)+0.284)</f>
        <v>0.39207522366299313</v>
      </c>
      <c r="Q4" s="20">
        <f t="shared" ref="Q4:Q34" si="2">(O4+P4)*0.475*44/12</f>
        <v>2.1334285104713615</v>
      </c>
      <c r="R4" s="59">
        <f t="shared" si="0"/>
        <v>295.46676184380465</v>
      </c>
      <c r="S4" s="59">
        <f ca="1">AVERAGE(OFFSET($R$3,0,0,'Données projet'!$E$9+1,1))-AVERAGE(OFFSET($H$3,0,0,'Données projet'!$E$9+1,1))</f>
        <v>322.7909000321435</v>
      </c>
      <c r="T4" s="59">
        <f>$T$3</f>
        <v>403.23516981532316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6.4429411764705877</v>
      </c>
      <c r="AI4" s="13">
        <f>IF('Données projet'!$A$62&gt;35,AI3+AH4-AQ3,IF(A4&lt;'Données projet'!$A$62,$AF$205^A4,IF(A4='Données projet'!$A$62,'Données projet'!$B$62,AI3+AH4-AQ3)))</f>
        <v>6.4429411764705877</v>
      </c>
      <c r="AJ4" s="13">
        <f>AI4*VLOOKUP('Données projet'!$B$10,Paramètres!$A$1:$I$89,3,0)*VLOOKUP('Données projet'!$B$10,Paramètres!$A$1:$I$89,5,0)</f>
        <v>3.0152964705882348</v>
      </c>
      <c r="AK4" s="13">
        <f>EXP(-1.0587+0.8836*LN(AJ4)+0.284)</f>
        <v>1.2220474523614206</v>
      </c>
      <c r="AL4" s="20">
        <f t="shared" ref="AL4:AL67" si="4">(AJ4+AK4)*0.475*44/12</f>
        <v>7.3800406658039828</v>
      </c>
      <c r="AM4" s="59">
        <f t="shared" ref="AM4:AM67" si="5">AL4+(AD4+AE4)*44/12</f>
        <v>300.71337399913727</v>
      </c>
      <c r="AN4" s="59">
        <f ca="1">AVERAGE(OFFSET($AM$3,0,0,'Données projet'!$E$10+1,1))-AVERAGE(OFFSET($H$3,0,0,'Données projet'!$E$10+1,1))</f>
        <v>187.82209112143374</v>
      </c>
      <c r="AO4" s="59">
        <f>$AO$3</f>
        <v>158.99136654880203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1.1538461538461537</v>
      </c>
      <c r="BD4" s="12">
        <f>IF('Données projet'!$A$88&gt;35,BD3+BC4-BL3,IF(A4&lt;'Données projet'!$A$88,$BA$205^A4,IF(A4='Données projet'!$A$88,'Données projet'!$B$88,BD3+BC4-BL3)))</f>
        <v>1.2770702581475548</v>
      </c>
      <c r="BE4" s="13">
        <f>BD4*VLOOKUP('Données projet'!$B$11,Paramètres!$A$1:$I$89,3,0)*VLOOKUP('Données projet'!$B$11,Paramètres!$A$1:$I$89,5,0)</f>
        <v>1.3347938338158245</v>
      </c>
      <c r="BF4" s="13">
        <f>EXP(-1.0587+0.8836*LN(BE4)+0.284)</f>
        <v>0.59479600746513583</v>
      </c>
      <c r="BG4" s="20">
        <f t="shared" ref="BG4:BG67" si="7">(BE4+BF4)*0.475*44/12</f>
        <v>3.3607023068976729</v>
      </c>
      <c r="BH4" s="59">
        <f t="shared" ref="BH4:BH67" si="8">BG4+(AY4+AZ4)*44/12</f>
        <v>296.69403564023099</v>
      </c>
      <c r="BI4" s="59">
        <f ca="1">AVERAGE(OFFSET($BH$3,0,0,'Données projet'!$E$11+1,1))-AVERAGE(OFFSET($H$3,0,0,'Données projet'!$E$11+1,1))</f>
        <v>140.32771978791288</v>
      </c>
      <c r="BJ4" s="59">
        <f>$BJ$3</f>
        <v>135.76866977947634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3.3603333333333336</v>
      </c>
      <c r="BY4" s="12">
        <f>IF('Données projet'!$A$114&gt;35,BY3+BX4-CG3,IF(A4&lt;'Données projet'!$A$114,$BV$205^A4,IF(A4='Données projet'!$A$114,'Données projet'!$B$114,BY3+BX4-CG3)))</f>
        <v>3.3603333333333336</v>
      </c>
      <c r="BZ4" s="13">
        <f>BY4*VLOOKUP('Données projet'!$B$12,Paramètres!$A$1:$I$89,3,0)*VLOOKUP('Données projet'!$B$12,Paramètres!$A$1:$I$89,5,0)</f>
        <v>3.4073780000000005</v>
      </c>
      <c r="CA4" s="13">
        <f>EXP(-1.0587+0.8836*LN(BZ4)+0.284)</f>
        <v>1.361440466803705</v>
      </c>
      <c r="CB4" s="20">
        <f t="shared" ref="CB4:CB67" si="10">(BZ4+CA4)*0.475*44/12</f>
        <v>8.3056921630164542</v>
      </c>
      <c r="CC4" s="59">
        <f t="shared" ref="CC4:CC67" si="11">CB4+(BT4+BU4)*44/12</f>
        <v>301.63902549634975</v>
      </c>
      <c r="CD4" s="59">
        <f ca="1">AVERAGE(OFFSET($CC$3,0,0,'Données projet'!$E$12+1,1))-AVERAGE(OFFSET($H$3,0,0,'Données projet'!$E$12+1,1))</f>
        <v>372.05986520199804</v>
      </c>
      <c r="CE4" s="59">
        <f>$CE$3</f>
        <v>184.37981929432044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4.0942857142857143</v>
      </c>
      <c r="CT4" s="12">
        <f>IF('Données projet'!$A$140&gt;35,CT3+CS4-DB3,IF(A4&lt;'Données projet'!$A$140,$CQ$205^A4,IF(A4='Données projet'!$A$140,'Données projet'!$B$140,CT3+CS4-DB3)))</f>
        <v>4.0942857142857143</v>
      </c>
      <c r="CU4" s="17">
        <f>CT4*VLOOKUP('Données projet'!$B$13,Paramètres!$A$1:$I$89,3,0)*VLOOKUP('Données projet'!$B$13,Paramètres!$A$1:$I$89,5,0)</f>
        <v>3.704509714285714</v>
      </c>
      <c r="CV4" s="13">
        <f>EXP(-1.0587+0.8836*LN(CU4)+0.284)</f>
        <v>1.4658264193249637</v>
      </c>
      <c r="CW4" s="20">
        <f t="shared" ref="CW4:CW67" si="13">(CU4+CV4)*0.475*44/12</f>
        <v>9.0050020993719304</v>
      </c>
      <c r="CX4" s="59">
        <f t="shared" ref="CX4:CX67" si="14">CW4+(CO4+CP4)*44/12</f>
        <v>302.33833543270526</v>
      </c>
      <c r="CY4" s="59">
        <f ca="1">AVERAGE(OFFSET($CX$3,0,0,'Données projet'!$E$13+1,1))-AVERAGE(OFFSET($H$3,0,0,'Données projet'!$E$13+1,1))</f>
        <v>479.84731392413374</v>
      </c>
      <c r="CZ4" s="59">
        <f>$CZ$3</f>
        <v>203.57601099841213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9.5933333333333337</v>
      </c>
      <c r="N5" s="13">
        <f>IF('Données projet'!$A$36&gt;35,N4+M5-V4,IF(A5&lt;'Données projet'!$A$36,$K$205^A5,IF(A5='Données projet'!$A$36,'Données projet'!$B$36,N4+M5-V4)))</f>
        <v>1.9397306990543379</v>
      </c>
      <c r="O5" s="13">
        <f>N5*VLOOKUP('Données projet'!$B$9,Paramètres!$A$1:$I$89,3,0)*VLOOKUP('Données projet'!$B$9,Paramètres!$A$1:$I$89,5,0)</f>
        <v>1.1599589580344942</v>
      </c>
      <c r="P5" s="13">
        <f t="shared" ref="P5:P68" si="33">EXP(-1.0587+0.8836*LN(O5)+0.284)</f>
        <v>0.52540423213734377</v>
      </c>
      <c r="Q5" s="20">
        <f t="shared" si="2"/>
        <v>2.9353408895492845</v>
      </c>
      <c r="R5" s="59">
        <f t="shared" si="0"/>
        <v>296.26867422288262</v>
      </c>
      <c r="S5" s="59">
        <f ca="1">AVERAGE(OFFSET($R$3,0,0,'Données projet'!$E$9+1,1))-AVERAGE(OFFSET($H$3,0,0,'Données projet'!$E$9+1,1))</f>
        <v>322.7909000321435</v>
      </c>
      <c r="T5" s="59">
        <f t="shared" ref="T5:T68" si="34">$T$3</f>
        <v>403.23516981532316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6.4429411764705877</v>
      </c>
      <c r="AI5" s="13">
        <f>IF('Données projet'!$A$62&gt;35,AI4+AH5-AQ4,IF(A5&lt;'Données projet'!$A$62,$AF$205^A5,IF(A5='Données projet'!$A$62,'Données projet'!$B$62,AI4+AH5-AQ4)))</f>
        <v>12.885882352941175</v>
      </c>
      <c r="AJ5" s="13">
        <f>AI5*VLOOKUP('Données projet'!$B$10,Paramètres!$A$1:$I$89,3,0)*VLOOKUP('Données projet'!$B$10,Paramètres!$A$1:$I$89,5,0)</f>
        <v>6.0305929411764696</v>
      </c>
      <c r="AK5" s="13">
        <f t="shared" ref="AK5:AK68" si="35">EXP(-1.0587+0.8836*LN(AJ5)+0.284)</f>
        <v>2.2546450176634503</v>
      </c>
      <c r="AL5" s="20">
        <f t="shared" si="4"/>
        <v>14.430122778312859</v>
      </c>
      <c r="AM5" s="59">
        <f t="shared" si="5"/>
        <v>307.76345611164618</v>
      </c>
      <c r="AN5" s="59">
        <f ca="1">AVERAGE(OFFSET($AM$3,0,0,'Données projet'!$E$10+1,1))-AVERAGE(OFFSET($H$3,0,0,'Données projet'!$E$10+1,1))</f>
        <v>187.82209112143374</v>
      </c>
      <c r="AO5" s="59">
        <f t="shared" ref="AO5:AO68" si="36">$AO$3</f>
        <v>158.99136654880203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1.1538461538461537</v>
      </c>
      <c r="BD5" s="12">
        <f>IF('Données projet'!$A$88&gt;35,BD4+BC5-BL4,IF(A5&lt;'Données projet'!$A$88,$BA$205^A5,IF(A5='Données projet'!$A$88,'Données projet'!$B$88,BD4+BC5-BL4)))</f>
        <v>1.6309084442450623</v>
      </c>
      <c r="BE5" s="13">
        <f>BD5*VLOOKUP('Données projet'!$B$11,Paramètres!$A$1:$I$89,3,0)*VLOOKUP('Données projet'!$B$11,Paramètres!$A$1:$I$89,5,0)</f>
        <v>1.7046255059249393</v>
      </c>
      <c r="BF5" s="13">
        <f t="shared" ref="BF5:BF68" si="37">EXP(-1.0587+0.8836*LN(BE5)+0.284)</f>
        <v>0.7382771613827388</v>
      </c>
      <c r="BG5" s="20">
        <f t="shared" si="7"/>
        <v>4.2547221455608728</v>
      </c>
      <c r="BH5" s="59">
        <f t="shared" si="8"/>
        <v>297.5880554788942</v>
      </c>
      <c r="BI5" s="59">
        <f ca="1">AVERAGE(OFFSET($BH$3,0,0,'Données projet'!$E$11+1,1))-AVERAGE(OFFSET($H$3,0,0,'Données projet'!$E$11+1,1))</f>
        <v>140.32771978791288</v>
      </c>
      <c r="BJ5" s="59">
        <f t="shared" ref="BJ5:BJ68" si="38">$BJ$3</f>
        <v>135.76866977947634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3.3603333333333336</v>
      </c>
      <c r="BY5" s="12">
        <f>IF('Données projet'!$A$114&gt;35,BY4+BX5-CG4,IF(A5&lt;'Données projet'!$A$114,$BV$205^A5,IF(A5='Données projet'!$A$114,'Données projet'!$B$114,BY4+BX5-CG4)))</f>
        <v>6.7206666666666672</v>
      </c>
      <c r="BZ5" s="13">
        <f>BY5*VLOOKUP('Données projet'!$B$12,Paramètres!$A$1:$I$89,3,0)*VLOOKUP('Données projet'!$B$12,Paramètres!$A$1:$I$89,5,0)</f>
        <v>6.8147560000000009</v>
      </c>
      <c r="CA5" s="13">
        <f t="shared" ref="CA5:CA68" si="39">EXP(-1.0587+0.8836*LN(BZ5)+0.284)</f>
        <v>2.5118214185487715</v>
      </c>
      <c r="CB5" s="20">
        <f t="shared" si="10"/>
        <v>16.243789003972445</v>
      </c>
      <c r="CC5" s="59">
        <f t="shared" si="11"/>
        <v>309.57712233730575</v>
      </c>
      <c r="CD5" s="59">
        <f ca="1">AVERAGE(OFFSET($CC$3,0,0,'Données projet'!$E$12+1,1))-AVERAGE(OFFSET($H$3,0,0,'Données projet'!$E$12+1,1))</f>
        <v>372.05986520199804</v>
      </c>
      <c r="CE5" s="59">
        <f t="shared" ref="CE5:CE68" si="40">$CE$3</f>
        <v>184.37981929432044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4.0942857142857143</v>
      </c>
      <c r="CT5" s="12">
        <f>IF('Données projet'!$A$140&gt;35,CT4+CS5-DB4,IF(A5&lt;'Données projet'!$A$140,$CQ$205^A5,IF(A5='Données projet'!$A$140,'Données projet'!$B$140,CT4+CS5-DB4)))</f>
        <v>8.1885714285714286</v>
      </c>
      <c r="CU5" s="17">
        <f>CT5*VLOOKUP('Données projet'!$B$13,Paramètres!$A$1:$I$89,3,0)*VLOOKUP('Données projet'!$B$13,Paramètres!$A$1:$I$89,5,0)</f>
        <v>7.4090194285714279</v>
      </c>
      <c r="CV5" s="13">
        <f t="shared" ref="CV5:CV68" si="41">EXP(-1.0587+0.8836*LN(CU5)+0.284)</f>
        <v>2.7044107221075859</v>
      </c>
      <c r="CW5" s="20">
        <f t="shared" si="13"/>
        <v>17.614224179099281</v>
      </c>
      <c r="CX5" s="59">
        <f t="shared" si="14"/>
        <v>310.94755751243258</v>
      </c>
      <c r="CY5" s="59">
        <f ca="1">AVERAGE(OFFSET($CX$3,0,0,'Données projet'!$E$13+1,1))-AVERAGE(OFFSET($H$3,0,0,'Données projet'!$E$13+1,1))</f>
        <v>479.84731392413374</v>
      </c>
      <c r="CZ5" s="59">
        <f t="shared" ref="CZ5:CZ68" si="42">$CZ$3</f>
        <v>203.57601099841213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9.5933333333333337</v>
      </c>
      <c r="N6" s="13">
        <f>IF('Données projet'!$A$36&gt;35,N5+M6-V5,IF(A6&lt;'Données projet'!$A$36,$K$205^A6,IF(A6='Données projet'!$A$36,'Données projet'!$B$36,N5+M6-V5)))</f>
        <v>2.7015447060796616</v>
      </c>
      <c r="O6" s="13">
        <f>N6*VLOOKUP('Données projet'!$B$9,Paramètres!$A$1:$I$89,3,0)*VLOOKUP('Données projet'!$B$9,Paramètres!$A$1:$I$89,5,0)</f>
        <v>1.6155237342356377</v>
      </c>
      <c r="P6" s="13">
        <f t="shared" si="33"/>
        <v>0.70407307191925306</v>
      </c>
      <c r="Q6" s="20">
        <f t="shared" si="2"/>
        <v>4.039964437386435</v>
      </c>
      <c r="R6" s="59">
        <f t="shared" si="0"/>
        <v>297.37329777071977</v>
      </c>
      <c r="S6" s="59">
        <f ca="1">AVERAGE(OFFSET($R$3,0,0,'Données projet'!$E$9+1,1))-AVERAGE(OFFSET($H$3,0,0,'Données projet'!$E$9+1,1))</f>
        <v>322.7909000321435</v>
      </c>
      <c r="T6" s="59">
        <f t="shared" si="34"/>
        <v>403.23516981532316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6.4429411764705877</v>
      </c>
      <c r="AI6" s="13">
        <f>IF('Données projet'!$A$62&gt;35,AI5+AH6-AQ5,IF(A6&lt;'Données projet'!$A$62,$AF$205^A6,IF(A6='Données projet'!$A$62,'Données projet'!$B$62,AI5+AH6-AQ5)))</f>
        <v>19.328823529411764</v>
      </c>
      <c r="AJ6" s="13">
        <f>AI6*VLOOKUP('Données projet'!$B$10,Paramètres!$A$1:$I$89,3,0)*VLOOKUP('Données projet'!$B$10,Paramètres!$A$1:$I$89,5,0)</f>
        <v>9.0458894117647048</v>
      </c>
      <c r="AK6" s="13">
        <f t="shared" si="35"/>
        <v>3.2260597792347325</v>
      </c>
      <c r="AL6" s="20">
        <f t="shared" si="4"/>
        <v>21.373644840990689</v>
      </c>
      <c r="AM6" s="59">
        <f t="shared" si="5"/>
        <v>314.70697817432398</v>
      </c>
      <c r="AN6" s="59">
        <f ca="1">AVERAGE(OFFSET($AM$3,0,0,'Données projet'!$E$10+1,1))-AVERAGE(OFFSET($H$3,0,0,'Données projet'!$E$10+1,1))</f>
        <v>187.82209112143374</v>
      </c>
      <c r="AO6" s="59">
        <f t="shared" si="36"/>
        <v>158.99136654880203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1.1538461538461537</v>
      </c>
      <c r="BD6" s="12">
        <f>IF('Données projet'!$A$88&gt;35,BD5+BC6-BL5,IF(A6&lt;'Données projet'!$A$88,$BA$205^A6,IF(A6='Données projet'!$A$88,'Données projet'!$B$88,BD5+BC6-BL5)))</f>
        <v>2.082784667907069</v>
      </c>
      <c r="BE6" s="13">
        <f>BD6*VLOOKUP('Données projet'!$B$11,Paramètres!$A$1:$I$89,3,0)*VLOOKUP('Données projet'!$B$11,Paramètres!$A$1:$I$89,5,0)</f>
        <v>2.1769265348964688</v>
      </c>
      <c r="BF6" s="13">
        <f t="shared" si="37"/>
        <v>0.9163699153634669</v>
      </c>
      <c r="BG6" s="20">
        <f t="shared" si="7"/>
        <v>5.3874913175360541</v>
      </c>
      <c r="BH6" s="59">
        <f t="shared" si="8"/>
        <v>298.72082465086936</v>
      </c>
      <c r="BI6" s="59">
        <f ca="1">AVERAGE(OFFSET($BH$3,0,0,'Données projet'!$E$11+1,1))-AVERAGE(OFFSET($H$3,0,0,'Données projet'!$E$11+1,1))</f>
        <v>140.32771978791288</v>
      </c>
      <c r="BJ6" s="59">
        <f t="shared" si="38"/>
        <v>135.76866977947634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3.3603333333333336</v>
      </c>
      <c r="BY6" s="12">
        <f>IF('Données projet'!$A$114&gt;35,BY5+BX6-CG5,IF(A6&lt;'Données projet'!$A$114,$BV$205^A6,IF(A6='Données projet'!$A$114,'Données projet'!$B$114,BY5+BX6-CG5)))</f>
        <v>10.081000000000001</v>
      </c>
      <c r="BZ6" s="13">
        <f>BY6*VLOOKUP('Données projet'!$B$12,Paramètres!$A$1:$I$89,3,0)*VLOOKUP('Données projet'!$B$12,Paramètres!$A$1:$I$89,5,0)</f>
        <v>10.222134000000002</v>
      </c>
      <c r="CA6" s="13">
        <f t="shared" si="39"/>
        <v>3.594040741454803</v>
      </c>
      <c r="CB6" s="20">
        <f t="shared" si="10"/>
        <v>24.063171008033788</v>
      </c>
      <c r="CC6" s="59">
        <f t="shared" si="11"/>
        <v>317.39650434136712</v>
      </c>
      <c r="CD6" s="59">
        <f ca="1">AVERAGE(OFFSET($CC$3,0,0,'Données projet'!$E$12+1,1))-AVERAGE(OFFSET($H$3,0,0,'Données projet'!$E$12+1,1))</f>
        <v>372.05986520199804</v>
      </c>
      <c r="CE6" s="59">
        <f t="shared" si="40"/>
        <v>184.37981929432044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4.0942857142857143</v>
      </c>
      <c r="CT6" s="12">
        <f>IF('Données projet'!$A$140&gt;35,CT5+CS6-DB5,IF(A6&lt;'Données projet'!$A$140,$CQ$205^A6,IF(A6='Données projet'!$A$140,'Données projet'!$B$140,CT5+CS6-DB5)))</f>
        <v>12.282857142857143</v>
      </c>
      <c r="CU6" s="17">
        <f>CT6*VLOOKUP('Données projet'!$B$13,Paramètres!$A$1:$I$89,3,0)*VLOOKUP('Données projet'!$B$13,Paramètres!$A$1:$I$89,5,0)</f>
        <v>11.113529142857143</v>
      </c>
      <c r="CV6" s="13">
        <f t="shared" si="41"/>
        <v>3.8696072280877138</v>
      </c>
      <c r="CW6" s="20">
        <f t="shared" si="13"/>
        <v>26.095629179395626</v>
      </c>
      <c r="CX6" s="59">
        <f t="shared" si="14"/>
        <v>319.42896251272896</v>
      </c>
      <c r="CY6" s="59">
        <f ca="1">AVERAGE(OFFSET($CX$3,0,0,'Données projet'!$E$13+1,1))-AVERAGE(OFFSET($H$3,0,0,'Données projet'!$E$13+1,1))</f>
        <v>479.84731392413374</v>
      </c>
      <c r="CZ6" s="59">
        <f t="shared" si="42"/>
        <v>203.57601099841213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9.5933333333333337</v>
      </c>
      <c r="N7" s="13">
        <f>IF('Données projet'!$A$36&gt;35,N6+M7-V6,IF(A7&lt;'Données projet'!$A$36,$K$205^A7,IF(A7='Données projet'!$A$36,'Données projet'!$B$36,N6+M7-V6)))</f>
        <v>3.7625551848538303</v>
      </c>
      <c r="O7" s="13">
        <f>N7*VLOOKUP('Données projet'!$B$9,Paramètres!$A$1:$I$89,3,0)*VLOOKUP('Données projet'!$B$9,Paramètres!$A$1:$I$89,5,0)</f>
        <v>2.2500080005425906</v>
      </c>
      <c r="P7" s="13">
        <f t="shared" si="33"/>
        <v>0.94349999539446006</v>
      </c>
      <c r="Q7" s="20">
        <f t="shared" si="2"/>
        <v>5.56202642625703</v>
      </c>
      <c r="R7" s="59">
        <f t="shared" si="0"/>
        <v>298.89535975959035</v>
      </c>
      <c r="S7" s="59">
        <f ca="1">AVERAGE(OFFSET($R$3,0,0,'Données projet'!$E$9+1,1))-AVERAGE(OFFSET($H$3,0,0,'Données projet'!$E$9+1,1))</f>
        <v>322.7909000321435</v>
      </c>
      <c r="T7" s="59">
        <f t="shared" si="34"/>
        <v>403.23516981532316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6.4429411764705877</v>
      </c>
      <c r="AI7" s="13">
        <f>IF('Données projet'!$A$62&gt;35,AI6+AH7-AQ6,IF(A7&lt;'Données projet'!$A$62,$AF$205^A7,IF(A7='Données projet'!$A$62,'Données projet'!$B$62,AI6+AH7-AQ6)))</f>
        <v>25.771764705882351</v>
      </c>
      <c r="AJ7" s="13">
        <f>AI7*VLOOKUP('Données projet'!$B$10,Paramètres!$A$1:$I$89,3,0)*VLOOKUP('Données projet'!$B$10,Paramètres!$A$1:$I$89,5,0)</f>
        <v>12.061185882352939</v>
      </c>
      <c r="AK7" s="13">
        <f t="shared" si="35"/>
        <v>4.1597600370195753</v>
      </c>
      <c r="AL7" s="20">
        <f t="shared" si="4"/>
        <v>28.251480809573795</v>
      </c>
      <c r="AM7" s="59">
        <f t="shared" si="5"/>
        <v>321.58481414290713</v>
      </c>
      <c r="AN7" s="59">
        <f ca="1">AVERAGE(OFFSET($AM$3,0,0,'Données projet'!$E$10+1,1))-AVERAGE(OFFSET($H$3,0,0,'Données projet'!$E$10+1,1))</f>
        <v>187.82209112143374</v>
      </c>
      <c r="AO7" s="59">
        <f t="shared" si="36"/>
        <v>158.99136654880203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1.1538461538461537</v>
      </c>
      <c r="BD7" s="12">
        <f>IF('Données projet'!$A$88&gt;35,BD6+BC7-BL6,IF(A7&lt;'Données projet'!$A$88,$BA$205^A7,IF(A7='Données projet'!$A$88,'Données projet'!$B$88,BD6+BC7-BL6)))</f>
        <v>2.6598623535098493</v>
      </c>
      <c r="BE7" s="13">
        <f>BD7*VLOOKUP('Données projet'!$B$11,Paramètres!$A$1:$I$89,3,0)*VLOOKUP('Données projet'!$B$11,Paramètres!$A$1:$I$89,5,0)</f>
        <v>2.7800881318884949</v>
      </c>
      <c r="BF7" s="13">
        <f t="shared" si="37"/>
        <v>1.1374235391631071</v>
      </c>
      <c r="BG7" s="20">
        <f t="shared" si="7"/>
        <v>6.822999493748207</v>
      </c>
      <c r="BH7" s="59">
        <f t="shared" si="8"/>
        <v>300.15633282708154</v>
      </c>
      <c r="BI7" s="59">
        <f ca="1">AVERAGE(OFFSET($BH$3,0,0,'Données projet'!$E$11+1,1))-AVERAGE(OFFSET($H$3,0,0,'Données projet'!$E$11+1,1))</f>
        <v>140.32771978791288</v>
      </c>
      <c r="BJ7" s="59">
        <f t="shared" si="38"/>
        <v>135.76866977947634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3.3603333333333336</v>
      </c>
      <c r="BY7" s="12">
        <f>IF('Données projet'!$A$114&gt;35,BY6+BX7-CG6,IF(A7&lt;'Données projet'!$A$114,$BV$205^A7,IF(A7='Données projet'!$A$114,'Données projet'!$B$114,BY6+BX7-CG6)))</f>
        <v>13.441333333333334</v>
      </c>
      <c r="BZ7" s="13">
        <f>BY7*VLOOKUP('Données projet'!$B$12,Paramètres!$A$1:$I$89,3,0)*VLOOKUP('Données projet'!$B$12,Paramètres!$A$1:$I$89,5,0)</f>
        <v>13.629512000000002</v>
      </c>
      <c r="CA7" s="13">
        <f t="shared" si="39"/>
        <v>4.6342436503982958</v>
      </c>
      <c r="CB7" s="20">
        <f t="shared" si="10"/>
        <v>31.8093744244437</v>
      </c>
      <c r="CC7" s="59">
        <f t="shared" si="11"/>
        <v>325.14270775777703</v>
      </c>
      <c r="CD7" s="59">
        <f ca="1">AVERAGE(OFFSET($CC$3,0,0,'Données projet'!$E$12+1,1))-AVERAGE(OFFSET($H$3,0,0,'Données projet'!$E$12+1,1))</f>
        <v>372.05986520199804</v>
      </c>
      <c r="CE7" s="59">
        <f t="shared" si="40"/>
        <v>184.37981929432044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4.0942857142857143</v>
      </c>
      <c r="CT7" s="12">
        <f>IF('Données projet'!$A$140&gt;35,CT6+CS7-DB6,IF(A7&lt;'Données projet'!$A$140,$CQ$205^A7,IF(A7='Données projet'!$A$140,'Données projet'!$B$140,CT6+CS7-DB6)))</f>
        <v>16.377142857142857</v>
      </c>
      <c r="CU7" s="17">
        <f>CT7*VLOOKUP('Données projet'!$B$13,Paramètres!$A$1:$I$89,3,0)*VLOOKUP('Données projet'!$B$13,Paramètres!$A$1:$I$89,5,0)</f>
        <v>14.818038857142856</v>
      </c>
      <c r="CV7" s="13">
        <f t="shared" si="41"/>
        <v>4.9895657885731195</v>
      </c>
      <c r="CW7" s="20">
        <f t="shared" si="13"/>
        <v>34.49824475795532</v>
      </c>
      <c r="CX7" s="59">
        <f t="shared" si="14"/>
        <v>327.83157809128863</v>
      </c>
      <c r="CY7" s="59">
        <f ca="1">AVERAGE(OFFSET($CX$3,0,0,'Données projet'!$E$13+1,1))-AVERAGE(OFFSET($H$3,0,0,'Données projet'!$E$13+1,1))</f>
        <v>479.84731392413374</v>
      </c>
      <c r="CZ7" s="59">
        <f t="shared" si="42"/>
        <v>203.57601099841213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9.5933333333333337</v>
      </c>
      <c r="N8" s="13">
        <f>IF('Données projet'!$A$36&gt;35,N7+M8-V7,IF(A8&lt;'Données projet'!$A$36,$K$205^A8,IF(A8='Données projet'!$A$36,'Données projet'!$B$36,N7+M8-V7)))</f>
        <v>5.240269201250447</v>
      </c>
      <c r="O8" s="13">
        <f>N8*VLOOKUP('Données projet'!$B$9,Paramètres!$A$1:$I$89,3,0)*VLOOKUP('Données projet'!$B$9,Paramètres!$A$1:$I$89,5,0)</f>
        <v>3.1336809823477676</v>
      </c>
      <c r="P8" s="13">
        <f t="shared" si="33"/>
        <v>1.2643463822338008</v>
      </c>
      <c r="Q8" s="20">
        <f t="shared" si="2"/>
        <v>7.6598976599795643</v>
      </c>
      <c r="R8" s="59">
        <f t="shared" si="0"/>
        <v>300.99323099331286</v>
      </c>
      <c r="S8" s="59">
        <f ca="1">AVERAGE(OFFSET($R$3,0,0,'Données projet'!$E$9+1,1))-AVERAGE(OFFSET($H$3,0,0,'Données projet'!$E$9+1,1))</f>
        <v>322.7909000321435</v>
      </c>
      <c r="T8" s="59">
        <f t="shared" si="34"/>
        <v>403.23516981532316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6.4429411764705877</v>
      </c>
      <c r="AI8" s="13">
        <f>IF('Données projet'!$A$62&gt;35,AI7+AH8-AQ7,IF(A8&lt;'Données projet'!$A$62,$AF$205^A8,IF(A8='Données projet'!$A$62,'Données projet'!$B$62,AI7+AH8-AQ7)))</f>
        <v>32.214705882352938</v>
      </c>
      <c r="AJ8" s="13">
        <f>AI8*VLOOKUP('Données projet'!$B$10,Paramètres!$A$1:$I$89,3,0)*VLOOKUP('Données projet'!$B$10,Paramètres!$A$1:$I$89,5,0)</f>
        <v>15.076482352941174</v>
      </c>
      <c r="AK8" s="13">
        <f t="shared" si="35"/>
        <v>5.0663823938944823</v>
      </c>
      <c r="AL8" s="20">
        <f t="shared" si="4"/>
        <v>35.082156100738764</v>
      </c>
      <c r="AM8" s="59">
        <f t="shared" si="5"/>
        <v>328.41548943407207</v>
      </c>
      <c r="AN8" s="59">
        <f ca="1">AVERAGE(OFFSET($AM$3,0,0,'Données projet'!$E$10+1,1))-AVERAGE(OFFSET($H$3,0,0,'Données projet'!$E$10+1,1))</f>
        <v>187.82209112143374</v>
      </c>
      <c r="AO8" s="59">
        <f t="shared" si="36"/>
        <v>158.99136654880203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1.1538461538461537</v>
      </c>
      <c r="BD8" s="12">
        <f>IF('Données projet'!$A$88&gt;35,BD7+BC8-BL7,IF(A8&lt;'Données projet'!$A$88,$BA$205^A8,IF(A8='Données projet'!$A$88,'Données projet'!$B$88,BD7+BC8-BL7)))</f>
        <v>3.3968311024337861</v>
      </c>
      <c r="BE8" s="13">
        <f>BD8*VLOOKUP('Données projet'!$B$11,Paramètres!$A$1:$I$89,3,0)*VLOOKUP('Données projet'!$B$11,Paramètres!$A$1:$I$89,5,0)</f>
        <v>3.5503678682637934</v>
      </c>
      <c r="BF8" s="13">
        <f t="shared" si="37"/>
        <v>1.4118013760078378</v>
      </c>
      <c r="BG8" s="20">
        <f t="shared" si="7"/>
        <v>8.6424447671064257</v>
      </c>
      <c r="BH8" s="59">
        <f t="shared" si="8"/>
        <v>301.97577810043975</v>
      </c>
      <c r="BI8" s="59">
        <f ca="1">AVERAGE(OFFSET($BH$3,0,0,'Données projet'!$E$11+1,1))-AVERAGE(OFFSET($H$3,0,0,'Données projet'!$E$11+1,1))</f>
        <v>140.32771978791288</v>
      </c>
      <c r="BJ8" s="59">
        <f t="shared" si="38"/>
        <v>135.76866977947634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3.3603333333333336</v>
      </c>
      <c r="BY8" s="12">
        <f>IF('Données projet'!$A$114&gt;35,BY7+BX8-CG7,IF(A8&lt;'Données projet'!$A$114,$BV$205^A8,IF(A8='Données projet'!$A$114,'Données projet'!$B$114,BY7+BX8-CG7)))</f>
        <v>16.801666666666669</v>
      </c>
      <c r="BZ8" s="13">
        <f>BY8*VLOOKUP('Données projet'!$B$12,Paramètres!$A$1:$I$89,3,0)*VLOOKUP('Données projet'!$B$12,Paramètres!$A$1:$I$89,5,0)</f>
        <v>17.036890000000003</v>
      </c>
      <c r="CA8" s="13">
        <f t="shared" si="39"/>
        <v>5.6442800138581015</v>
      </c>
      <c r="CB8" s="20">
        <f t="shared" si="10"/>
        <v>39.503037774136196</v>
      </c>
      <c r="CC8" s="59">
        <f t="shared" si="11"/>
        <v>332.83637110746952</v>
      </c>
      <c r="CD8" s="59">
        <f ca="1">AVERAGE(OFFSET($CC$3,0,0,'Données projet'!$E$12+1,1))-AVERAGE(OFFSET($H$3,0,0,'Données projet'!$E$12+1,1))</f>
        <v>372.05986520199804</v>
      </c>
      <c r="CE8" s="59">
        <f t="shared" si="40"/>
        <v>184.37981929432044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4.0942857142857143</v>
      </c>
      <c r="CT8" s="12">
        <f>IF('Données projet'!$A$140&gt;35,CT7+CS8-DB7,IF(A8&lt;'Données projet'!$A$140,$CQ$205^A8,IF(A8='Données projet'!$A$140,'Données projet'!$B$140,CT7+CS8-DB7)))</f>
        <v>20.471428571428572</v>
      </c>
      <c r="CU8" s="17">
        <f>CT8*VLOOKUP('Données projet'!$B$13,Paramètres!$A$1:$I$89,3,0)*VLOOKUP('Données projet'!$B$13,Paramètres!$A$1:$I$89,5,0)</f>
        <v>18.522548571428572</v>
      </c>
      <c r="CV8" s="13">
        <f t="shared" si="41"/>
        <v>6.0770448389896208</v>
      </c>
      <c r="CW8" s="20">
        <f t="shared" si="13"/>
        <v>42.84429185647835</v>
      </c>
      <c r="CX8" s="59">
        <f t="shared" si="14"/>
        <v>336.17762518981169</v>
      </c>
      <c r="CY8" s="59">
        <f ca="1">AVERAGE(OFFSET($CX$3,0,0,'Données projet'!$E$13+1,1))-AVERAGE(OFFSET($H$3,0,0,'Données projet'!$E$13+1,1))</f>
        <v>479.84731392413374</v>
      </c>
      <c r="CZ8" s="59">
        <f t="shared" si="42"/>
        <v>203.57601099841213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9.5933333333333337</v>
      </c>
      <c r="N9" s="13">
        <f>IF('Données projet'!$A$36&gt;35,N8+M9-V8,IF(A9&lt;'Données projet'!$A$36,$K$205^A9,IF(A9='Données projet'!$A$36,'Données projet'!$B$36,N8+M9-V8)))</f>
        <v>7.2983437989470437</v>
      </c>
      <c r="O9" s="13">
        <f>N9*VLOOKUP('Données projet'!$B$9,Paramètres!$A$1:$I$89,3,0)*VLOOKUP('Données projet'!$B$9,Paramètres!$A$1:$I$89,5,0)</f>
        <v>4.3644095917703325</v>
      </c>
      <c r="P9" s="13">
        <f t="shared" si="33"/>
        <v>1.6942997160263542</v>
      </c>
      <c r="Q9" s="20">
        <f t="shared" si="2"/>
        <v>10.55225204441256</v>
      </c>
      <c r="R9" s="59">
        <f t="shared" si="0"/>
        <v>303.88558537774588</v>
      </c>
      <c r="S9" s="59">
        <f ca="1">AVERAGE(OFFSET($R$3,0,0,'Données projet'!$E$9+1,1))-AVERAGE(OFFSET($H$3,0,0,'Données projet'!$E$9+1,1))</f>
        <v>322.7909000321435</v>
      </c>
      <c r="T9" s="59">
        <f t="shared" si="34"/>
        <v>403.23516981532316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6.4429411764705877</v>
      </c>
      <c r="AI9" s="13">
        <f>IF('Données projet'!$A$62&gt;35,AI8+AH9-AQ8,IF(A9&lt;'Données projet'!$A$62,$AF$205^A9,IF(A9='Données projet'!$A$62,'Données projet'!$B$62,AI8+AH9-AQ8)))</f>
        <v>38.657647058823528</v>
      </c>
      <c r="AJ9" s="13">
        <f>AI9*VLOOKUP('Données projet'!$B$10,Paramètres!$A$1:$I$89,3,0)*VLOOKUP('Données projet'!$B$10,Paramètres!$A$1:$I$89,5,0)</f>
        <v>18.09177882352941</v>
      </c>
      <c r="AK9" s="13">
        <f t="shared" si="35"/>
        <v>5.9519944122307828</v>
      </c>
      <c r="AL9" s="20">
        <f t="shared" si="4"/>
        <v>41.876238385615665</v>
      </c>
      <c r="AM9" s="59">
        <f t="shared" si="5"/>
        <v>335.20957171894895</v>
      </c>
      <c r="AN9" s="59">
        <f ca="1">AVERAGE(OFFSET($AM$3,0,0,'Données projet'!$E$10+1,1))-AVERAGE(OFFSET($H$3,0,0,'Données projet'!$E$10+1,1))</f>
        <v>187.82209112143374</v>
      </c>
      <c r="AO9" s="59">
        <f t="shared" si="36"/>
        <v>158.99136654880203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1.1538461538461537</v>
      </c>
      <c r="BD9" s="12">
        <f>IF('Données projet'!$A$88&gt;35,BD8+BC9-BL8,IF(A9&lt;'Données projet'!$A$88,$BA$205^A9,IF(A9='Données projet'!$A$88,'Données projet'!$B$88,BD8+BC9-BL8)))</f>
        <v>4.3379919728687586</v>
      </c>
      <c r="BE9" s="13">
        <f>BD9*VLOOKUP('Données projet'!$B$11,Paramètres!$A$1:$I$89,3,0)*VLOOKUP('Données projet'!$B$11,Paramètres!$A$1:$I$89,5,0)</f>
        <v>4.5340692100424276</v>
      </c>
      <c r="BF9" s="13">
        <f t="shared" si="37"/>
        <v>1.7523666925023973</v>
      </c>
      <c r="BG9" s="20">
        <f t="shared" si="7"/>
        <v>10.948875863598902</v>
      </c>
      <c r="BH9" s="59">
        <f t="shared" si="8"/>
        <v>304.28220919693223</v>
      </c>
      <c r="BI9" s="59">
        <f ca="1">AVERAGE(OFFSET($BH$3,0,0,'Données projet'!$E$11+1,1))-AVERAGE(OFFSET($H$3,0,0,'Données projet'!$E$11+1,1))</f>
        <v>140.32771978791288</v>
      </c>
      <c r="BJ9" s="59">
        <f t="shared" si="38"/>
        <v>135.76866977947634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3.3603333333333336</v>
      </c>
      <c r="BY9" s="12">
        <f>IF('Données projet'!$A$114&gt;35,BY8+BX9-CG8,IF(A9&lt;'Données projet'!$A$114,$BV$205^A9,IF(A9='Données projet'!$A$114,'Données projet'!$B$114,BY8+BX9-CG8)))</f>
        <v>20.162000000000003</v>
      </c>
      <c r="BZ9" s="13">
        <f>BY9*VLOOKUP('Données projet'!$B$12,Paramètres!$A$1:$I$89,3,0)*VLOOKUP('Données projet'!$B$12,Paramètres!$A$1:$I$89,5,0)</f>
        <v>20.444268000000005</v>
      </c>
      <c r="CA9" s="13">
        <f t="shared" si="39"/>
        <v>6.6309094915603763</v>
      </c>
      <c r="CB9" s="20">
        <f t="shared" si="10"/>
        <v>47.15593413113433</v>
      </c>
      <c r="CC9" s="59">
        <f t="shared" si="11"/>
        <v>340.48926746446762</v>
      </c>
      <c r="CD9" s="59">
        <f ca="1">AVERAGE(OFFSET($CC$3,0,0,'Données projet'!$E$12+1,1))-AVERAGE(OFFSET($H$3,0,0,'Données projet'!$E$12+1,1))</f>
        <v>372.05986520199804</v>
      </c>
      <c r="CE9" s="59">
        <f t="shared" si="40"/>
        <v>184.37981929432044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4.0942857142857143</v>
      </c>
      <c r="CT9" s="12">
        <f>IF('Données projet'!$A$140&gt;35,CT8+CS9-DB8,IF(A9&lt;'Données projet'!$A$140,$CQ$205^A9,IF(A9='Données projet'!$A$140,'Données projet'!$B$140,CT8+CS9-DB8)))</f>
        <v>24.565714285714286</v>
      </c>
      <c r="CU9" s="17">
        <f>CT9*VLOOKUP('Données projet'!$B$13,Paramètres!$A$1:$I$89,3,0)*VLOOKUP('Données projet'!$B$13,Paramètres!$A$1:$I$89,5,0)</f>
        <v>22.227058285714286</v>
      </c>
      <c r="CV9" s="13">
        <f t="shared" si="41"/>
        <v>7.1393223235836674</v>
      </c>
      <c r="CW9" s="20">
        <f t="shared" si="13"/>
        <v>51.146446227860601</v>
      </c>
      <c r="CX9" s="59">
        <f t="shared" si="14"/>
        <v>344.47977956119394</v>
      </c>
      <c r="CY9" s="59">
        <f ca="1">AVERAGE(OFFSET($CX$3,0,0,'Données projet'!$E$13+1,1))-AVERAGE(OFFSET($H$3,0,0,'Données projet'!$E$13+1,1))</f>
        <v>479.84731392413374</v>
      </c>
      <c r="CZ9" s="59">
        <f t="shared" si="42"/>
        <v>203.57601099841213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9.5933333333333337</v>
      </c>
      <c r="N10" s="13">
        <f>IF('Données projet'!$A$36&gt;35,N9+M10-V9,IF(A10&lt;'Données projet'!$A$36,$K$205^A10,IF(A10='Données projet'!$A$36,'Données projet'!$B$36,N9+M10-V9)))</f>
        <v>10.164711040974447</v>
      </c>
      <c r="O10" s="13">
        <f>N10*VLOOKUP('Données projet'!$B$9,Paramètres!$A$1:$I$89,3,0)*VLOOKUP('Données projet'!$B$9,Paramètres!$A$1:$I$89,5,0)</f>
        <v>6.07849720250272</v>
      </c>
      <c r="P10" s="13">
        <f t="shared" si="33"/>
        <v>2.2704628795276998</v>
      </c>
      <c r="Q10" s="20">
        <f t="shared" si="2"/>
        <v>14.541105476202981</v>
      </c>
      <c r="R10" s="59">
        <f t="shared" si="0"/>
        <v>307.87443880953629</v>
      </c>
      <c r="S10" s="59">
        <f ca="1">AVERAGE(OFFSET($R$3,0,0,'Données projet'!$E$9+1,1))-AVERAGE(OFFSET($H$3,0,0,'Données projet'!$E$9+1,1))</f>
        <v>322.7909000321435</v>
      </c>
      <c r="T10" s="59">
        <f t="shared" si="34"/>
        <v>403.23516981532316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6.4429411764705877</v>
      </c>
      <c r="AI10" s="13">
        <f>IF('Données projet'!$A$62&gt;35,AI9+AH10-AQ9,IF(A10&lt;'Données projet'!$A$62,$AF$205^A10,IF(A10='Données projet'!$A$62,'Données projet'!$B$62,AI9+AH10-AQ9)))</f>
        <v>45.100588235294119</v>
      </c>
      <c r="AJ10" s="13">
        <f>AI10*VLOOKUP('Données projet'!$B$10,Paramètres!$A$1:$I$89,3,0)*VLOOKUP('Données projet'!$B$10,Paramètres!$A$1:$I$89,5,0)</f>
        <v>21.107075294117646</v>
      </c>
      <c r="AK10" s="13">
        <f t="shared" si="35"/>
        <v>6.8205076148835628</v>
      </c>
      <c r="AL10" s="20">
        <f t="shared" si="4"/>
        <v>48.640540233177099</v>
      </c>
      <c r="AM10" s="59">
        <f t="shared" si="5"/>
        <v>341.97387356651041</v>
      </c>
      <c r="AN10" s="59">
        <f ca="1">AVERAGE(OFFSET($AM$3,0,0,'Données projet'!$E$10+1,1))-AVERAGE(OFFSET($H$3,0,0,'Données projet'!$E$10+1,1))</f>
        <v>187.82209112143374</v>
      </c>
      <c r="AO10" s="59">
        <f t="shared" si="36"/>
        <v>158.99136654880203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1.1538461538461537</v>
      </c>
      <c r="BD10" s="12">
        <f>IF('Données projet'!$A$88&gt;35,BD9+BC10-BL9,IF(A10&lt;'Données projet'!$A$88,$BA$205^A10,IF(A10='Données projet'!$A$88,'Données projet'!$B$88,BD9+BC10-BL9)))</f>
        <v>5.5399205286335267</v>
      </c>
      <c r="BE10" s="13">
        <f>BD10*VLOOKUP('Données projet'!$B$11,Paramètres!$A$1:$I$89,3,0)*VLOOKUP('Données projet'!$B$11,Paramètres!$A$1:$I$89,5,0)</f>
        <v>5.7903249365277629</v>
      </c>
      <c r="BF10" s="13">
        <f t="shared" si="37"/>
        <v>2.1750857288969967</v>
      </c>
      <c r="BG10" s="20">
        <f t="shared" si="7"/>
        <v>13.873090242281457</v>
      </c>
      <c r="BH10" s="59">
        <f t="shared" si="8"/>
        <v>307.20642357561479</v>
      </c>
      <c r="BI10" s="59">
        <f ca="1">AVERAGE(OFFSET($BH$3,0,0,'Données projet'!$E$11+1,1))-AVERAGE(OFFSET($H$3,0,0,'Données projet'!$E$11+1,1))</f>
        <v>140.32771978791288</v>
      </c>
      <c r="BJ10" s="59">
        <f t="shared" si="38"/>
        <v>135.76866977947634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3.3603333333333336</v>
      </c>
      <c r="BY10" s="12">
        <f>IF('Données projet'!$A$114&gt;35,BY9+BX10-CG9,IF(A10&lt;'Données projet'!$A$114,$BV$205^A10,IF(A10='Données projet'!$A$114,'Données projet'!$B$114,BY9+BX10-CG9)))</f>
        <v>23.522333333333336</v>
      </c>
      <c r="BZ10" s="13">
        <f>BY10*VLOOKUP('Données projet'!$B$12,Paramètres!$A$1:$I$89,3,0)*VLOOKUP('Données projet'!$B$12,Paramètres!$A$1:$I$89,5,0)</f>
        <v>23.851646000000006</v>
      </c>
      <c r="CA10" s="13">
        <f t="shared" si="39"/>
        <v>7.5984897747645288</v>
      </c>
      <c r="CB10" s="20">
        <f t="shared" si="10"/>
        <v>54.775653141048224</v>
      </c>
      <c r="CC10" s="59">
        <f t="shared" si="11"/>
        <v>348.10898647438154</v>
      </c>
      <c r="CD10" s="59">
        <f ca="1">AVERAGE(OFFSET($CC$3,0,0,'Données projet'!$E$12+1,1))-AVERAGE(OFFSET($H$3,0,0,'Données projet'!$E$12+1,1))</f>
        <v>372.05986520199804</v>
      </c>
      <c r="CE10" s="59">
        <f t="shared" si="40"/>
        <v>184.37981929432044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4.0942857142857143</v>
      </c>
      <c r="CT10" s="12">
        <f>IF('Données projet'!$A$140&gt;35,CT9+CS10-DB9,IF(A10&lt;'Données projet'!$A$140,$CQ$205^A10,IF(A10='Données projet'!$A$140,'Données projet'!$B$140,CT9+CS10-DB9)))</f>
        <v>28.66</v>
      </c>
      <c r="CU10" s="17">
        <f>CT10*VLOOKUP('Données projet'!$B$13,Paramètres!$A$1:$I$89,3,0)*VLOOKUP('Données projet'!$B$13,Paramètres!$A$1:$I$89,5,0)</f>
        <v>25.931567999999999</v>
      </c>
      <c r="CV10" s="13">
        <f t="shared" si="41"/>
        <v>8.1810900516051337</v>
      </c>
      <c r="CW10" s="20">
        <f t="shared" si="13"/>
        <v>59.412879439878935</v>
      </c>
      <c r="CX10" s="59">
        <f t="shared" si="14"/>
        <v>352.74621277321228</v>
      </c>
      <c r="CY10" s="59">
        <f ca="1">AVERAGE(OFFSET($CX$3,0,0,'Données projet'!$E$13+1,1))-AVERAGE(OFFSET($H$3,0,0,'Données projet'!$E$13+1,1))</f>
        <v>479.84731392413374</v>
      </c>
      <c r="CZ10" s="59">
        <f t="shared" si="42"/>
        <v>203.57601099841213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9.5933333333333337</v>
      </c>
      <c r="N11" s="13">
        <f>IF('Données projet'!$A$36&gt;35,N10+M11-V10,IF(A11&lt;'Données projet'!$A$36,$K$205^A11,IF(A11='Données projet'!$A$36,'Données projet'!$B$36,N10+M11-V10)))</f>
        <v>14.156821519070441</v>
      </c>
      <c r="O11" s="13">
        <f>N11*VLOOKUP('Données projet'!$B$9,Paramètres!$A$1:$I$89,3,0)*VLOOKUP('Données projet'!$B$9,Paramètres!$A$1:$I$89,5,0)</f>
        <v>8.4657792684041251</v>
      </c>
      <c r="P11" s="13">
        <f t="shared" si="33"/>
        <v>3.0425559530891335</v>
      </c>
      <c r="Q11" s="20">
        <f t="shared" si="2"/>
        <v>20.043683844100759</v>
      </c>
      <c r="R11" s="59">
        <f t="shared" si="0"/>
        <v>313.37701717743408</v>
      </c>
      <c r="S11" s="59">
        <f ca="1">AVERAGE(OFFSET($R$3,0,0,'Données projet'!$E$9+1,1))-AVERAGE(OFFSET($H$3,0,0,'Données projet'!$E$9+1,1))</f>
        <v>322.7909000321435</v>
      </c>
      <c r="T11" s="59">
        <f t="shared" si="34"/>
        <v>403.23516981532316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6.4429411764705877</v>
      </c>
      <c r="AI11" s="13">
        <f>IF('Données projet'!$A$62&gt;35,AI10+AH11-AQ10,IF(A11&lt;'Données projet'!$A$62,$AF$205^A11,IF(A11='Données projet'!$A$62,'Données projet'!$B$62,AI10+AH11-AQ10)))</f>
        <v>51.543529411764709</v>
      </c>
      <c r="AJ11" s="13">
        <f>AI11*VLOOKUP('Données projet'!$B$10,Paramètres!$A$1:$I$89,3,0)*VLOOKUP('Données projet'!$B$10,Paramètres!$A$1:$I$89,5,0)</f>
        <v>24.122371764705882</v>
      </c>
      <c r="AK11" s="13">
        <f t="shared" si="35"/>
        <v>7.6746465319482056</v>
      </c>
      <c r="AL11" s="20">
        <f t="shared" si="4"/>
        <v>55.379806866672531</v>
      </c>
      <c r="AM11" s="59">
        <f t="shared" si="5"/>
        <v>348.71314020000585</v>
      </c>
      <c r="AN11" s="59">
        <f ca="1">AVERAGE(OFFSET($AM$3,0,0,'Données projet'!$E$10+1,1))-AVERAGE(OFFSET($H$3,0,0,'Données projet'!$E$10+1,1))</f>
        <v>187.82209112143374</v>
      </c>
      <c r="AO11" s="59">
        <f t="shared" si="36"/>
        <v>158.99136654880203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1.1538461538461537</v>
      </c>
      <c r="BD11" s="12">
        <f>IF('Données projet'!$A$88&gt;35,BD10+BC11-BL10,IF(A11&lt;'Données projet'!$A$88,$BA$205^A11,IF(A11='Données projet'!$A$88,'Données projet'!$B$88,BD10+BC11-BL10)))</f>
        <v>7.0748677396189548</v>
      </c>
      <c r="BE11" s="13">
        <f>BD11*VLOOKUP('Données projet'!$B$11,Paramètres!$A$1:$I$89,3,0)*VLOOKUP('Données projet'!$B$11,Paramètres!$A$1:$I$89,5,0)</f>
        <v>7.3946517614497322</v>
      </c>
      <c r="BF11" s="13">
        <f t="shared" si="37"/>
        <v>2.6997762216625256</v>
      </c>
      <c r="BG11" s="20">
        <f t="shared" si="7"/>
        <v>17.581128737253849</v>
      </c>
      <c r="BH11" s="59">
        <f t="shared" si="8"/>
        <v>310.91446207058715</v>
      </c>
      <c r="BI11" s="59">
        <f ca="1">AVERAGE(OFFSET($BH$3,0,0,'Données projet'!$E$11+1,1))-AVERAGE(OFFSET($H$3,0,0,'Données projet'!$E$11+1,1))</f>
        <v>140.32771978791288</v>
      </c>
      <c r="BJ11" s="59">
        <f t="shared" si="38"/>
        <v>135.76866977947634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3.3603333333333336</v>
      </c>
      <c r="BY11" s="12">
        <f>IF('Données projet'!$A$114&gt;35,BY10+BX11-CG10,IF(A11&lt;'Données projet'!$A$114,$BV$205^A11,IF(A11='Données projet'!$A$114,'Données projet'!$B$114,BY10+BX11-CG10)))</f>
        <v>26.882666666666669</v>
      </c>
      <c r="BZ11" s="13">
        <f>BY11*VLOOKUP('Données projet'!$B$12,Paramètres!$A$1:$I$89,3,0)*VLOOKUP('Données projet'!$B$12,Paramètres!$A$1:$I$89,5,0)</f>
        <v>27.259024000000004</v>
      </c>
      <c r="CA11" s="13">
        <f t="shared" si="39"/>
        <v>8.5500561674742812</v>
      </c>
      <c r="CB11" s="20">
        <f t="shared" si="10"/>
        <v>62.367481291684378</v>
      </c>
      <c r="CC11" s="59">
        <f t="shared" si="11"/>
        <v>355.7008146250177</v>
      </c>
      <c r="CD11" s="59">
        <f ca="1">AVERAGE(OFFSET($CC$3,0,0,'Données projet'!$E$12+1,1))-AVERAGE(OFFSET($H$3,0,0,'Données projet'!$E$12+1,1))</f>
        <v>372.05986520199804</v>
      </c>
      <c r="CE11" s="59">
        <f t="shared" si="40"/>
        <v>184.37981929432044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4.0942857142857143</v>
      </c>
      <c r="CT11" s="12">
        <f>IF('Données projet'!$A$140&gt;35,CT10+CS11-DB10,IF(A11&lt;'Données projet'!$A$140,$CQ$205^A11,IF(A11='Données projet'!$A$140,'Données projet'!$B$140,CT10+CS11-DB10)))</f>
        <v>32.754285714285714</v>
      </c>
      <c r="CU11" s="17">
        <f>CT11*VLOOKUP('Données projet'!$B$13,Paramètres!$A$1:$I$89,3,0)*VLOOKUP('Données projet'!$B$13,Paramètres!$A$1:$I$89,5,0)</f>
        <v>29.636077714285712</v>
      </c>
      <c r="CV11" s="13">
        <f t="shared" si="41"/>
        <v>9.205616053429063</v>
      </c>
      <c r="CW11" s="20">
        <f t="shared" si="13"/>
        <v>67.649283312103222</v>
      </c>
      <c r="CX11" s="59">
        <f t="shared" si="14"/>
        <v>360.98261664543656</v>
      </c>
      <c r="CY11" s="59">
        <f ca="1">AVERAGE(OFFSET($CX$3,0,0,'Données projet'!$E$13+1,1))-AVERAGE(OFFSET($H$3,0,0,'Données projet'!$E$13+1,1))</f>
        <v>479.84731392413374</v>
      </c>
      <c r="CZ11" s="59">
        <f t="shared" si="42"/>
        <v>203.57601099841213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9.5933333333333337</v>
      </c>
      <c r="N12" s="13">
        <f>IF('Données projet'!$A$36&gt;35,N11+M12-V11,IF(A12&lt;'Données projet'!$A$36,$K$205^A12,IF(A12='Données projet'!$A$36,'Données projet'!$B$36,N11+M12-V11)))</f>
        <v>19.716802053194709</v>
      </c>
      <c r="O12" s="13">
        <f>N12*VLOOKUP('Données projet'!$B$9,Paramètres!$A$1:$I$89,3,0)*VLOOKUP('Données projet'!$B$9,Paramètres!$A$1:$I$89,5,0)</f>
        <v>11.790647627810438</v>
      </c>
      <c r="P12" s="13">
        <f t="shared" si="33"/>
        <v>4.0772068159087427</v>
      </c>
      <c r="Q12" s="20">
        <f t="shared" si="2"/>
        <v>27.636513156144243</v>
      </c>
      <c r="R12" s="59">
        <f t="shared" si="0"/>
        <v>320.96984648947756</v>
      </c>
      <c r="S12" s="59">
        <f ca="1">AVERAGE(OFFSET($R$3,0,0,'Données projet'!$E$9+1,1))-AVERAGE(OFFSET($H$3,0,0,'Données projet'!$E$9+1,1))</f>
        <v>322.7909000321435</v>
      </c>
      <c r="T12" s="59">
        <f t="shared" si="34"/>
        <v>403.23516981532316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6.4429411764705877</v>
      </c>
      <c r="AI12" s="13">
        <f>IF('Données projet'!$A$62&gt;35,AI11+AH12-AQ11,IF(A12&lt;'Données projet'!$A$62,$AF$205^A12,IF(A12='Données projet'!$A$62,'Données projet'!$B$62,AI11+AH12-AQ11)))</f>
        <v>57.986470588235299</v>
      </c>
      <c r="AJ12" s="13">
        <f>AI12*VLOOKUP('Données projet'!$B$10,Paramètres!$A$1:$I$89,3,0)*VLOOKUP('Données projet'!$B$10,Paramètres!$A$1:$I$89,5,0)</f>
        <v>27.137668235294122</v>
      </c>
      <c r="AK12" s="13">
        <f t="shared" si="35"/>
        <v>8.5164137277036307</v>
      </c>
      <c r="AL12" s="20">
        <f t="shared" si="4"/>
        <v>62.097526085554399</v>
      </c>
      <c r="AM12" s="59">
        <f t="shared" si="5"/>
        <v>355.43085941888774</v>
      </c>
      <c r="AN12" s="59">
        <f ca="1">AVERAGE(OFFSET($AM$3,0,0,'Données projet'!$E$10+1,1))-AVERAGE(OFFSET($H$3,0,0,'Données projet'!$E$10+1,1))</f>
        <v>187.82209112143374</v>
      </c>
      <c r="AO12" s="59">
        <f t="shared" si="36"/>
        <v>158.99136654880203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1.1538461538461537</v>
      </c>
      <c r="BD12" s="12">
        <f>IF('Données projet'!$A$88&gt;35,BD11+BC12-BL11,IF(A12&lt;'Données projet'!$A$88,$BA$205^A12,IF(A12='Données projet'!$A$88,'Données projet'!$B$88,BD11+BC12-BL11)))</f>
        <v>9.0351031705949865</v>
      </c>
      <c r="BE12" s="13">
        <f>BD12*VLOOKUP('Données projet'!$B$11,Paramètres!$A$1:$I$89,3,0)*VLOOKUP('Données projet'!$B$11,Paramètres!$A$1:$I$89,5,0)</f>
        <v>9.4434898339058808</v>
      </c>
      <c r="BF12" s="13">
        <f t="shared" si="37"/>
        <v>3.3510364902952992</v>
      </c>
      <c r="BG12" s="20">
        <f t="shared" si="7"/>
        <v>22.283800014650385</v>
      </c>
      <c r="BH12" s="59">
        <f t="shared" si="8"/>
        <v>315.61713334798372</v>
      </c>
      <c r="BI12" s="59">
        <f ca="1">AVERAGE(OFFSET($BH$3,0,0,'Données projet'!$E$11+1,1))-AVERAGE(OFFSET($H$3,0,0,'Données projet'!$E$11+1,1))</f>
        <v>140.32771978791288</v>
      </c>
      <c r="BJ12" s="59">
        <f t="shared" si="38"/>
        <v>135.76866977947634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3.3603333333333336</v>
      </c>
      <c r="BY12" s="12">
        <f>IF('Données projet'!$A$114&gt;35,BY11+BX12-CG11,IF(A12&lt;'Données projet'!$A$114,$BV$205^A12,IF(A12='Données projet'!$A$114,'Données projet'!$B$114,BY11+BX12-CG11)))</f>
        <v>30.243000000000002</v>
      </c>
      <c r="BZ12" s="13">
        <f>BY12*VLOOKUP('Données projet'!$B$12,Paramètres!$A$1:$I$89,3,0)*VLOOKUP('Données projet'!$B$12,Paramètres!$A$1:$I$89,5,0)</f>
        <v>30.666402000000005</v>
      </c>
      <c r="CA12" s="13">
        <f t="shared" si="39"/>
        <v>9.4878396567445336</v>
      </c>
      <c r="CB12" s="20">
        <f t="shared" si="10"/>
        <v>69.935304218830069</v>
      </c>
      <c r="CC12" s="59">
        <f t="shared" si="11"/>
        <v>363.2686375521634</v>
      </c>
      <c r="CD12" s="59">
        <f ca="1">AVERAGE(OFFSET($CC$3,0,0,'Données projet'!$E$12+1,1))-AVERAGE(OFFSET($H$3,0,0,'Données projet'!$E$12+1,1))</f>
        <v>372.05986520199804</v>
      </c>
      <c r="CE12" s="59">
        <f t="shared" si="40"/>
        <v>184.37981929432044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4.0942857142857143</v>
      </c>
      <c r="CT12" s="12">
        <f>IF('Données projet'!$A$140&gt;35,CT11+CS12-DB11,IF(A12&lt;'Données projet'!$A$140,$CQ$205^A12,IF(A12='Données projet'!$A$140,'Données projet'!$B$140,CT11+CS12-DB11)))</f>
        <v>36.848571428571432</v>
      </c>
      <c r="CU12" s="17">
        <f>CT12*VLOOKUP('Données projet'!$B$13,Paramètres!$A$1:$I$89,3,0)*VLOOKUP('Données projet'!$B$13,Paramètres!$A$1:$I$89,5,0)</f>
        <v>33.340587428571432</v>
      </c>
      <c r="CV12" s="13">
        <f t="shared" si="41"/>
        <v>10.215302372953809</v>
      </c>
      <c r="CW12" s="20">
        <f t="shared" si="13"/>
        <v>75.85984140432312</v>
      </c>
      <c r="CX12" s="59">
        <f t="shared" si="14"/>
        <v>369.19317473765642</v>
      </c>
      <c r="CY12" s="59">
        <f ca="1">AVERAGE(OFFSET($CX$3,0,0,'Données projet'!$E$13+1,1))-AVERAGE(OFFSET($H$3,0,0,'Données projet'!$E$13+1,1))</f>
        <v>479.84731392413374</v>
      </c>
      <c r="CZ12" s="59">
        <f t="shared" si="42"/>
        <v>203.57601099841213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9.5933333333333337</v>
      </c>
      <c r="N13" s="13">
        <f>IF('Données projet'!$A$36&gt;35,N12+M13-V12,IF(A13&lt;'Données projet'!$A$36,$K$205^A13,IF(A13='Données projet'!$A$36,'Données projet'!$B$36,N12+M13-V12)))</f>
        <v>27.460421301574002</v>
      </c>
      <c r="O13" s="13">
        <f>N13*VLOOKUP('Données projet'!$B$9,Paramètres!$A$1:$I$89,3,0)*VLOOKUP('Données projet'!$B$9,Paramètres!$A$1:$I$89,5,0)</f>
        <v>16.421331938341254</v>
      </c>
      <c r="P13" s="13">
        <f t="shared" si="33"/>
        <v>5.4637008081362</v>
      </c>
      <c r="Q13" s="20">
        <f t="shared" si="2"/>
        <v>38.116432033448227</v>
      </c>
      <c r="R13" s="59">
        <f t="shared" si="0"/>
        <v>331.44976536678155</v>
      </c>
      <c r="S13" s="59">
        <f ca="1">AVERAGE(OFFSET($R$3,0,0,'Données projet'!$E$9+1,1))-AVERAGE(OFFSET($H$3,0,0,'Données projet'!$E$9+1,1))</f>
        <v>322.7909000321435</v>
      </c>
      <c r="T13" s="59">
        <f t="shared" si="34"/>
        <v>403.23516981532316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6.4429411764705877</v>
      </c>
      <c r="AI13" s="13">
        <f>IF('Données projet'!$A$62&gt;35,AI12+AH13-AQ12,IF(A13&lt;'Données projet'!$A$62,$AF$205^A13,IF(A13='Données projet'!$A$62,'Données projet'!$B$62,AI12+AH13-AQ12)))</f>
        <v>64.42941176470589</v>
      </c>
      <c r="AJ13" s="13">
        <f>AI13*VLOOKUP('Données projet'!$B$10,Paramètres!$A$1:$I$89,3,0)*VLOOKUP('Données projet'!$B$10,Paramètres!$A$1:$I$89,5,0)</f>
        <v>30.152964705882358</v>
      </c>
      <c r="AK13" s="13">
        <f t="shared" si="35"/>
        <v>9.3473406453235626</v>
      </c>
      <c r="AL13" s="20">
        <f t="shared" si="4"/>
        <v>68.796365153350322</v>
      </c>
      <c r="AM13" s="59">
        <f t="shared" si="5"/>
        <v>362.12969848668365</v>
      </c>
      <c r="AN13" s="59">
        <f ca="1">AVERAGE(OFFSET($AM$3,0,0,'Données projet'!$E$10+1,1))-AVERAGE(OFFSET($H$3,0,0,'Données projet'!$E$10+1,1))</f>
        <v>187.82209112143374</v>
      </c>
      <c r="AO13" s="59">
        <f t="shared" si="36"/>
        <v>158.99136654880203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11.538461538461538</v>
      </c>
      <c r="BB13" s="12">
        <f>VLOOKUP(A13,'Données projet'!$A$87:$I$107,9,0)</f>
        <v>1.1538461538461537</v>
      </c>
      <c r="BC13" s="12">
        <f t="array" ref="BC13">INDEX(BB:BB,MIN(IF(ISNUMBER(BB13:BB209),ROW(BB13:BB209),"")))</f>
        <v>1.1538461538461537</v>
      </c>
      <c r="BD13" s="12">
        <f>IF('Données projet'!$A$88&gt;35,BD12+BC13-BL12,IF(A13&lt;'Données projet'!$A$88,$BA$205^A13,IF(A13='Données projet'!$A$88,'Données projet'!$B$88,BD12+BC13-BL12)))</f>
        <v>11.538461538461538</v>
      </c>
      <c r="BE13" s="13">
        <f>BD13*VLOOKUP('Données projet'!$B$11,Paramètres!$A$1:$I$89,3,0)*VLOOKUP('Données projet'!$B$11,Paramètres!$A$1:$I$89,5,0)</f>
        <v>12.06</v>
      </c>
      <c r="BF13" s="13">
        <f t="shared" si="37"/>
        <v>4.1593986454090377</v>
      </c>
      <c r="BG13" s="20">
        <f t="shared" si="7"/>
        <v>28.248785974087401</v>
      </c>
      <c r="BH13" s="59">
        <f t="shared" si="8"/>
        <v>321.58211930742073</v>
      </c>
      <c r="BI13" s="59">
        <f ca="1">AVERAGE(OFFSET($BH$3,0,0,'Données projet'!$E$11+1,1))-AVERAGE(OFFSET($H$3,0,0,'Données projet'!$E$11+1,1))</f>
        <v>140.32771978791288</v>
      </c>
      <c r="BJ13" s="59">
        <f t="shared" si="38"/>
        <v>135.76866977947634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0.215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3.3603333333333336</v>
      </c>
      <c r="BY13" s="12">
        <f>IF('Données projet'!$A$114&gt;35,BY12+BX13-CG12,IF(A13&lt;'Données projet'!$A$114,$BV$205^A13,IF(A13='Données projet'!$A$114,'Données projet'!$B$114,BY12+BX13-CG12)))</f>
        <v>33.603333333333339</v>
      </c>
      <c r="BZ13" s="13">
        <f>BY13*VLOOKUP('Données projet'!$B$12,Paramètres!$A$1:$I$89,3,0)*VLOOKUP('Données projet'!$B$12,Paramètres!$A$1:$I$89,5,0)</f>
        <v>34.073780000000006</v>
      </c>
      <c r="CA13" s="13">
        <f t="shared" si="39"/>
        <v>10.413546370029898</v>
      </c>
      <c r="CB13" s="20">
        <f t="shared" si="10"/>
        <v>77.482093427802084</v>
      </c>
      <c r="CC13" s="59">
        <f t="shared" si="11"/>
        <v>370.81542676113543</v>
      </c>
      <c r="CD13" s="59">
        <f ca="1">AVERAGE(OFFSET($CC$3,0,0,'Données projet'!$E$12+1,1))-AVERAGE(OFFSET($H$3,0,0,'Données projet'!$E$12+1,1))</f>
        <v>372.05986520199804</v>
      </c>
      <c r="CE13" s="59">
        <f t="shared" si="40"/>
        <v>184.37981929432044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4.0942857142857143</v>
      </c>
      <c r="CT13" s="12">
        <f>IF('Données projet'!$A$140&gt;35,CT12+CS13-DB12,IF(A13&lt;'Données projet'!$A$140,$CQ$205^A13,IF(A13='Données projet'!$A$140,'Données projet'!$B$140,CT12+CS13-DB12)))</f>
        <v>40.94285714285715</v>
      </c>
      <c r="CU13" s="17">
        <f>CT13*VLOOKUP('Données projet'!$B$13,Paramètres!$A$1:$I$89,3,0)*VLOOKUP('Données projet'!$B$13,Paramètres!$A$1:$I$89,5,0)</f>
        <v>37.045097142857145</v>
      </c>
      <c r="CV13" s="13">
        <f t="shared" si="41"/>
        <v>11.211985951829543</v>
      </c>
      <c r="CW13" s="20">
        <f t="shared" si="13"/>
        <v>84.04775305657931</v>
      </c>
      <c r="CX13" s="59">
        <f t="shared" si="14"/>
        <v>377.38108638991264</v>
      </c>
      <c r="CY13" s="59">
        <f ca="1">AVERAGE(OFFSET($CX$3,0,0,'Données projet'!$E$13+1,1))-AVERAGE(OFFSET($H$3,0,0,'Données projet'!$E$13+1,1))</f>
        <v>479.84731392413374</v>
      </c>
      <c r="CZ13" s="59">
        <f t="shared" si="42"/>
        <v>203.57601099841213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9.5933333333333337</v>
      </c>
      <c r="N14" s="13">
        <f>IF('Données projet'!$A$36&gt;35,N13+M14-V13,IF(A14&lt;'Données projet'!$A$36,$K$205^A14,IF(A14='Données projet'!$A$36,'Données projet'!$B$36,N13+M14-V13)))</f>
        <v>38.24528622975938</v>
      </c>
      <c r="O14" s="13">
        <f>N14*VLOOKUP('Données projet'!$B$9,Paramètres!$A$1:$I$89,3,0)*VLOOKUP('Données projet'!$B$9,Paramètres!$A$1:$I$89,5,0)</f>
        <v>22.87068116539611</v>
      </c>
      <c r="P14" s="13">
        <f t="shared" si="33"/>
        <v>7.3216856217225361</v>
      </c>
      <c r="Q14" s="20">
        <f t="shared" si="2"/>
        <v>52.585038820898312</v>
      </c>
      <c r="R14" s="59">
        <f t="shared" si="0"/>
        <v>345.91837215423163</v>
      </c>
      <c r="S14" s="59">
        <f ca="1">AVERAGE(OFFSET($R$3,0,0,'Données projet'!$E$9+1,1))-AVERAGE(OFFSET($H$3,0,0,'Données projet'!$E$9+1,1))</f>
        <v>322.7909000321435</v>
      </c>
      <c r="T14" s="59">
        <f t="shared" si="34"/>
        <v>403.23516981532316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6.4429411764705877</v>
      </c>
      <c r="AI14" s="13">
        <f>IF('Données projet'!$A$62&gt;35,AI13+AH14-AQ13,IF(A14&lt;'Données projet'!$A$62,$AF$205^A14,IF(A14='Données projet'!$A$62,'Données projet'!$B$62,AI13+AH14-AQ13)))</f>
        <v>70.872352941176473</v>
      </c>
      <c r="AJ14" s="13">
        <f>AI14*VLOOKUP('Données projet'!$B$10,Paramètres!$A$1:$I$89,3,0)*VLOOKUP('Données projet'!$B$10,Paramètres!$A$1:$I$89,5,0)</f>
        <v>33.168261176470587</v>
      </c>
      <c r="AK14" s="13">
        <f t="shared" si="35"/>
        <v>10.168634715242291</v>
      </c>
      <c r="AL14" s="20">
        <f t="shared" si="4"/>
        <v>75.47842701139993</v>
      </c>
      <c r="AM14" s="59">
        <f t="shared" si="5"/>
        <v>368.81176034473322</v>
      </c>
      <c r="AN14" s="59">
        <f ca="1">AVERAGE(OFFSET($AM$3,0,0,'Données projet'!$E$10+1,1))-AVERAGE(OFFSET($H$3,0,0,'Données projet'!$E$10+1,1))</f>
        <v>187.82209112143374</v>
      </c>
      <c r="AO14" s="59">
        <f t="shared" si="36"/>
        <v>158.99136654880203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3.7179487179487181</v>
      </c>
      <c r="BD14" s="12">
        <f>IF('Données projet'!$A$88&gt;35,BD13+BC14-BL13,IF(A14&lt;'Données projet'!$A$88,$BA$205^A14,IF(A14='Données projet'!$A$88,'Données projet'!$B$88,BD13+BC14-BL13)))</f>
        <v>15.256410256410255</v>
      </c>
      <c r="BE14" s="13">
        <f>BD14*VLOOKUP('Données projet'!$B$11,Paramètres!$A$1:$I$89,3,0)*VLOOKUP('Données projet'!$B$11,Paramètres!$A$1:$I$89,5,0)</f>
        <v>15.946000000000002</v>
      </c>
      <c r="BF14" s="13">
        <f t="shared" si="37"/>
        <v>5.3237194363648275</v>
      </c>
      <c r="BG14" s="20">
        <f t="shared" si="7"/>
        <v>37.044761351668747</v>
      </c>
      <c r="BH14" s="59">
        <f t="shared" si="8"/>
        <v>330.37809468500205</v>
      </c>
      <c r="BI14" s="59">
        <f ca="1">AVERAGE(OFFSET($BH$3,0,0,'Données projet'!$E$11+1,1))-AVERAGE(OFFSET($H$3,0,0,'Données projet'!$E$11+1,1))</f>
        <v>140.32771978791288</v>
      </c>
      <c r="BJ14" s="59">
        <f t="shared" si="38"/>
        <v>135.76866977947634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3.3603333333333336</v>
      </c>
      <c r="BY14" s="12">
        <f>IF('Données projet'!$A$114&gt;35,BY13+BX14-CG13,IF(A14&lt;'Données projet'!$A$114,$BV$205^A14,IF(A14='Données projet'!$A$114,'Données projet'!$B$114,BY13+BX14-CG13)))</f>
        <v>36.963666666666676</v>
      </c>
      <c r="BZ14" s="13">
        <f>BY14*VLOOKUP('Données projet'!$B$12,Paramètres!$A$1:$I$89,3,0)*VLOOKUP('Données projet'!$B$12,Paramètres!$A$1:$I$89,5,0)</f>
        <v>37.481158000000008</v>
      </c>
      <c r="CA14" s="13">
        <f t="shared" si="39"/>
        <v>11.32852146348689</v>
      </c>
      <c r="CB14" s="20">
        <f t="shared" si="10"/>
        <v>85.01019173223969</v>
      </c>
      <c r="CC14" s="59">
        <f t="shared" si="11"/>
        <v>378.34352506557298</v>
      </c>
      <c r="CD14" s="59">
        <f ca="1">AVERAGE(OFFSET($CC$3,0,0,'Données projet'!$E$12+1,1))-AVERAGE(OFFSET($H$3,0,0,'Données projet'!$E$12+1,1))</f>
        <v>372.05986520199804</v>
      </c>
      <c r="CE14" s="59">
        <f t="shared" si="40"/>
        <v>184.37981929432044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4.0942857142857143</v>
      </c>
      <c r="CT14" s="12">
        <f>IF('Données projet'!$A$140&gt;35,CT13+CS14-DB13,IF(A14&lt;'Données projet'!$A$140,$CQ$205^A14,IF(A14='Données projet'!$A$140,'Données projet'!$B$140,CT13+CS14-DB13)))</f>
        <v>45.037142857142868</v>
      </c>
      <c r="CU14" s="17">
        <f>CT14*VLOOKUP('Données projet'!$B$13,Paramètres!$A$1:$I$89,3,0)*VLOOKUP('Données projet'!$B$13,Paramètres!$A$1:$I$89,5,0)</f>
        <v>40.749606857142865</v>
      </c>
      <c r="CV14" s="13">
        <f t="shared" si="41"/>
        <v>12.197115083595657</v>
      </c>
      <c r="CW14" s="20">
        <f t="shared" si="13"/>
        <v>92.215540713452924</v>
      </c>
      <c r="CX14" s="59">
        <f t="shared" si="14"/>
        <v>385.54887404678624</v>
      </c>
      <c r="CY14" s="59">
        <f ca="1">AVERAGE(OFFSET($CX$3,0,0,'Données projet'!$E$13+1,1))-AVERAGE(OFFSET($H$3,0,0,'Données projet'!$E$13+1,1))</f>
        <v>479.84731392413374</v>
      </c>
      <c r="CZ14" s="59">
        <f t="shared" si="42"/>
        <v>203.57601099841213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9.5933333333333337</v>
      </c>
      <c r="N15" s="13">
        <f>IF('Données projet'!$A$36&gt;35,N14+M15-V14,IF(A15&lt;'Données projet'!$A$36,$K$205^A15,IF(A15='Données projet'!$A$36,'Données projet'!$B$36,N14+M15-V14)))</f>
        <v>53.265822207628766</v>
      </c>
      <c r="O15" s="13">
        <f>N15*VLOOKUP('Données projet'!$B$9,Paramètres!$A$1:$I$89,3,0)*VLOOKUP('Données projet'!$B$9,Paramètres!$A$1:$I$89,5,0)</f>
        <v>31.852961680162004</v>
      </c>
      <c r="P15" s="13">
        <f t="shared" si="33"/>
        <v>9.811496314642671</v>
      </c>
      <c r="Q15" s="20">
        <f t="shared" si="2"/>
        <v>72.565597674284803</v>
      </c>
      <c r="R15" s="59">
        <f t="shared" si="0"/>
        <v>365.8989310076181</v>
      </c>
      <c r="S15" s="59">
        <f ca="1">AVERAGE(OFFSET($R$3,0,0,'Données projet'!$E$9+1,1))-AVERAGE(OFFSET($H$3,0,0,'Données projet'!$E$9+1,1))</f>
        <v>322.7909000321435</v>
      </c>
      <c r="T15" s="59">
        <f t="shared" si="34"/>
        <v>403.23516981532316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6.4429411764705877</v>
      </c>
      <c r="AI15" s="13">
        <f>IF('Données projet'!$A$62&gt;35,AI14+AH15-AQ14,IF(A15&lt;'Données projet'!$A$62,$AF$205^A15,IF(A15='Données projet'!$A$62,'Données projet'!$B$62,AI14+AH15-AQ14)))</f>
        <v>77.315294117647056</v>
      </c>
      <c r="AJ15" s="13">
        <f>AI15*VLOOKUP('Données projet'!$B$10,Paramètres!$A$1:$I$89,3,0)*VLOOKUP('Données projet'!$B$10,Paramètres!$A$1:$I$89,5,0)</f>
        <v>36.183557647058819</v>
      </c>
      <c r="AK15" s="13">
        <f t="shared" si="35"/>
        <v>10.981271243408294</v>
      </c>
      <c r="AL15" s="20">
        <f t="shared" si="4"/>
        <v>82.145410317563559</v>
      </c>
      <c r="AM15" s="59">
        <f t="shared" si="5"/>
        <v>375.47874365089689</v>
      </c>
      <c r="AN15" s="59">
        <f ca="1">AVERAGE(OFFSET($AM$3,0,0,'Données projet'!$E$10+1,1))-AVERAGE(OFFSET($H$3,0,0,'Données projet'!$E$10+1,1))</f>
        <v>187.82209112143374</v>
      </c>
      <c r="AO15" s="59">
        <f t="shared" si="36"/>
        <v>158.99136654880203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3.7179487179487181</v>
      </c>
      <c r="BD15" s="12">
        <f>IF('Données projet'!$A$88&gt;35,BD14+BC15-BL14,IF(A15&lt;'Données projet'!$A$88,$BA$205^A15,IF(A15='Données projet'!$A$88,'Données projet'!$B$88,BD14+BC15-BL14)))</f>
        <v>18.974358974358974</v>
      </c>
      <c r="BE15" s="13">
        <f>BD15*VLOOKUP('Données projet'!$B$11,Paramètres!$A$1:$I$89,3,0)*VLOOKUP('Données projet'!$B$11,Paramètres!$A$1:$I$89,5,0)</f>
        <v>19.832000000000001</v>
      </c>
      <c r="BF15" s="13">
        <f t="shared" si="37"/>
        <v>6.4551318352154752</v>
      </c>
      <c r="BG15" s="20">
        <f t="shared" si="7"/>
        <v>45.783421279666953</v>
      </c>
      <c r="BH15" s="59">
        <f t="shared" si="8"/>
        <v>339.11675461300024</v>
      </c>
      <c r="BI15" s="59">
        <f ca="1">AVERAGE(OFFSET($BH$3,0,0,'Données projet'!$E$11+1,1))-AVERAGE(OFFSET($H$3,0,0,'Données projet'!$E$11+1,1))</f>
        <v>140.32771978791288</v>
      </c>
      <c r="BJ15" s="59">
        <f t="shared" si="38"/>
        <v>135.76866977947634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3.3603333333333336</v>
      </c>
      <c r="BY15" s="12">
        <f>IF('Données projet'!$A$114&gt;35,BY14+BX15-CG14,IF(A15&lt;'Données projet'!$A$114,$BV$205^A15,IF(A15='Données projet'!$A$114,'Données projet'!$B$114,BY14+BX15-CG14)))</f>
        <v>40.324000000000012</v>
      </c>
      <c r="BZ15" s="13">
        <f>BY15*VLOOKUP('Données projet'!$B$12,Paramètres!$A$1:$I$89,3,0)*VLOOKUP('Données projet'!$B$12,Paramètres!$A$1:$I$89,5,0)</f>
        <v>40.888536000000016</v>
      </c>
      <c r="CA15" s="13">
        <f t="shared" si="39"/>
        <v>12.2338514914741</v>
      </c>
      <c r="CB15" s="20">
        <f t="shared" si="10"/>
        <v>92.52149154765074</v>
      </c>
      <c r="CC15" s="59">
        <f t="shared" si="11"/>
        <v>385.85482488098404</v>
      </c>
      <c r="CD15" s="59">
        <f ca="1">AVERAGE(OFFSET($CC$3,0,0,'Données projet'!$E$12+1,1))-AVERAGE(OFFSET($H$3,0,0,'Données projet'!$E$12+1,1))</f>
        <v>372.05986520199804</v>
      </c>
      <c r="CE15" s="59">
        <f t="shared" si="40"/>
        <v>184.37981929432044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4.0942857142857143</v>
      </c>
      <c r="CT15" s="12">
        <f>IF('Données projet'!$A$140&gt;35,CT14+CS15-DB14,IF(A15&lt;'Données projet'!$A$140,$CQ$205^A15,IF(A15='Données projet'!$A$140,'Données projet'!$B$140,CT14+CS15-DB14)))</f>
        <v>49.131428571428586</v>
      </c>
      <c r="CU15" s="17">
        <f>CT15*VLOOKUP('Données projet'!$B$13,Paramètres!$A$1:$I$89,3,0)*VLOOKUP('Données projet'!$B$13,Paramètres!$A$1:$I$89,5,0)</f>
        <v>44.454116571428585</v>
      </c>
      <c r="CV15" s="13">
        <f t="shared" si="41"/>
        <v>13.17185963217473</v>
      </c>
      <c r="CW15" s="20">
        <f t="shared" si="13"/>
        <v>100.36524188794243</v>
      </c>
      <c r="CX15" s="59">
        <f t="shared" si="14"/>
        <v>393.69857522127575</v>
      </c>
      <c r="CY15" s="59">
        <f ca="1">AVERAGE(OFFSET($CX$3,0,0,'Données projet'!$E$13+1,1))-AVERAGE(OFFSET($H$3,0,0,'Données projet'!$E$13+1,1))</f>
        <v>479.84731392413374</v>
      </c>
      <c r="CZ15" s="59">
        <f t="shared" si="42"/>
        <v>203.57601099841213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9.5933333333333337</v>
      </c>
      <c r="N16" s="13">
        <f>IF('Données projet'!$A$36&gt;35,N15+M16-V15,IF(A16&lt;'Données projet'!$A$36,$K$205^A16,IF(A16='Données projet'!$A$36,'Données projet'!$B$36,N15+M16-V15)))</f>
        <v>74.185555793984392</v>
      </c>
      <c r="O16" s="13">
        <f>N16*VLOOKUP('Données projet'!$B$9,Paramètres!$A$1:$I$89,3,0)*VLOOKUP('Données projet'!$B$9,Paramètres!$A$1:$I$89,5,0)</f>
        <v>44.362962364802677</v>
      </c>
      <c r="P16" s="13">
        <f t="shared" si="33"/>
        <v>13.147991447029501</v>
      </c>
      <c r="Q16" s="20">
        <f t="shared" si="2"/>
        <v>100.16491122227438</v>
      </c>
      <c r="R16" s="59">
        <f t="shared" si="0"/>
        <v>393.4982445556077</v>
      </c>
      <c r="S16" s="59">
        <f ca="1">AVERAGE(OFFSET($R$3,0,0,'Données projet'!$E$9+1,1))-AVERAGE(OFFSET($H$3,0,0,'Données projet'!$E$9+1,1))</f>
        <v>322.7909000321435</v>
      </c>
      <c r="T16" s="59">
        <f t="shared" si="34"/>
        <v>403.23516981532316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6.4429411764705877</v>
      </c>
      <c r="AI16" s="13">
        <f>IF('Données projet'!$A$62&gt;35,AI15+AH16-AQ15,IF(A16&lt;'Données projet'!$A$62,$AF$205^A16,IF(A16='Données projet'!$A$62,'Données projet'!$B$62,AI15+AH16-AQ15)))</f>
        <v>83.75823529411764</v>
      </c>
      <c r="AJ16" s="13">
        <f>AI16*VLOOKUP('Données projet'!$B$10,Paramètres!$A$1:$I$89,3,0)*VLOOKUP('Données projet'!$B$10,Paramètres!$A$1:$I$89,5,0)</f>
        <v>39.198854117647059</v>
      </c>
      <c r="AK16" s="13">
        <f t="shared" si="35"/>
        <v>11.786053715435241</v>
      </c>
      <c r="AL16" s="20">
        <f t="shared" si="4"/>
        <v>88.79871447595167</v>
      </c>
      <c r="AM16" s="59">
        <f t="shared" si="5"/>
        <v>382.13204780928498</v>
      </c>
      <c r="AN16" s="59">
        <f ca="1">AVERAGE(OFFSET($AM$3,0,0,'Données projet'!$E$10+1,1))-AVERAGE(OFFSET($H$3,0,0,'Données projet'!$E$10+1,1))</f>
        <v>187.82209112143374</v>
      </c>
      <c r="AO16" s="59">
        <f t="shared" si="36"/>
        <v>158.99136654880203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3.7179487179487181</v>
      </c>
      <c r="BD16" s="12">
        <f>IF('Données projet'!$A$88&gt;35,BD15+BC16-BL15,IF(A16&lt;'Données projet'!$A$88,$BA$205^A16,IF(A16='Données projet'!$A$88,'Données projet'!$B$88,BD15+BC16-BL15)))</f>
        <v>22.692307692307693</v>
      </c>
      <c r="BE16" s="13">
        <f>BD16*VLOOKUP('Données projet'!$B$11,Paramètres!$A$1:$I$89,3,0)*VLOOKUP('Données projet'!$B$11,Paramètres!$A$1:$I$89,5,0)</f>
        <v>23.718000000000004</v>
      </c>
      <c r="BF16" s="13">
        <f t="shared" si="37"/>
        <v>7.5608573241730994</v>
      </c>
      <c r="BG16" s="20">
        <f t="shared" si="7"/>
        <v>54.477343172934816</v>
      </c>
      <c r="BH16" s="59">
        <f t="shared" si="8"/>
        <v>347.81067650626812</v>
      </c>
      <c r="BI16" s="59">
        <f ca="1">AVERAGE(OFFSET($BH$3,0,0,'Données projet'!$E$11+1,1))-AVERAGE(OFFSET($H$3,0,0,'Données projet'!$E$11+1,1))</f>
        <v>140.32771978791288</v>
      </c>
      <c r="BJ16" s="59">
        <f t="shared" si="38"/>
        <v>135.76866977947634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3.3603333333333336</v>
      </c>
      <c r="BY16" s="12">
        <f>IF('Données projet'!$A$114&gt;35,BY15+BX16-CG15,IF(A16&lt;'Données projet'!$A$114,$BV$205^A16,IF(A16='Données projet'!$A$114,'Données projet'!$B$114,BY15+BX16-CG15)))</f>
        <v>43.684333333333349</v>
      </c>
      <c r="BZ16" s="13">
        <f>BY16*VLOOKUP('Données projet'!$B$12,Paramètres!$A$1:$I$89,3,0)*VLOOKUP('Données projet'!$B$12,Paramètres!$A$1:$I$89,5,0)</f>
        <v>44.295914000000018</v>
      </c>
      <c r="CA16" s="13">
        <f t="shared" si="39"/>
        <v>13.130431589304674</v>
      </c>
      <c r="CB16" s="20">
        <f t="shared" si="10"/>
        <v>100.01755190137233</v>
      </c>
      <c r="CC16" s="59">
        <f t="shared" si="11"/>
        <v>393.35088523470563</v>
      </c>
      <c r="CD16" s="59">
        <f ca="1">AVERAGE(OFFSET($CC$3,0,0,'Données projet'!$E$12+1,1))-AVERAGE(OFFSET($H$3,0,0,'Données projet'!$E$12+1,1))</f>
        <v>372.05986520199804</v>
      </c>
      <c r="CE16" s="59">
        <f t="shared" si="40"/>
        <v>184.37981929432044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4.0942857142857143</v>
      </c>
      <c r="CT16" s="12">
        <f>IF('Données projet'!$A$140&gt;35,CT15+CS16-DB15,IF(A16&lt;'Données projet'!$A$140,$CQ$205^A16,IF(A16='Données projet'!$A$140,'Données projet'!$B$140,CT15+CS16-DB15)))</f>
        <v>53.225714285714304</v>
      </c>
      <c r="CU16" s="17">
        <f>CT16*VLOOKUP('Données projet'!$B$13,Paramètres!$A$1:$I$89,3,0)*VLOOKUP('Données projet'!$B$13,Paramètres!$A$1:$I$89,5,0)</f>
        <v>48.158626285714305</v>
      </c>
      <c r="CV16" s="13">
        <f t="shared" si="41"/>
        <v>14.137183365739432</v>
      </c>
      <c r="CW16" s="20">
        <f t="shared" si="13"/>
        <v>108.4985351429486</v>
      </c>
      <c r="CX16" s="59">
        <f t="shared" si="14"/>
        <v>401.8318684762819</v>
      </c>
      <c r="CY16" s="59">
        <f ca="1">AVERAGE(OFFSET($CX$3,0,0,'Données projet'!$E$13+1,1))-AVERAGE(OFFSET($H$3,0,0,'Données projet'!$E$13+1,1))</f>
        <v>479.84731392413374</v>
      </c>
      <c r="CZ16" s="59">
        <f t="shared" si="42"/>
        <v>203.57601099841213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9.5933333333333337</v>
      </c>
      <c r="N17" s="13">
        <f>IF('Données projet'!$A$36&gt;35,N16+M17-V16,IF(A17&lt;'Données projet'!$A$36,$K$205^A17,IF(A17='Données projet'!$A$36,'Données projet'!$B$36,N16+M17-V16)))</f>
        <v>103.32135054650782</v>
      </c>
      <c r="O17" s="13">
        <f>N17*VLOOKUP('Données projet'!$B$9,Paramètres!$A$1:$I$89,3,0)*VLOOKUP('Données projet'!$B$9,Paramètres!$A$1:$I$89,5,0)</f>
        <v>61.786167626811675</v>
      </c>
      <c r="P17" s="13">
        <f t="shared" si="33"/>
        <v>17.61909433051207</v>
      </c>
      <c r="Q17" s="20">
        <f t="shared" si="2"/>
        <v>138.2974979090055</v>
      </c>
      <c r="R17" s="59">
        <f t="shared" si="0"/>
        <v>431.63083124233879</v>
      </c>
      <c r="S17" s="59">
        <f ca="1">AVERAGE(OFFSET($R$3,0,0,'Données projet'!$E$9+1,1))-AVERAGE(OFFSET($H$3,0,0,'Données projet'!$E$9+1,1))</f>
        <v>322.7909000321435</v>
      </c>
      <c r="T17" s="59">
        <f t="shared" si="34"/>
        <v>403.23516981532316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6.4429411764705877</v>
      </c>
      <c r="AI17" s="13">
        <f>IF('Données projet'!$A$62&gt;35,AI16+AH17-AQ16,IF(A17&lt;'Données projet'!$A$62,$AF$205^A17,IF(A17='Données projet'!$A$62,'Données projet'!$B$62,AI16+AH17-AQ16)))</f>
        <v>90.201176470588223</v>
      </c>
      <c r="AJ17" s="13">
        <f>AI17*VLOOKUP('Données projet'!$B$10,Paramètres!$A$1:$I$89,3,0)*VLOOKUP('Données projet'!$B$10,Paramètres!$A$1:$I$89,5,0)</f>
        <v>42.214150588235285</v>
      </c>
      <c r="AK17" s="13">
        <f t="shared" si="35"/>
        <v>12.583654981741942</v>
      </c>
      <c r="AL17" s="20">
        <f t="shared" si="4"/>
        <v>95.439511367710338</v>
      </c>
      <c r="AM17" s="59">
        <f t="shared" si="5"/>
        <v>388.77284470104365</v>
      </c>
      <c r="AN17" s="59">
        <f ca="1">AVERAGE(OFFSET($AM$3,0,0,'Données projet'!$E$10+1,1))-AVERAGE(OFFSET($H$3,0,0,'Données projet'!$E$10+1,1))</f>
        <v>187.82209112143374</v>
      </c>
      <c r="AO17" s="59">
        <f t="shared" si="36"/>
        <v>158.99136654880203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3.7179487179487181</v>
      </c>
      <c r="BD17" s="12">
        <f>IF('Données projet'!$A$88&gt;35,BD16+BC17-BL16,IF(A17&lt;'Données projet'!$A$88,$BA$205^A17,IF(A17='Données projet'!$A$88,'Données projet'!$B$88,BD16+BC17-BL16)))</f>
        <v>26.410256410256412</v>
      </c>
      <c r="BE17" s="13">
        <f>BD17*VLOOKUP('Données projet'!$B$11,Paramètres!$A$1:$I$89,3,0)*VLOOKUP('Données projet'!$B$11,Paramètres!$A$1:$I$89,5,0)</f>
        <v>27.604000000000006</v>
      </c>
      <c r="BF17" s="13">
        <f t="shared" si="37"/>
        <v>8.6455960616159544</v>
      </c>
      <c r="BG17" s="20">
        <f t="shared" si="7"/>
        <v>63.134713140647797</v>
      </c>
      <c r="BH17" s="59">
        <f t="shared" si="8"/>
        <v>356.46804647398113</v>
      </c>
      <c r="BI17" s="59">
        <f ca="1">AVERAGE(OFFSET($BH$3,0,0,'Données projet'!$E$11+1,1))-AVERAGE(OFFSET($H$3,0,0,'Données projet'!$E$11+1,1))</f>
        <v>140.32771978791288</v>
      </c>
      <c r="BJ17" s="59">
        <f t="shared" si="38"/>
        <v>135.76866977947634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3.3603333333333336</v>
      </c>
      <c r="BY17" s="12">
        <f>IF('Données projet'!$A$114&gt;35,BY16+BX17-CG16,IF(A17&lt;'Données projet'!$A$114,$BV$205^A17,IF(A17='Données projet'!$A$114,'Données projet'!$B$114,BY16+BX17-CG16)))</f>
        <v>47.044666666666686</v>
      </c>
      <c r="BZ17" s="13">
        <f>BY17*VLOOKUP('Données projet'!$B$12,Paramètres!$A$1:$I$89,3,0)*VLOOKUP('Données projet'!$B$12,Paramètres!$A$1:$I$89,5,0)</f>
        <v>47.703292000000019</v>
      </c>
      <c r="CA17" s="13">
        <f t="shared" si="39"/>
        <v>14.019011356175028</v>
      </c>
      <c r="CB17" s="20">
        <f t="shared" si="10"/>
        <v>107.49967834533821</v>
      </c>
      <c r="CC17" s="59">
        <f t="shared" si="11"/>
        <v>400.83301167867154</v>
      </c>
      <c r="CD17" s="59">
        <f ca="1">AVERAGE(OFFSET($CC$3,0,0,'Données projet'!$E$12+1,1))-AVERAGE(OFFSET($H$3,0,0,'Données projet'!$E$12+1,1))</f>
        <v>372.05986520199804</v>
      </c>
      <c r="CE17" s="59">
        <f t="shared" si="40"/>
        <v>184.37981929432044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4.0942857142857143</v>
      </c>
      <c r="CT17" s="12">
        <f>IF('Données projet'!$A$140&gt;35,CT16+CS17-DB16,IF(A17&lt;'Données projet'!$A$140,$CQ$205^A17,IF(A17='Données projet'!$A$140,'Données projet'!$B$140,CT16+CS17-DB16)))</f>
        <v>57.320000000000022</v>
      </c>
      <c r="CU17" s="17">
        <f>CT17*VLOOKUP('Données projet'!$B$13,Paramètres!$A$1:$I$89,3,0)*VLOOKUP('Données projet'!$B$13,Paramètres!$A$1:$I$89,5,0)</f>
        <v>51.863136000000019</v>
      </c>
      <c r="CV17" s="13">
        <f t="shared" si="41"/>
        <v>15.093893357630675</v>
      </c>
      <c r="CW17" s="20">
        <f t="shared" si="13"/>
        <v>116.61682613120678</v>
      </c>
      <c r="CX17" s="59">
        <f t="shared" si="14"/>
        <v>409.95015946454009</v>
      </c>
      <c r="CY17" s="59">
        <f ca="1">AVERAGE(OFFSET($CX$3,0,0,'Données projet'!$E$13+1,1))-AVERAGE(OFFSET($H$3,0,0,'Données projet'!$E$13+1,1))</f>
        <v>479.84731392413374</v>
      </c>
      <c r="CZ17" s="59">
        <f t="shared" si="42"/>
        <v>203.57601099841213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143.9</v>
      </c>
      <c r="L18" s="12">
        <f>VLOOKUP(A18,'Données projet'!$A$35:$I$55,9,0)</f>
        <v>9.5933333333333337</v>
      </c>
      <c r="M18" s="12">
        <f t="array" ref="M18">INDEX(L:L,MIN(IF(ISNUMBER(L18:L214),ROW(L18:L214),"")))</f>
        <v>9.5933333333333337</v>
      </c>
      <c r="N18" s="13">
        <f>IF('Données projet'!$A$36&gt;35,N17+M18-V17,IF(A18&lt;'Données projet'!$A$36,$K$205^A18,IF(A18='Données projet'!$A$36,'Données projet'!$B$36,N17+M18-V17)))</f>
        <v>143.9</v>
      </c>
      <c r="O18" s="13">
        <f>N18*VLOOKUP('Données projet'!$B$9,Paramètres!$A$1:$I$89,3,0)*VLOOKUP('Données projet'!$B$9,Paramètres!$A$1:$I$89,5,0)</f>
        <v>86.052200000000013</v>
      </c>
      <c r="P18" s="13">
        <f t="shared" si="33"/>
        <v>23.610639410449146</v>
      </c>
      <c r="Q18" s="20">
        <f t="shared" si="2"/>
        <v>190.99611197319894</v>
      </c>
      <c r="R18" s="59">
        <f t="shared" si="0"/>
        <v>484.32944530653225</v>
      </c>
      <c r="S18" s="59">
        <f ca="1">AVERAGE(OFFSET($R$3,0,0,'Données projet'!$E$9+1,1))-AVERAGE(OFFSET($H$3,0,0,'Données projet'!$E$9+1,1))</f>
        <v>322.7909000321435</v>
      </c>
      <c r="T18" s="59">
        <f t="shared" si="34"/>
        <v>403.23516981532316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50.480000000000004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0.22500000000000001</v>
      </c>
      <c r="Y18" s="16">
        <f>IF(ISNA(VLOOKUP(A18,'Données projet'!$A$35:$I$55,7,0)),0%,VLOOKUP(A18,'Données projet'!$A$35:$I$55,7,0))</f>
        <v>0.5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8.9746608694215499</v>
      </c>
      <c r="AB18" s="21">
        <f>EXP(-LN(2)/2)*AB17+(1-EXP(-LN(2)/2))/(LN(2)/2)*V18*Y18*VLOOKUP('Données projet'!$B$9,Paramètres!$A$1:$I$89,3,0)*0.475*44/12</f>
        <v>17.089370827361666</v>
      </c>
      <c r="AC18" s="22">
        <f t="shared" si="3"/>
        <v>26.064031696783218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6.4429411764705877</v>
      </c>
      <c r="AI18" s="13">
        <f>IF('Données projet'!$A$62&gt;35,AI17+AH18-AQ17,IF(A18&lt;'Données projet'!$A$62,$AF$205^A18,IF(A18='Données projet'!$A$62,'Données projet'!$B$62,AI17+AH18-AQ17)))</f>
        <v>96.644117647058806</v>
      </c>
      <c r="AJ18" s="13">
        <f>AI18*VLOOKUP('Données projet'!$B$10,Paramètres!$A$1:$I$89,3,0)*VLOOKUP('Données projet'!$B$10,Paramètres!$A$1:$I$89,5,0)</f>
        <v>45.229447058823517</v>
      </c>
      <c r="AK18" s="13">
        <f t="shared" si="35"/>
        <v>13.374646324561946</v>
      </c>
      <c r="AL18" s="20">
        <f t="shared" si="4"/>
        <v>102.06879597606302</v>
      </c>
      <c r="AM18" s="59">
        <f t="shared" si="5"/>
        <v>395.40212930939634</v>
      </c>
      <c r="AN18" s="59">
        <f ca="1">AVERAGE(OFFSET($AM$3,0,0,'Données projet'!$E$10+1,1))-AVERAGE(OFFSET($H$3,0,0,'Données projet'!$E$10+1,1))</f>
        <v>187.82209112143374</v>
      </c>
      <c r="AO18" s="59">
        <f t="shared" si="36"/>
        <v>158.99136654880203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30.128205128205128</v>
      </c>
      <c r="BB18" s="12">
        <f>VLOOKUP(A18,'Données projet'!$A$87:$I$107,9,0)</f>
        <v>3.7179487179487181</v>
      </c>
      <c r="BC18" s="12">
        <f t="array" ref="BC18">INDEX(BB:BB,MIN(IF(ISNUMBER(BB18:BB214),ROW(BB18:BB214),"")))</f>
        <v>3.7179487179487181</v>
      </c>
      <c r="BD18" s="12">
        <f>IF('Données projet'!$A$88&gt;35,BD17+BC18-BL17,IF(A18&lt;'Données projet'!$A$88,$BA$205^A18,IF(A18='Données projet'!$A$88,'Données projet'!$B$88,BD17+BC18-BL17)))</f>
        <v>30.128205128205131</v>
      </c>
      <c r="BE18" s="13">
        <f>BD18*VLOOKUP('Données projet'!$B$11,Paramètres!$A$1:$I$89,3,0)*VLOOKUP('Données projet'!$B$11,Paramètres!$A$1:$I$89,5,0)</f>
        <v>31.490000000000006</v>
      </c>
      <c r="BF18" s="13">
        <f t="shared" si="37"/>
        <v>9.7126430402655597</v>
      </c>
      <c r="BG18" s="20">
        <f t="shared" si="7"/>
        <v>71.761269961795847</v>
      </c>
      <c r="BH18" s="59">
        <f t="shared" si="8"/>
        <v>365.09460329512916</v>
      </c>
      <c r="BI18" s="59">
        <f ca="1">AVERAGE(OFFSET($BH$3,0,0,'Données projet'!$E$11+1,1))-AVERAGE(OFFSET($H$3,0,0,'Données projet'!$E$11+1,1))</f>
        <v>140.32771978791288</v>
      </c>
      <c r="BJ18" s="59">
        <f t="shared" si="38"/>
        <v>135.76866977947634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0.215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3.3603333333333336</v>
      </c>
      <c r="BY18" s="12">
        <f>IF('Données projet'!$A$114&gt;35,BY17+BX18-CG17,IF(A18&lt;'Données projet'!$A$114,$BV$205^A18,IF(A18='Données projet'!$A$114,'Données projet'!$B$114,BY17+BX18-CG17)))</f>
        <v>50.405000000000022</v>
      </c>
      <c r="BZ18" s="13">
        <f>BY18*VLOOKUP('Données projet'!$B$12,Paramètres!$A$1:$I$89,3,0)*VLOOKUP('Données projet'!$B$12,Paramètres!$A$1:$I$89,5,0)</f>
        <v>51.11067000000002</v>
      </c>
      <c r="CA18" s="13">
        <f t="shared" si="39"/>
        <v>14.900227237706996</v>
      </c>
      <c r="CB18" s="20">
        <f t="shared" si="10"/>
        <v>114.96897935567303</v>
      </c>
      <c r="CC18" s="59">
        <f t="shared" si="11"/>
        <v>408.30231268900633</v>
      </c>
      <c r="CD18" s="59">
        <f ca="1">AVERAGE(OFFSET($CC$3,0,0,'Données projet'!$E$12+1,1))-AVERAGE(OFFSET($H$3,0,0,'Données projet'!$E$12+1,1))</f>
        <v>372.05986520199804</v>
      </c>
      <c r="CE18" s="59">
        <f t="shared" si="40"/>
        <v>184.37981929432044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4.0942857142857143</v>
      </c>
      <c r="CT18" s="12">
        <f>IF('Données projet'!$A$140&gt;35,CT17+CS18-DB17,IF(A18&lt;'Données projet'!$A$140,$CQ$205^A18,IF(A18='Données projet'!$A$140,'Données projet'!$B$140,CT17+CS18-DB17)))</f>
        <v>61.414285714285739</v>
      </c>
      <c r="CU18" s="17">
        <f>CT18*VLOOKUP('Données projet'!$B$13,Paramètres!$A$1:$I$89,3,0)*VLOOKUP('Données projet'!$B$13,Paramètres!$A$1:$I$89,5,0)</f>
        <v>55.567645714285739</v>
      </c>
      <c r="CV18" s="13">
        <f t="shared" si="41"/>
        <v>16.042674851771864</v>
      </c>
      <c r="CW18" s="20">
        <f t="shared" si="13"/>
        <v>124.72130831921697</v>
      </c>
      <c r="CX18" s="59">
        <f t="shared" si="14"/>
        <v>418.05464165255029</v>
      </c>
      <c r="CY18" s="59">
        <f ca="1">AVERAGE(OFFSET($CX$3,0,0,'Données projet'!$E$13+1,1))-AVERAGE(OFFSET($H$3,0,0,'Données projet'!$E$13+1,1))</f>
        <v>479.84731392413374</v>
      </c>
      <c r="CZ18" s="59">
        <f t="shared" si="42"/>
        <v>203.57601099841213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22.926000000000002</v>
      </c>
      <c r="N19" s="13">
        <f>IF('Données projet'!$A$36&gt;35,N18+M19-V18,IF(A19&lt;'Données projet'!$A$36,$K$205^A19,IF(A19='Données projet'!$A$36,'Données projet'!$B$36,N18+M19-V18)))</f>
        <v>116.34600000000002</v>
      </c>
      <c r="O19" s="13">
        <f>N19*VLOOKUP('Données projet'!$B$9,Paramètres!$A$1:$I$89,3,0)*VLOOKUP('Données projet'!$B$9,Paramètres!$A$1:$I$89,5,0)</f>
        <v>69.574908000000022</v>
      </c>
      <c r="P19" s="13">
        <f t="shared" si="33"/>
        <v>19.567854850728789</v>
      </c>
      <c r="Q19" s="20">
        <f t="shared" si="2"/>
        <v>155.256978631686</v>
      </c>
      <c r="R19" s="59">
        <f t="shared" si="0"/>
        <v>448.59031196501928</v>
      </c>
      <c r="S19" s="59">
        <f ca="1">AVERAGE(OFFSET($R$3,0,0,'Données projet'!$E$9+1,1))-AVERAGE(OFFSET($H$3,0,0,'Données projet'!$E$9+1,1))</f>
        <v>322.7909000321435</v>
      </c>
      <c r="T19" s="59">
        <f t="shared" si="34"/>
        <v>403.23516981532316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8.729248295990315</v>
      </c>
      <c r="AB19" s="21">
        <f>EXP(-LN(2)/2)*AB18+(1-EXP(-LN(2)/2))/(LN(2)/2)*V19*Y19*VLOOKUP('Données projet'!$B$9,Paramètres!$A$1:$I$89,3,0)*0.475*44/12</f>
        <v>12.084009998238995</v>
      </c>
      <c r="AC19" s="22">
        <f t="shared" si="3"/>
        <v>20.813258294229311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6.4429411764705877</v>
      </c>
      <c r="AI19" s="13">
        <f>IF('Données projet'!$A$62&gt;35,AI18+AH19-AQ18,IF(A19&lt;'Données projet'!$A$62,$AF$205^A19,IF(A19='Données projet'!$A$62,'Données projet'!$B$62,AI18+AH19-AQ18)))</f>
        <v>103.08705882352939</v>
      </c>
      <c r="AJ19" s="13">
        <f>AI19*VLOOKUP('Données projet'!$B$10,Paramètres!$A$1:$I$89,3,0)*VLOOKUP('Données projet'!$B$10,Paramètres!$A$1:$I$89,5,0)</f>
        <v>48.244743529411757</v>
      </c>
      <c r="AK19" s="13">
        <f t="shared" si="35"/>
        <v>14.159518545821207</v>
      </c>
      <c r="AL19" s="20">
        <f t="shared" si="4"/>
        <v>108.68742311436408</v>
      </c>
      <c r="AM19" s="59">
        <f t="shared" si="5"/>
        <v>402.02075644769741</v>
      </c>
      <c r="AN19" s="59">
        <f ca="1">AVERAGE(OFFSET($AM$3,0,0,'Données projet'!$E$10+1,1))-AVERAGE(OFFSET($H$3,0,0,'Données projet'!$E$10+1,1))</f>
        <v>187.82209112143374</v>
      </c>
      <c r="AO19" s="59">
        <f t="shared" si="36"/>
        <v>158.99136654880203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5.128205128205126</v>
      </c>
      <c r="BD19" s="12">
        <f>IF('Données projet'!$A$88&gt;35,BD18+BC19-BL18,IF(A19&lt;'Données projet'!$A$88,$BA$205^A19,IF(A19='Données projet'!$A$88,'Données projet'!$B$88,BD18+BC19-BL18)))</f>
        <v>35.256410256410255</v>
      </c>
      <c r="BE19" s="13">
        <f>BD19*VLOOKUP('Données projet'!$B$11,Paramètres!$A$1:$I$89,3,0)*VLOOKUP('Données projet'!$B$11,Paramètres!$A$1:$I$89,5,0)</f>
        <v>36.85</v>
      </c>
      <c r="BF19" s="13">
        <f t="shared" si="37"/>
        <v>11.159795413106259</v>
      </c>
      <c r="BG19" s="20">
        <f t="shared" si="7"/>
        <v>83.617060344493396</v>
      </c>
      <c r="BH19" s="59">
        <f t="shared" si="8"/>
        <v>376.9503936778267</v>
      </c>
      <c r="BI19" s="59">
        <f ca="1">AVERAGE(OFFSET($BH$3,0,0,'Données projet'!$E$11+1,1))-AVERAGE(OFFSET($H$3,0,0,'Données projet'!$E$11+1,1))</f>
        <v>140.32771978791288</v>
      </c>
      <c r="BJ19" s="59">
        <f t="shared" si="38"/>
        <v>135.76866977947634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3.3603333333333336</v>
      </c>
      <c r="BY19" s="12">
        <f>IF('Données projet'!$A$114&gt;35,BY18+BX19-CG18,IF(A19&lt;'Données projet'!$A$114,$BV$205^A19,IF(A19='Données projet'!$A$114,'Données projet'!$B$114,BY18+BX19-CG18)))</f>
        <v>53.765333333333359</v>
      </c>
      <c r="BZ19" s="13">
        <f>BY19*VLOOKUP('Données projet'!$B$12,Paramètres!$A$1:$I$89,3,0)*VLOOKUP('Données projet'!$B$12,Paramètres!$A$1:$I$89,5,0)</f>
        <v>54.518048000000029</v>
      </c>
      <c r="CA19" s="13">
        <f t="shared" si="39"/>
        <v>15.774626019217196</v>
      </c>
      <c r="CB19" s="20">
        <f t="shared" si="10"/>
        <v>122.42640725013666</v>
      </c>
      <c r="CC19" s="59">
        <f t="shared" si="11"/>
        <v>415.75974058346998</v>
      </c>
      <c r="CD19" s="59">
        <f ca="1">AVERAGE(OFFSET($CC$3,0,0,'Données projet'!$E$12+1,1))-AVERAGE(OFFSET($H$3,0,0,'Données projet'!$E$12+1,1))</f>
        <v>372.05986520199804</v>
      </c>
      <c r="CE19" s="59">
        <f t="shared" si="40"/>
        <v>184.37981929432044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4.0942857142857143</v>
      </c>
      <c r="CT19" s="12">
        <f>IF('Données projet'!$A$140&gt;35,CT18+CS19-DB18,IF(A19&lt;'Données projet'!$A$140,$CQ$205^A19,IF(A19='Données projet'!$A$140,'Données projet'!$B$140,CT18+CS19-DB18)))</f>
        <v>65.508571428571457</v>
      </c>
      <c r="CU19" s="17">
        <f>CT19*VLOOKUP('Données projet'!$B$13,Paramètres!$A$1:$I$89,3,0)*VLOOKUP('Données projet'!$B$13,Paramètres!$A$1:$I$89,5,0)</f>
        <v>59.272155428571445</v>
      </c>
      <c r="CV19" s="13">
        <f t="shared" si="41"/>
        <v>16.984116557241595</v>
      </c>
      <c r="CW19" s="20">
        <f t="shared" si="13"/>
        <v>132.81300704195772</v>
      </c>
      <c r="CX19" s="59">
        <f t="shared" si="14"/>
        <v>426.14634037529106</v>
      </c>
      <c r="CY19" s="59">
        <f ca="1">AVERAGE(OFFSET($CX$3,0,0,'Données projet'!$E$13+1,1))-AVERAGE(OFFSET($H$3,0,0,'Données projet'!$E$13+1,1))</f>
        <v>479.84731392413374</v>
      </c>
      <c r="CZ19" s="59">
        <f t="shared" si="42"/>
        <v>203.57601099841213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22.926000000000002</v>
      </c>
      <c r="N20" s="13">
        <f>IF('Données projet'!$A$36&gt;35,N19+M20-V19,IF(A20&lt;'Données projet'!$A$36,$K$205^A20,IF(A20='Données projet'!$A$36,'Données projet'!$B$36,N19+M20-V19)))</f>
        <v>139.27200000000002</v>
      </c>
      <c r="O20" s="13">
        <f>N20*VLOOKUP('Données projet'!$B$9,Paramètres!$A$1:$I$89,3,0)*VLOOKUP('Données projet'!$B$9,Paramètres!$A$1:$I$89,5,0)</f>
        <v>83.284656000000012</v>
      </c>
      <c r="P20" s="13">
        <f t="shared" si="33"/>
        <v>22.938409183380077</v>
      </c>
      <c r="Q20" s="20">
        <f t="shared" si="2"/>
        <v>185.00517186105367</v>
      </c>
      <c r="R20" s="59">
        <f t="shared" si="0"/>
        <v>478.33850519438698</v>
      </c>
      <c r="S20" s="59">
        <f ca="1">AVERAGE(OFFSET($R$3,0,0,'Données projet'!$E$9+1,1))-AVERAGE(OFFSET($H$3,0,0,'Données projet'!$E$9+1,1))</f>
        <v>322.7909000321435</v>
      </c>
      <c r="T20" s="59">
        <f t="shared" si="34"/>
        <v>403.23516981532316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8.4905465422852426</v>
      </c>
      <c r="AB20" s="21">
        <f>EXP(-LN(2)/2)*AB19+(1-EXP(-LN(2)/2))/(LN(2)/2)*V20*Y20*VLOOKUP('Données projet'!$B$9,Paramètres!$A$1:$I$89,3,0)*0.475*44/12</f>
        <v>8.5446854136808348</v>
      </c>
      <c r="AC20" s="22">
        <f t="shared" si="3"/>
        <v>17.035231955966076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6.4429411764705877</v>
      </c>
      <c r="AI20" s="13">
        <f>IF('Données projet'!$A$62&gt;35,AI19+AH20-AQ19,IF(A20&lt;'Données projet'!$A$62,$AF$205^A20,IF(A20='Données projet'!$A$62,'Données projet'!$B$62,AI19+AH20-AQ19)))</f>
        <v>109.52999999999997</v>
      </c>
      <c r="AJ20" s="13">
        <f>AI20*VLOOKUP('Données projet'!$B$10,Paramètres!$A$1:$I$89,3,0)*VLOOKUP('Données projet'!$B$10,Paramètres!$A$1:$I$89,5,0)</f>
        <v>51.260039999999989</v>
      </c>
      <c r="AK20" s="13">
        <f t="shared" si="35"/>
        <v>14.938697629678151</v>
      </c>
      <c r="AL20" s="20">
        <f t="shared" si="4"/>
        <v>115.29613470502277</v>
      </c>
      <c r="AM20" s="59">
        <f t="shared" si="5"/>
        <v>408.62946803835609</v>
      </c>
      <c r="AN20" s="59">
        <f ca="1">AVERAGE(OFFSET($AM$3,0,0,'Données projet'!$E$10+1,1))-AVERAGE(OFFSET($H$3,0,0,'Données projet'!$E$10+1,1))</f>
        <v>187.82209112143374</v>
      </c>
      <c r="AO20" s="59">
        <f t="shared" si="36"/>
        <v>158.99136654880203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5.128205128205126</v>
      </c>
      <c r="BD20" s="12">
        <f>IF('Données projet'!$A$88&gt;35,BD19+BC20-BL19,IF(A20&lt;'Données projet'!$A$88,$BA$205^A20,IF(A20='Données projet'!$A$88,'Données projet'!$B$88,BD19+BC20-BL19)))</f>
        <v>40.38461538461538</v>
      </c>
      <c r="BE20" s="13">
        <f>BD20*VLOOKUP('Données projet'!$B$11,Paramètres!$A$1:$I$89,3,0)*VLOOKUP('Données projet'!$B$11,Paramètres!$A$1:$I$89,5,0)</f>
        <v>42.21</v>
      </c>
      <c r="BF20" s="13">
        <f t="shared" si="37"/>
        <v>12.582561739030865</v>
      </c>
      <c r="BG20" s="20">
        <f t="shared" si="7"/>
        <v>95.430378362145419</v>
      </c>
      <c r="BH20" s="59">
        <f t="shared" si="8"/>
        <v>388.76371169547872</v>
      </c>
      <c r="BI20" s="59">
        <f ca="1">AVERAGE(OFFSET($BH$3,0,0,'Données projet'!$E$11+1,1))-AVERAGE(OFFSET($H$3,0,0,'Données projet'!$E$11+1,1))</f>
        <v>140.32771978791288</v>
      </c>
      <c r="BJ20" s="59">
        <f t="shared" si="38"/>
        <v>135.76866977947634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3.3603333333333336</v>
      </c>
      <c r="BY20" s="12">
        <f>IF('Données projet'!$A$114&gt;35,BY19+BX20-CG19,IF(A20&lt;'Données projet'!$A$114,$BV$205^A20,IF(A20='Données projet'!$A$114,'Données projet'!$B$114,BY19+BX20-CG19)))</f>
        <v>57.125666666666696</v>
      </c>
      <c r="BZ20" s="13">
        <f>BY20*VLOOKUP('Données projet'!$B$12,Paramètres!$A$1:$I$89,3,0)*VLOOKUP('Données projet'!$B$12,Paramètres!$A$1:$I$89,5,0)</f>
        <v>57.925426000000037</v>
      </c>
      <c r="CA20" s="13">
        <f t="shared" si="39"/>
        <v>16.64268227480698</v>
      </c>
      <c r="CB20" s="20">
        <f t="shared" si="10"/>
        <v>129.87278857862222</v>
      </c>
      <c r="CC20" s="59">
        <f t="shared" si="11"/>
        <v>423.20612191195551</v>
      </c>
      <c r="CD20" s="59">
        <f ca="1">AVERAGE(OFFSET($CC$3,0,0,'Données projet'!$E$12+1,1))-AVERAGE(OFFSET($H$3,0,0,'Données projet'!$E$12+1,1))</f>
        <v>372.05986520199804</v>
      </c>
      <c r="CE20" s="59">
        <f t="shared" si="40"/>
        <v>184.37981929432044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4.0942857142857143</v>
      </c>
      <c r="CT20" s="12">
        <f>IF('Données projet'!$A$140&gt;35,CT19+CS20-DB19,IF(A20&lt;'Données projet'!$A$140,$CQ$205^A20,IF(A20='Données projet'!$A$140,'Données projet'!$B$140,CT19+CS20-DB19)))</f>
        <v>69.602857142857175</v>
      </c>
      <c r="CU20" s="17">
        <f>CT20*VLOOKUP('Données projet'!$B$13,Paramètres!$A$1:$I$89,3,0)*VLOOKUP('Données projet'!$B$13,Paramètres!$A$1:$I$89,5,0)</f>
        <v>62.976665142857165</v>
      </c>
      <c r="CV20" s="13">
        <f t="shared" si="41"/>
        <v>17.918729435240664</v>
      </c>
      <c r="CW20" s="20">
        <f t="shared" si="13"/>
        <v>140.89281222352039</v>
      </c>
      <c r="CX20" s="59">
        <f t="shared" si="14"/>
        <v>434.22614555685368</v>
      </c>
      <c r="CY20" s="59">
        <f ca="1">AVERAGE(OFFSET($CX$3,0,0,'Données projet'!$E$13+1,1))-AVERAGE(OFFSET($H$3,0,0,'Données projet'!$E$13+1,1))</f>
        <v>479.84731392413374</v>
      </c>
      <c r="CZ20" s="59">
        <f t="shared" si="42"/>
        <v>203.57601099841213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22.926000000000002</v>
      </c>
      <c r="N21" s="13">
        <f>IF('Données projet'!$A$36&gt;35,N20+M21-V20,IF(A21&lt;'Données projet'!$A$36,$K$205^A21,IF(A21='Données projet'!$A$36,'Données projet'!$B$36,N20+M21-V20)))</f>
        <v>162.19800000000004</v>
      </c>
      <c r="O21" s="13">
        <f>N21*VLOOKUP('Données projet'!$B$9,Paramètres!$A$1:$I$89,3,0)*VLOOKUP('Données projet'!$B$9,Paramètres!$A$1:$I$89,5,0)</f>
        <v>96.994404000000017</v>
      </c>
      <c r="P21" s="13">
        <f t="shared" si="33"/>
        <v>26.24468896996531</v>
      </c>
      <c r="Q21" s="20">
        <f t="shared" si="2"/>
        <v>214.64142025602294</v>
      </c>
      <c r="R21" s="59">
        <f t="shared" si="0"/>
        <v>507.97475358935628</v>
      </c>
      <c r="S21" s="59">
        <f ca="1">AVERAGE(OFFSET($R$3,0,0,'Données projet'!$E$9+1,1))-AVERAGE(OFFSET($H$3,0,0,'Données projet'!$E$9+1,1))</f>
        <v>322.7909000321435</v>
      </c>
      <c r="T21" s="59">
        <f t="shared" si="34"/>
        <v>403.23516981532316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8.2583721005880157</v>
      </c>
      <c r="AB21" s="21">
        <f>EXP(-LN(2)/2)*AB20+(1-EXP(-LN(2)/2))/(LN(2)/2)*V21*Y21*VLOOKUP('Données projet'!$B$9,Paramètres!$A$1:$I$89,3,0)*0.475*44/12</f>
        <v>6.0420049991194986</v>
      </c>
      <c r="AC21" s="22">
        <f t="shared" si="3"/>
        <v>14.300377099707514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6.4429411764705877</v>
      </c>
      <c r="AI21" s="13">
        <f>IF('Données projet'!$A$62&gt;35,AI20+AH21-AQ20,IF(A21&lt;'Données projet'!$A$62,$AF$205^A21,IF(A21='Données projet'!$A$62,'Données projet'!$B$62,AI20+AH21-AQ20)))</f>
        <v>115.97294117647056</v>
      </c>
      <c r="AJ21" s="13">
        <f>AI21*VLOOKUP('Données projet'!$B$10,Paramètres!$A$1:$I$89,3,0)*VLOOKUP('Données projet'!$B$10,Paramètres!$A$1:$I$89,5,0)</f>
        <v>54.275336470588222</v>
      </c>
      <c r="AK21" s="13">
        <f t="shared" si="35"/>
        <v>15.712556613430714</v>
      </c>
      <c r="AL21" s="20">
        <f t="shared" si="4"/>
        <v>121.89558045466629</v>
      </c>
      <c r="AM21" s="59">
        <f t="shared" si="5"/>
        <v>415.2289137879996</v>
      </c>
      <c r="AN21" s="59">
        <f ca="1">AVERAGE(OFFSET($AM$3,0,0,'Données projet'!$E$10+1,1))-AVERAGE(OFFSET($H$3,0,0,'Données projet'!$E$10+1,1))</f>
        <v>187.82209112143374</v>
      </c>
      <c r="AO21" s="59">
        <f t="shared" si="36"/>
        <v>158.99136654880203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5.128205128205126</v>
      </c>
      <c r="BD21" s="12">
        <f>IF('Données projet'!$A$88&gt;35,BD20+BC21-BL20,IF(A21&lt;'Données projet'!$A$88,$BA$205^A21,IF(A21='Données projet'!$A$88,'Données projet'!$B$88,BD20+BC21-BL20)))</f>
        <v>45.512820512820504</v>
      </c>
      <c r="BE21" s="13">
        <f>BD21*VLOOKUP('Données projet'!$B$11,Paramètres!$A$1:$I$89,3,0)*VLOOKUP('Données projet'!$B$11,Paramètres!$A$1:$I$89,5,0)</f>
        <v>47.57</v>
      </c>
      <c r="BF21" s="13">
        <f t="shared" si="37"/>
        <v>13.984393551590529</v>
      </c>
      <c r="BG21" s="20">
        <f t="shared" si="7"/>
        <v>107.20723543568683</v>
      </c>
      <c r="BH21" s="59">
        <f t="shared" si="8"/>
        <v>400.54056876902013</v>
      </c>
      <c r="BI21" s="59">
        <f ca="1">AVERAGE(OFFSET($BH$3,0,0,'Données projet'!$E$11+1,1))-AVERAGE(OFFSET($H$3,0,0,'Données projet'!$E$11+1,1))</f>
        <v>140.32771978791288</v>
      </c>
      <c r="BJ21" s="59">
        <f t="shared" si="38"/>
        <v>135.76866977947634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3.3603333333333336</v>
      </c>
      <c r="BY21" s="12">
        <f>IF('Données projet'!$A$114&gt;35,BY20+BX21-CG20,IF(A21&lt;'Données projet'!$A$114,$BV$205^A21,IF(A21='Données projet'!$A$114,'Données projet'!$B$114,BY20+BX21-CG20)))</f>
        <v>60.486000000000033</v>
      </c>
      <c r="BZ21" s="13">
        <f>BY21*VLOOKUP('Données projet'!$B$12,Paramètres!$A$1:$I$89,3,0)*VLOOKUP('Données projet'!$B$12,Paramètres!$A$1:$I$89,5,0)</f>
        <v>61.332804000000031</v>
      </c>
      <c r="CA21" s="13">
        <f t="shared" si="39"/>
        <v>17.504811592326099</v>
      </c>
      <c r="CB21" s="20">
        <f t="shared" si="10"/>
        <v>137.30884715663467</v>
      </c>
      <c r="CC21" s="59">
        <f t="shared" si="11"/>
        <v>430.64218048996798</v>
      </c>
      <c r="CD21" s="59">
        <f ca="1">AVERAGE(OFFSET($CC$3,0,0,'Données projet'!$E$12+1,1))-AVERAGE(OFFSET($H$3,0,0,'Données projet'!$E$12+1,1))</f>
        <v>372.05986520199804</v>
      </c>
      <c r="CE21" s="59">
        <f t="shared" si="40"/>
        <v>184.37981929432044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4.0942857142857143</v>
      </c>
      <c r="CT21" s="12">
        <f>IF('Données projet'!$A$140&gt;35,CT20+CS21-DB20,IF(A21&lt;'Données projet'!$A$140,$CQ$205^A21,IF(A21='Données projet'!$A$140,'Données projet'!$B$140,CT20+CS21-DB20)))</f>
        <v>73.697142857142893</v>
      </c>
      <c r="CU21" s="17">
        <f>CT21*VLOOKUP('Données projet'!$B$13,Paramètres!$A$1:$I$89,3,0)*VLOOKUP('Données projet'!$B$13,Paramètres!$A$1:$I$89,5,0)</f>
        <v>66.681174857142892</v>
      </c>
      <c r="CV21" s="13">
        <f t="shared" si="41"/>
        <v>18.846960938055496</v>
      </c>
      <c r="CW21" s="20">
        <f t="shared" si="13"/>
        <v>148.96150317663719</v>
      </c>
      <c r="CX21" s="59">
        <f t="shared" si="14"/>
        <v>442.29483650997054</v>
      </c>
      <c r="CY21" s="59">
        <f ca="1">AVERAGE(OFFSET($CX$3,0,0,'Données projet'!$E$13+1,1))-AVERAGE(OFFSET($H$3,0,0,'Données projet'!$E$13+1,1))</f>
        <v>479.84731392413374</v>
      </c>
      <c r="CZ21" s="59">
        <f t="shared" si="42"/>
        <v>203.57601099841213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22.926000000000002</v>
      </c>
      <c r="N22" s="13">
        <f>IF('Données projet'!$A$36&gt;35,N21+M22-V21,IF(A22&lt;'Données projet'!$A$36,$K$205^A22,IF(A22='Données projet'!$A$36,'Données projet'!$B$36,N21+M22-V21)))</f>
        <v>185.12400000000002</v>
      </c>
      <c r="O22" s="13">
        <f>N22*VLOOKUP('Données projet'!$B$9,Paramètres!$A$1:$I$89,3,0)*VLOOKUP('Données projet'!$B$9,Paramètres!$A$1:$I$89,5,0)</f>
        <v>110.70415200000002</v>
      </c>
      <c r="P22" s="13">
        <f t="shared" si="33"/>
        <v>29.496826613531113</v>
      </c>
      <c r="Q22" s="20">
        <f t="shared" si="2"/>
        <v>244.18337108523338</v>
      </c>
      <c r="R22" s="59">
        <f t="shared" si="0"/>
        <v>537.51670441856663</v>
      </c>
      <c r="S22" s="59">
        <f ca="1">AVERAGE(OFFSET($R$3,0,0,'Données projet'!$E$9+1,1))-AVERAGE(OFFSET($H$3,0,0,'Données projet'!$E$9+1,1))</f>
        <v>322.7909000321435</v>
      </c>
      <c r="T22" s="59">
        <f t="shared" si="34"/>
        <v>403.23516981532316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8.0325464812085219</v>
      </c>
      <c r="AB22" s="21">
        <f>EXP(-LN(2)/2)*AB21+(1-EXP(-LN(2)/2))/(LN(2)/2)*V22*Y22*VLOOKUP('Données projet'!$B$9,Paramètres!$A$1:$I$89,3,0)*0.475*44/12</f>
        <v>4.2723427068404183</v>
      </c>
      <c r="AC22" s="22">
        <f t="shared" si="3"/>
        <v>12.304889188048939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6.4429411764705877</v>
      </c>
      <c r="AI22" s="13">
        <f>IF('Données projet'!$A$62&gt;35,AI21+AH22-AQ21,IF(A22&lt;'Données projet'!$A$62,$AF$205^A22,IF(A22='Données projet'!$A$62,'Données projet'!$B$62,AI21+AH22-AQ21)))</f>
        <v>122.41588235294114</v>
      </c>
      <c r="AJ22" s="13">
        <f>AI22*VLOOKUP('Données projet'!$B$10,Paramètres!$A$1:$I$89,3,0)*VLOOKUP('Données projet'!$B$10,Paramètres!$A$1:$I$89,5,0)</f>
        <v>57.290632941176455</v>
      </c>
      <c r="AK22" s="13">
        <f t="shared" si="35"/>
        <v>16.481424744815605</v>
      </c>
      <c r="AL22" s="20">
        <f t="shared" si="4"/>
        <v>128.48633380310281</v>
      </c>
      <c r="AM22" s="59">
        <f t="shared" si="5"/>
        <v>421.81966713643612</v>
      </c>
      <c r="AN22" s="59">
        <f ca="1">AVERAGE(OFFSET($AM$3,0,0,'Données projet'!$E$10+1,1))-AVERAGE(OFFSET($H$3,0,0,'Données projet'!$E$10+1,1))</f>
        <v>187.82209112143374</v>
      </c>
      <c r="AO22" s="59">
        <f t="shared" si="36"/>
        <v>158.99136654880203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5.128205128205126</v>
      </c>
      <c r="BD22" s="12">
        <f>IF('Données projet'!$A$88&gt;35,BD21+BC22-BL21,IF(A22&lt;'Données projet'!$A$88,$BA$205^A22,IF(A22='Données projet'!$A$88,'Données projet'!$B$88,BD21+BC22-BL21)))</f>
        <v>50.641025641025628</v>
      </c>
      <c r="BE22" s="13">
        <f>BD22*VLOOKUP('Données projet'!$B$11,Paramètres!$A$1:$I$89,3,0)*VLOOKUP('Données projet'!$B$11,Paramètres!$A$1:$I$89,5,0)</f>
        <v>52.929999999999993</v>
      </c>
      <c r="BF22" s="13">
        <f t="shared" si="37"/>
        <v>15.3679188437793</v>
      </c>
      <c r="BG22" s="20">
        <f t="shared" si="7"/>
        <v>118.9522086529156</v>
      </c>
      <c r="BH22" s="59">
        <f t="shared" si="8"/>
        <v>412.28554198624892</v>
      </c>
      <c r="BI22" s="59">
        <f ca="1">AVERAGE(OFFSET($BH$3,0,0,'Données projet'!$E$11+1,1))-AVERAGE(OFFSET($H$3,0,0,'Données projet'!$E$11+1,1))</f>
        <v>140.32771978791288</v>
      </c>
      <c r="BJ22" s="59">
        <f t="shared" si="38"/>
        <v>135.76866977947634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3.3603333333333336</v>
      </c>
      <c r="BY22" s="12">
        <f>IF('Données projet'!$A$114&gt;35,BY21+BX22-CG21,IF(A22&lt;'Données projet'!$A$114,$BV$205^A22,IF(A22='Données projet'!$A$114,'Données projet'!$B$114,BY21+BX22-CG21)))</f>
        <v>63.846333333333369</v>
      </c>
      <c r="BZ22" s="13">
        <f>BY22*VLOOKUP('Données projet'!$B$12,Paramètres!$A$1:$I$89,3,0)*VLOOKUP('Données projet'!$B$12,Paramètres!$A$1:$I$89,5,0)</f>
        <v>64.740182000000047</v>
      </c>
      <c r="CA22" s="13">
        <f t="shared" si="39"/>
        <v>18.361380775200633</v>
      </c>
      <c r="CB22" s="20">
        <f t="shared" si="10"/>
        <v>144.73522183347453</v>
      </c>
      <c r="CC22" s="59">
        <f t="shared" si="11"/>
        <v>438.06855516680787</v>
      </c>
      <c r="CD22" s="59">
        <f ca="1">AVERAGE(OFFSET($CC$3,0,0,'Données projet'!$E$12+1,1))-AVERAGE(OFFSET($H$3,0,0,'Données projet'!$E$12+1,1))</f>
        <v>372.05986520199804</v>
      </c>
      <c r="CE22" s="59">
        <f t="shared" si="40"/>
        <v>184.37981929432044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4.0942857142857143</v>
      </c>
      <c r="CT22" s="12">
        <f>IF('Données projet'!$A$140&gt;35,CT21+CS22-DB21,IF(A22&lt;'Données projet'!$A$140,$CQ$205^A22,IF(A22='Données projet'!$A$140,'Données projet'!$B$140,CT21+CS22-DB21)))</f>
        <v>77.791428571428611</v>
      </c>
      <c r="CU22" s="17">
        <f>CT22*VLOOKUP('Données projet'!$B$13,Paramètres!$A$1:$I$89,3,0)*VLOOKUP('Données projet'!$B$13,Paramètres!$A$1:$I$89,5,0)</f>
        <v>70.385684571428612</v>
      </c>
      <c r="CV22" s="13">
        <f t="shared" si="41"/>
        <v>19.769205993092573</v>
      </c>
      <c r="CW22" s="20">
        <f t="shared" si="13"/>
        <v>157.01976773320771</v>
      </c>
      <c r="CX22" s="59">
        <f t="shared" si="14"/>
        <v>450.35310106654106</v>
      </c>
      <c r="CY22" s="59">
        <f ca="1">AVERAGE(OFFSET($CX$3,0,0,'Données projet'!$E$13+1,1))-AVERAGE(OFFSET($H$3,0,0,'Données projet'!$E$13+1,1))</f>
        <v>479.84731392413374</v>
      </c>
      <c r="CZ22" s="59">
        <f t="shared" si="42"/>
        <v>203.57601099841213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208.05</v>
      </c>
      <c r="L23" s="12">
        <f>VLOOKUP(A23,'Données projet'!$A$35:$I$55,9,0)</f>
        <v>22.926000000000002</v>
      </c>
      <c r="M23" s="12">
        <f t="array" ref="M23">INDEX(L:L,MIN(IF(ISNUMBER(L23:L219),ROW(L23:L219),"")))</f>
        <v>22.926000000000002</v>
      </c>
      <c r="N23" s="13">
        <f>IF('Données projet'!$A$36&gt;35,N22+M23-V22,IF(A23&lt;'Données projet'!$A$36,$K$205^A23,IF(A23='Données projet'!$A$36,'Données projet'!$B$36,N22+M23-V22)))</f>
        <v>208.05</v>
      </c>
      <c r="O23" s="13">
        <f>N23*VLOOKUP('Données projet'!$B$9,Paramètres!$A$1:$I$89,3,0)*VLOOKUP('Données projet'!$B$9,Paramètres!$A$1:$I$89,5,0)</f>
        <v>124.41390000000001</v>
      </c>
      <c r="P23" s="13">
        <f t="shared" si="33"/>
        <v>32.702294748208111</v>
      </c>
      <c r="Q23" s="20">
        <f t="shared" si="2"/>
        <v>273.64403918646246</v>
      </c>
      <c r="R23" s="59">
        <f t="shared" si="0"/>
        <v>566.97737251979584</v>
      </c>
      <c r="S23" s="59">
        <f ca="1">AVERAGE(OFFSET($R$3,0,0,'Données projet'!$E$9+1,1))-AVERAGE(OFFSET($H$3,0,0,'Données projet'!$E$9+1,1))</f>
        <v>322.7909000321435</v>
      </c>
      <c r="T23" s="59">
        <f t="shared" si="34"/>
        <v>403.23516981532316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55.160000000000025</v>
      </c>
      <c r="W23" s="16">
        <f>IF(ISNA(VLOOKUP(A23,'Données projet'!$A$35:$I$55,5,0)),0%,VLOOKUP(A23,'Données projet'!$A$35:$I$55,5,0)*VLOOKUP('Données projet'!$B$9,Paramètres!$A$1:$I$89,7,0))</f>
        <v>0.1125</v>
      </c>
      <c r="X23" s="16">
        <f>IF(ISNA(VLOOKUP(A23,'Données projet'!$A$35:$I$55,6,0)),0%,VLOOKUP(A23,'Données projet'!$A$35:$I$55,6,0)*VLOOKUP('Données projet'!$B$9,Paramètres!$A$1:$I$89,7,0))</f>
        <v>0.16650000000000001</v>
      </c>
      <c r="Y23" s="16">
        <f>IF(ISNA(VLOOKUP(A23,'Données projet'!$A$35:$I$55,7,0)),0%,VLOOKUP(A23,'Données projet'!$A$35:$I$55,7,0))</f>
        <v>0.38</v>
      </c>
      <c r="Z23" s="21">
        <f>EXP(-LN(2)/35)*Z22+(1-EXP(-LN(2)/35))/(LN(2)/35)*V23*W23*VLOOKUP('Données projet'!$B$9,Paramètres!$A$1:$I$89,3,0)*0.475*44/12</f>
        <v>4.9227334454815823</v>
      </c>
      <c r="AA23" s="21">
        <f>EXP(-LN(2)/25)*AA22+(1-EXP(-LN(2)/25))/(LN(2)/25)*Calculateur!V23*Calculateur!X23*VLOOKUP('Données projet'!$B$9,Paramètres!$A$1:$I$89,3,0)*0.475*44/12</f>
        <v>15.06985521219999</v>
      </c>
      <c r="AB23" s="21">
        <f>EXP(-LN(2)/2)*AB22+(1-EXP(-LN(2)/2))/(LN(2)/2)*V23*Y23*VLOOKUP('Données projet'!$B$9,Paramètres!$A$1:$I$89,3,0)*0.475*44/12</f>
        <v>17.213034355271418</v>
      </c>
      <c r="AC23" s="22">
        <f t="shared" si="3"/>
        <v>37.205623012952991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6.4429411764705877</v>
      </c>
      <c r="AI23" s="13">
        <f>IF('Données projet'!$A$62&gt;35,AI22+AH23-AQ22,IF(A23&lt;'Données projet'!$A$62,$AF$205^A23,IF(A23='Données projet'!$A$62,'Données projet'!$B$62,AI22+AH23-AQ22)))</f>
        <v>128.85882352941172</v>
      </c>
      <c r="AJ23" s="13">
        <f>AI23*VLOOKUP('Données projet'!$B$10,Paramètres!$A$1:$I$89,3,0)*VLOOKUP('Données projet'!$B$10,Paramètres!$A$1:$I$89,5,0)</f>
        <v>60.305929411764687</v>
      </c>
      <c r="AK23" s="13">
        <f t="shared" si="35"/>
        <v>17.245594656457669</v>
      </c>
      <c r="AL23" s="20">
        <f t="shared" si="4"/>
        <v>135.06890441882061</v>
      </c>
      <c r="AM23" s="59">
        <f t="shared" si="5"/>
        <v>428.40223775215395</v>
      </c>
      <c r="AN23" s="59">
        <f ca="1">AVERAGE(OFFSET($AM$3,0,0,'Données projet'!$E$10+1,1))-AVERAGE(OFFSET($H$3,0,0,'Données projet'!$E$10+1,1))</f>
        <v>187.82209112143374</v>
      </c>
      <c r="AO23" s="59">
        <f t="shared" si="36"/>
        <v>158.99136654880203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55.769230769230759</v>
      </c>
      <c r="BB23" s="12">
        <f>VLOOKUP(A23,'Données projet'!$A$87:$I$107,9,0)</f>
        <v>5.128205128205126</v>
      </c>
      <c r="BC23" s="12">
        <f t="array" ref="BC23">INDEX(BB:BB,MIN(IF(ISNUMBER(BB23:BB219),ROW(BB23:BB219),"")))</f>
        <v>5.128205128205126</v>
      </c>
      <c r="BD23" s="12">
        <f>IF('Données projet'!$A$88&gt;35,BD22+BC23-BL22,IF(A23&lt;'Données projet'!$A$88,$BA$205^A23,IF(A23='Données projet'!$A$88,'Données projet'!$B$88,BD22+BC23-BL22)))</f>
        <v>55.769230769230752</v>
      </c>
      <c r="BE23" s="13">
        <f>BD23*VLOOKUP('Données projet'!$B$11,Paramètres!$A$1:$I$89,3,0)*VLOOKUP('Données projet'!$B$11,Paramètres!$A$1:$I$89,5,0)</f>
        <v>58.289999999999985</v>
      </c>
      <c r="BF23" s="13">
        <f t="shared" si="37"/>
        <v>16.735202513714196</v>
      </c>
      <c r="BG23" s="20">
        <f t="shared" si="7"/>
        <v>130.66889437805216</v>
      </c>
      <c r="BH23" s="59">
        <f t="shared" si="8"/>
        <v>424.00222771138544</v>
      </c>
      <c r="BI23" s="59">
        <f ca="1">AVERAGE(OFFSET($BH$3,0,0,'Données projet'!$E$11+1,1))-AVERAGE(OFFSET($H$3,0,0,'Données projet'!$E$11+1,1))</f>
        <v>140.32771978791288</v>
      </c>
      <c r="BJ23" s="59">
        <f t="shared" si="38"/>
        <v>135.76866977947634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18.589743589743588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0.215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4.5998642253939837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4.5998642253939837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3.3603333333333336</v>
      </c>
      <c r="BY23" s="12">
        <f>IF('Données projet'!$A$114&gt;35,BY22+BX23-CG22,IF(A23&lt;'Données projet'!$A$114,$BV$205^A23,IF(A23='Données projet'!$A$114,'Données projet'!$B$114,BY22+BX23-CG22)))</f>
        <v>67.206666666666706</v>
      </c>
      <c r="BZ23" s="13">
        <f>BY23*VLOOKUP('Données projet'!$B$12,Paramètres!$A$1:$I$89,3,0)*VLOOKUP('Données projet'!$B$12,Paramètres!$A$1:$I$89,5,0)</f>
        <v>68.147560000000055</v>
      </c>
      <c r="CA23" s="13">
        <f t="shared" si="39"/>
        <v>19.212715835236935</v>
      </c>
      <c r="CB23" s="20">
        <f t="shared" si="10"/>
        <v>152.15248041303775</v>
      </c>
      <c r="CC23" s="59">
        <f t="shared" si="11"/>
        <v>445.48581374637104</v>
      </c>
      <c r="CD23" s="59">
        <f ca="1">AVERAGE(OFFSET($CC$3,0,0,'Données projet'!$E$12+1,1))-AVERAGE(OFFSET($H$3,0,0,'Données projet'!$E$12+1,1))</f>
        <v>372.05986520199804</v>
      </c>
      <c r="CE23" s="59">
        <f t="shared" si="40"/>
        <v>184.37981929432044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4.0942857142857143</v>
      </c>
      <c r="CT23" s="12">
        <f>IF('Données projet'!$A$140&gt;35,CT22+CS23-DB22,IF(A23&lt;'Données projet'!$A$140,$CQ$205^A23,IF(A23='Données projet'!$A$140,'Données projet'!$B$140,CT22+CS23-DB22)))</f>
        <v>81.885714285714329</v>
      </c>
      <c r="CU23" s="17">
        <f>CT23*VLOOKUP('Données projet'!$B$13,Paramètres!$A$1:$I$89,3,0)*VLOOKUP('Données projet'!$B$13,Paramètres!$A$1:$I$89,5,0)</f>
        <v>74.090194285714318</v>
      </c>
      <c r="CV23" s="13">
        <f t="shared" si="41"/>
        <v>20.685815608516002</v>
      </c>
      <c r="CW23" s="20">
        <f t="shared" si="13"/>
        <v>165.06821723245113</v>
      </c>
      <c r="CX23" s="59">
        <f t="shared" si="14"/>
        <v>458.40155056578442</v>
      </c>
      <c r="CY23" s="59">
        <f ca="1">AVERAGE(OFFSET($CX$3,0,0,'Données projet'!$E$13+1,1))-AVERAGE(OFFSET($H$3,0,0,'Données projet'!$E$13+1,1))</f>
        <v>479.84731392413374</v>
      </c>
      <c r="CZ23" s="59">
        <f t="shared" si="42"/>
        <v>203.57601099841213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24.238333333333333</v>
      </c>
      <c r="N24" s="13">
        <f>IF('Données projet'!$A$36&gt;35,N23+M24-V23,IF(A24&lt;'Données projet'!$A$36,$K$205^A24,IF(A24='Données projet'!$A$36,'Données projet'!$B$36,N23+M24-V23)))</f>
        <v>177.12833333333333</v>
      </c>
      <c r="O24" s="13">
        <f>N24*VLOOKUP('Données projet'!$B$9,Paramètres!$A$1:$I$89,3,0)*VLOOKUP('Données projet'!$B$9,Paramètres!$A$1:$I$89,5,0)</f>
        <v>105.92274333333334</v>
      </c>
      <c r="P24" s="13">
        <f t="shared" si="33"/>
        <v>28.368249625717503</v>
      </c>
      <c r="Q24" s="20">
        <f t="shared" si="2"/>
        <v>233.89014607034687</v>
      </c>
      <c r="R24" s="59">
        <f t="shared" si="0"/>
        <v>527.22347940368013</v>
      </c>
      <c r="S24" s="59">
        <f ca="1">AVERAGE(OFFSET($R$3,0,0,'Données projet'!$E$9+1,1))-AVERAGE(OFFSET($H$3,0,0,'Données projet'!$E$9+1,1))</f>
        <v>322.7909000321435</v>
      </c>
      <c r="T24" s="59">
        <f t="shared" si="34"/>
        <v>403.23516981532316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4.826201645186611</v>
      </c>
      <c r="AA24" s="21">
        <f>EXP(-LN(2)/25)*AA23+(1-EXP(-LN(2)/25))/(LN(2)/25)*Calculateur!V24*Calculateur!X24*VLOOKUP('Données projet'!$B$9,Paramètres!$A$1:$I$89,3,0)*0.475*44/12</f>
        <v>14.657769228933137</v>
      </c>
      <c r="AB24" s="21">
        <f>EXP(-LN(2)/2)*AB23+(1-EXP(-LN(2)/2))/(LN(2)/2)*V24*Y24*VLOOKUP('Données projet'!$B$9,Paramètres!$A$1:$I$89,3,0)*0.475*44/12</f>
        <v>12.171453317409432</v>
      </c>
      <c r="AC24" s="22">
        <f t="shared" si="3"/>
        <v>31.655424191529178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6.4429411764705877</v>
      </c>
      <c r="AI24" s="13">
        <f>IF('Données projet'!$A$62&gt;35,AI23+AH24-AQ23,IF(A24&lt;'Données projet'!$A$62,$AF$205^A24,IF(A24='Données projet'!$A$62,'Données projet'!$B$62,AI23+AH24-AQ23)))</f>
        <v>135.30176470588231</v>
      </c>
      <c r="AJ24" s="13">
        <f>AI24*VLOOKUP('Données projet'!$B$10,Paramètres!$A$1:$I$89,3,0)*VLOOKUP('Données projet'!$B$10,Paramètres!$A$1:$I$89,5,0)</f>
        <v>63.32122588235292</v>
      </c>
      <c r="AK24" s="13">
        <f t="shared" si="35"/>
        <v>18.005328064652414</v>
      </c>
      <c r="AL24" s="20">
        <f t="shared" si="4"/>
        <v>141.64374812436762</v>
      </c>
      <c r="AM24" s="59">
        <f t="shared" si="5"/>
        <v>434.97708145770093</v>
      </c>
      <c r="AN24" s="59">
        <f ca="1">AVERAGE(OFFSET($AM$3,0,0,'Données projet'!$E$10+1,1))-AVERAGE(OFFSET($H$3,0,0,'Données projet'!$E$10+1,1))</f>
        <v>187.82209112143374</v>
      </c>
      <c r="AO24" s="59">
        <f t="shared" si="36"/>
        <v>158.99136654880203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5.1282051282051295</v>
      </c>
      <c r="BD24" s="12">
        <f>IF('Données projet'!$A$88&gt;35,BD23+BC24-BL23,IF(A24&lt;'Données projet'!$A$88,$BA$205^A24,IF(A24='Données projet'!$A$88,'Données projet'!$B$88,BD23+BC24-BL23)))</f>
        <v>42.307692307692292</v>
      </c>
      <c r="BE24" s="13">
        <f>BD24*VLOOKUP('Données projet'!$B$11,Paramètres!$A$1:$I$89,3,0)*VLOOKUP('Données projet'!$B$11,Paramètres!$A$1:$I$89,5,0)</f>
        <v>44.219999999999985</v>
      </c>
      <c r="BF24" s="13">
        <f t="shared" si="37"/>
        <v>13.110546100999768</v>
      </c>
      <c r="BG24" s="20">
        <f t="shared" si="7"/>
        <v>99.850701125907904</v>
      </c>
      <c r="BH24" s="59">
        <f t="shared" si="8"/>
        <v>393.18403445924122</v>
      </c>
      <c r="BI24" s="59">
        <f ca="1">AVERAGE(OFFSET($BH$3,0,0,'Données projet'!$E$11+1,1))-AVERAGE(OFFSET($H$3,0,0,'Données projet'!$E$11+1,1))</f>
        <v>140.32771978791288</v>
      </c>
      <c r="BJ24" s="59">
        <f t="shared" si="38"/>
        <v>135.76866977947634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4.474080696254239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4.474080696254239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3.3603333333333336</v>
      </c>
      <c r="BY24" s="12">
        <f>IF('Données projet'!$A$114&gt;35,BY23+BX24-CG23,IF(A24&lt;'Données projet'!$A$114,$BV$205^A24,IF(A24='Données projet'!$A$114,'Données projet'!$B$114,BY23+BX24-CG23)))</f>
        <v>70.567000000000036</v>
      </c>
      <c r="BZ24" s="13">
        <f>BY24*VLOOKUP('Données projet'!$B$12,Paramètres!$A$1:$I$89,3,0)*VLOOKUP('Données projet'!$B$12,Paramètres!$A$1:$I$89,5,0)</f>
        <v>71.55493800000005</v>
      </c>
      <c r="CA24" s="13">
        <f t="shared" si="39"/>
        <v>20.059108341436531</v>
      </c>
      <c r="CB24" s="20">
        <f t="shared" si="10"/>
        <v>159.56113071133535</v>
      </c>
      <c r="CC24" s="59">
        <f t="shared" si="11"/>
        <v>452.89446404466867</v>
      </c>
      <c r="CD24" s="59">
        <f ca="1">AVERAGE(OFFSET($CC$3,0,0,'Données projet'!$E$12+1,1))-AVERAGE(OFFSET($H$3,0,0,'Données projet'!$E$12+1,1))</f>
        <v>372.05986520199804</v>
      </c>
      <c r="CE24" s="59">
        <f t="shared" si="40"/>
        <v>184.37981929432044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4.0942857142857143</v>
      </c>
      <c r="CT24" s="12">
        <f>IF('Données projet'!$A$140&gt;35,CT23+CS24-DB23,IF(A24&lt;'Données projet'!$A$140,$CQ$205^A24,IF(A24='Données projet'!$A$140,'Données projet'!$B$140,CT23+CS24-DB23)))</f>
        <v>85.980000000000047</v>
      </c>
      <c r="CU24" s="17">
        <f>CT24*VLOOKUP('Données projet'!$B$13,Paramètres!$A$1:$I$89,3,0)*VLOOKUP('Données projet'!$B$13,Paramètres!$A$1:$I$89,5,0)</f>
        <v>77.794704000000038</v>
      </c>
      <c r="CV24" s="13">
        <f t="shared" si="41"/>
        <v>21.597103708846074</v>
      </c>
      <c r="CW24" s="20">
        <f t="shared" si="13"/>
        <v>173.10739842624028</v>
      </c>
      <c r="CX24" s="59">
        <f t="shared" si="14"/>
        <v>466.44073175957362</v>
      </c>
      <c r="CY24" s="59">
        <f ca="1">AVERAGE(OFFSET($CX$3,0,0,'Données projet'!$E$13+1,1))-AVERAGE(OFFSET($H$3,0,0,'Données projet'!$E$13+1,1))</f>
        <v>479.84731392413374</v>
      </c>
      <c r="CZ24" s="59">
        <f t="shared" si="42"/>
        <v>203.57601099841213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24.238333333333333</v>
      </c>
      <c r="N25" s="13">
        <f>IF('Données projet'!$A$36&gt;35,N24+M25-V24,IF(A25&lt;'Données projet'!$A$36,$K$205^A25,IF(A25='Données projet'!$A$36,'Données projet'!$B$36,N24+M25-V24)))</f>
        <v>201.36666666666667</v>
      </c>
      <c r="O25" s="13">
        <f>N25*VLOOKUP('Données projet'!$B$9,Paramètres!$A$1:$I$89,3,0)*VLOOKUP('Données projet'!$B$9,Paramètres!$A$1:$I$89,5,0)</f>
        <v>120.41726666666668</v>
      </c>
      <c r="P25" s="13">
        <f t="shared" si="33"/>
        <v>31.772300222074016</v>
      </c>
      <c r="Q25" s="20">
        <f t="shared" si="2"/>
        <v>265.06349566455668</v>
      </c>
      <c r="R25" s="59">
        <f t="shared" si="0"/>
        <v>558.39682899789</v>
      </c>
      <c r="S25" s="59">
        <f ca="1">AVERAGE(OFFSET($R$3,0,0,'Données projet'!$E$9+1,1))-AVERAGE(OFFSET($H$3,0,0,'Données projet'!$E$9+1,1))</f>
        <v>322.7909000321435</v>
      </c>
      <c r="T25" s="59">
        <f t="shared" si="34"/>
        <v>403.23516981532316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4.7315627746168394</v>
      </c>
      <c r="AA25" s="21">
        <f>EXP(-LN(2)/25)*AA24+(1-EXP(-LN(2)/25))/(LN(2)/25)*Calculateur!V25*Calculateur!X25*VLOOKUP('Données projet'!$B$9,Paramètres!$A$1:$I$89,3,0)*0.475*44/12</f>
        <v>14.256951758549377</v>
      </c>
      <c r="AB25" s="21">
        <f>EXP(-LN(2)/2)*AB24+(1-EXP(-LN(2)/2))/(LN(2)/2)*V25*Y25*VLOOKUP('Données projet'!$B$9,Paramètres!$A$1:$I$89,3,0)*0.475*44/12</f>
        <v>8.606517177635709</v>
      </c>
      <c r="AC25" s="22">
        <f t="shared" si="3"/>
        <v>27.595031710801926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6.4429411764705877</v>
      </c>
      <c r="AI25" s="13">
        <f>IF('Données projet'!$A$62&gt;35,AI24+AH25-AQ24,IF(A25&lt;'Données projet'!$A$62,$AF$205^A25,IF(A25='Données projet'!$A$62,'Données projet'!$B$62,AI24+AH25-AQ24)))</f>
        <v>141.74470588235289</v>
      </c>
      <c r="AJ25" s="13">
        <f>AI25*VLOOKUP('Données projet'!$B$10,Paramètres!$A$1:$I$89,3,0)*VLOOKUP('Données projet'!$B$10,Paramètres!$A$1:$I$89,5,0)</f>
        <v>66.336522352941145</v>
      </c>
      <c r="AK25" s="13">
        <f t="shared" si="35"/>
        <v>18.760860351910516</v>
      </c>
      <c r="AL25" s="20">
        <f t="shared" si="4"/>
        <v>148.21127487761666</v>
      </c>
      <c r="AM25" s="59">
        <f t="shared" si="5"/>
        <v>441.54460821094995</v>
      </c>
      <c r="AN25" s="59">
        <f ca="1">AVERAGE(OFFSET($AM$3,0,0,'Données projet'!$E$10+1,1))-AVERAGE(OFFSET($H$3,0,0,'Données projet'!$E$10+1,1))</f>
        <v>187.82209112143374</v>
      </c>
      <c r="AO25" s="59">
        <f t="shared" si="36"/>
        <v>158.99136654880203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5.1282051282051295</v>
      </c>
      <c r="BD25" s="12">
        <f>IF('Données projet'!$A$88&gt;35,BD24+BC25-BL24,IF(A25&lt;'Données projet'!$A$88,$BA$205^A25,IF(A25='Données projet'!$A$88,'Données projet'!$B$88,BD24+BC25-BL24)))</f>
        <v>47.435897435897424</v>
      </c>
      <c r="BE25" s="13">
        <f>BD25*VLOOKUP('Données projet'!$B$11,Paramètres!$A$1:$I$89,3,0)*VLOOKUP('Données projet'!$B$11,Paramètres!$A$1:$I$89,5,0)</f>
        <v>49.579999999999991</v>
      </c>
      <c r="BF25" s="13">
        <f t="shared" si="37"/>
        <v>14.505239638165149</v>
      </c>
      <c r="BG25" s="20">
        <f t="shared" si="7"/>
        <v>111.61512570313761</v>
      </c>
      <c r="BH25" s="59">
        <f t="shared" si="8"/>
        <v>404.94845903647092</v>
      </c>
      <c r="BI25" s="59">
        <f ca="1">AVERAGE(OFFSET($BH$3,0,0,'Données projet'!$E$11+1,1))-AVERAGE(OFFSET($H$3,0,0,'Données projet'!$E$11+1,1))</f>
        <v>140.32771978791288</v>
      </c>
      <c r="BJ25" s="59">
        <f t="shared" si="38"/>
        <v>135.76866977947634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4.351736724333489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4.351736724333489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3.3603333333333336</v>
      </c>
      <c r="BY25" s="12">
        <f>IF('Données projet'!$A$114&gt;35,BY24+BX25-CG24,IF(A25&lt;'Données projet'!$A$114,$BV$205^A25,IF(A25='Données projet'!$A$114,'Données projet'!$B$114,BY24+BX25-CG24)))</f>
        <v>73.927333333333365</v>
      </c>
      <c r="BZ25" s="13">
        <f>BY25*VLOOKUP('Données projet'!$B$12,Paramètres!$A$1:$I$89,3,0)*VLOOKUP('Données projet'!$B$12,Paramètres!$A$1:$I$89,5,0)</f>
        <v>74.962316000000044</v>
      </c>
      <c r="CA25" s="13">
        <f t="shared" si="39"/>
        <v>20.900820525249284</v>
      </c>
      <c r="CB25" s="20">
        <f t="shared" si="10"/>
        <v>166.96162944814259</v>
      </c>
      <c r="CC25" s="59">
        <f t="shared" si="11"/>
        <v>460.29496278147587</v>
      </c>
      <c r="CD25" s="59">
        <f ca="1">AVERAGE(OFFSET($CC$3,0,0,'Données projet'!$E$12+1,1))-AVERAGE(OFFSET($H$3,0,0,'Données projet'!$E$12+1,1))</f>
        <v>372.05986520199804</v>
      </c>
      <c r="CE25" s="59">
        <f t="shared" si="40"/>
        <v>184.37981929432044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4.0942857142857143</v>
      </c>
      <c r="CT25" s="12">
        <f>IF('Données projet'!$A$140&gt;35,CT24+CS25-DB24,IF(A25&lt;'Données projet'!$A$140,$CQ$205^A25,IF(A25='Données projet'!$A$140,'Données projet'!$B$140,CT24+CS25-DB24)))</f>
        <v>90.074285714285764</v>
      </c>
      <c r="CU25" s="17">
        <f>CT25*VLOOKUP('Données projet'!$B$13,Paramètres!$A$1:$I$89,3,0)*VLOOKUP('Données projet'!$B$13,Paramètres!$A$1:$I$89,5,0)</f>
        <v>81.499213714285759</v>
      </c>
      <c r="CV25" s="13">
        <f t="shared" si="41"/>
        <v>22.503352631648468</v>
      </c>
      <c r="CW25" s="20">
        <f t="shared" si="13"/>
        <v>181.13780305250211</v>
      </c>
      <c r="CX25" s="59">
        <f t="shared" si="14"/>
        <v>474.47113638583539</v>
      </c>
      <c r="CY25" s="59">
        <f ca="1">AVERAGE(OFFSET($CX$3,0,0,'Données projet'!$E$13+1,1))-AVERAGE(OFFSET($H$3,0,0,'Données projet'!$E$13+1,1))</f>
        <v>479.84731392413374</v>
      </c>
      <c r="CZ25" s="59">
        <f t="shared" si="42"/>
        <v>203.57601099841213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24.238333333333333</v>
      </c>
      <c r="N26" s="13">
        <f>IF('Données projet'!$A$36&gt;35,N25+M26-V25,IF(A26&lt;'Données projet'!$A$36,$K$205^A26,IF(A26='Données projet'!$A$36,'Données projet'!$B$36,N25+M26-V25)))</f>
        <v>225.60500000000002</v>
      </c>
      <c r="O26" s="13">
        <f>N26*VLOOKUP('Données projet'!$B$9,Paramètres!$A$1:$I$89,3,0)*VLOOKUP('Données projet'!$B$9,Paramètres!$A$1:$I$89,5,0)</f>
        <v>134.91179000000002</v>
      </c>
      <c r="P26" s="13">
        <f t="shared" si="33"/>
        <v>35.128868426839887</v>
      </c>
      <c r="Q26" s="20">
        <f t="shared" si="2"/>
        <v>296.15414676007953</v>
      </c>
      <c r="R26" s="59">
        <f t="shared" si="0"/>
        <v>589.48748009341284</v>
      </c>
      <c r="S26" s="59">
        <f ca="1">AVERAGE(OFFSET($R$3,0,0,'Données projet'!$E$9+1,1))-AVERAGE(OFFSET($H$3,0,0,'Données projet'!$E$9+1,1))</f>
        <v>322.7909000321435</v>
      </c>
      <c r="T26" s="59">
        <f t="shared" si="34"/>
        <v>403.23516981532316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4.6387797145749303</v>
      </c>
      <c r="AA26" s="21">
        <f>EXP(-LN(2)/25)*AA25+(1-EXP(-LN(2)/25))/(LN(2)/25)*Calculateur!V26*Calculateur!X26*VLOOKUP('Données projet'!$B$9,Paramètres!$A$1:$I$89,3,0)*0.475*44/12</f>
        <v>13.867094662971336</v>
      </c>
      <c r="AB26" s="21">
        <f>EXP(-LN(2)/2)*AB25+(1-EXP(-LN(2)/2))/(LN(2)/2)*V26*Y26*VLOOKUP('Données projet'!$B$9,Paramètres!$A$1:$I$89,3,0)*0.475*44/12</f>
        <v>6.0857266587047159</v>
      </c>
      <c r="AC26" s="22">
        <f t="shared" si="3"/>
        <v>24.591601036250982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6.4429411764705877</v>
      </c>
      <c r="AI26" s="13">
        <f>IF('Données projet'!$A$62&gt;35,AI25+AH26-AQ25,IF(A26&lt;'Données projet'!$A$62,$AF$205^A26,IF(A26='Données projet'!$A$62,'Données projet'!$B$62,AI25+AH26-AQ25)))</f>
        <v>148.18764705882347</v>
      </c>
      <c r="AJ26" s="13">
        <f>AI26*VLOOKUP('Données projet'!$B$10,Paramètres!$A$1:$I$89,3,0)*VLOOKUP('Données projet'!$B$10,Paramètres!$A$1:$I$89,5,0)</f>
        <v>69.351818823529385</v>
      </c>
      <c r="AK26" s="13">
        <f t="shared" si="35"/>
        <v>19.512404292760284</v>
      </c>
      <c r="AL26" s="20">
        <f t="shared" si="4"/>
        <v>154.77185526087118</v>
      </c>
      <c r="AM26" s="59">
        <f t="shared" si="5"/>
        <v>448.10518859420449</v>
      </c>
      <c r="AN26" s="59">
        <f ca="1">AVERAGE(OFFSET($AM$3,0,0,'Données projet'!$E$10+1,1))-AVERAGE(OFFSET($H$3,0,0,'Données projet'!$E$10+1,1))</f>
        <v>187.82209112143374</v>
      </c>
      <c r="AO26" s="59">
        <f t="shared" si="36"/>
        <v>158.99136654880203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5.1282051282051295</v>
      </c>
      <c r="BD26" s="12">
        <f>IF('Données projet'!$A$88&gt;35,BD25+BC26-BL25,IF(A26&lt;'Données projet'!$A$88,$BA$205^A26,IF(A26='Données projet'!$A$88,'Données projet'!$B$88,BD25+BC26-BL25)))</f>
        <v>52.564102564102555</v>
      </c>
      <c r="BE26" s="13">
        <f>BD26*VLOOKUP('Données projet'!$B$11,Paramètres!$A$1:$I$89,3,0)*VLOOKUP('Données projet'!$B$11,Paramètres!$A$1:$I$89,5,0)</f>
        <v>54.94</v>
      </c>
      <c r="BF26" s="13">
        <f t="shared" si="37"/>
        <v>15.88245671832347</v>
      </c>
      <c r="BG26" s="20">
        <f t="shared" si="7"/>
        <v>123.3491121177467</v>
      </c>
      <c r="BH26" s="59">
        <f t="shared" si="8"/>
        <v>416.68244545108001</v>
      </c>
      <c r="BI26" s="59">
        <f ca="1">AVERAGE(OFFSET($BH$3,0,0,'Données projet'!$E$11+1,1))-AVERAGE(OFFSET($H$3,0,0,'Données projet'!$E$11+1,1))</f>
        <v>140.32771978791288</v>
      </c>
      <c r="BJ26" s="59">
        <f t="shared" si="38"/>
        <v>135.76866977947634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4.2327382547587016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4.2327382547587016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3.3603333333333336</v>
      </c>
      <c r="BY26" s="12">
        <f>IF('Données projet'!$A$114&gt;35,BY25+BX26-CG25,IF(A26&lt;'Données projet'!$A$114,$BV$205^A26,IF(A26='Données projet'!$A$114,'Données projet'!$B$114,BY25+BX26-CG25)))</f>
        <v>77.287666666666695</v>
      </c>
      <c r="BZ26" s="13">
        <f>BY26*VLOOKUP('Données projet'!$B$12,Paramètres!$A$1:$I$89,3,0)*VLOOKUP('Données projet'!$B$12,Paramètres!$A$1:$I$89,5,0)</f>
        <v>78.369694000000038</v>
      </c>
      <c r="CA26" s="13">
        <f t="shared" si="39"/>
        <v>21.738089431359974</v>
      </c>
      <c r="CB26" s="20">
        <f t="shared" si="10"/>
        <v>174.35438947628532</v>
      </c>
      <c r="CC26" s="59">
        <f t="shared" si="11"/>
        <v>467.68772280961866</v>
      </c>
      <c r="CD26" s="59">
        <f ca="1">AVERAGE(OFFSET($CC$3,0,0,'Données projet'!$E$12+1,1))-AVERAGE(OFFSET($H$3,0,0,'Données projet'!$E$12+1,1))</f>
        <v>372.05986520199804</v>
      </c>
      <c r="CE26" s="59">
        <f t="shared" si="40"/>
        <v>184.37981929432044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4.0942857142857143</v>
      </c>
      <c r="CT26" s="12">
        <f>IF('Données projet'!$A$140&gt;35,CT25+CS26-DB25,IF(A26&lt;'Données projet'!$A$140,$CQ$205^A26,IF(A26='Données projet'!$A$140,'Données projet'!$B$140,CT25+CS26-DB25)))</f>
        <v>94.168571428571482</v>
      </c>
      <c r="CU26" s="17">
        <f>CT26*VLOOKUP('Données projet'!$B$13,Paramètres!$A$1:$I$89,3,0)*VLOOKUP('Données projet'!$B$13,Paramètres!$A$1:$I$89,5,0)</f>
        <v>85.203723428571479</v>
      </c>
      <c r="CV26" s="13">
        <f t="shared" si="41"/>
        <v>23.404817596574706</v>
      </c>
      <c r="CW26" s="20">
        <f t="shared" si="13"/>
        <v>189.15987561879626</v>
      </c>
      <c r="CX26" s="59">
        <f t="shared" si="14"/>
        <v>482.49320895212958</v>
      </c>
      <c r="CY26" s="59">
        <f ca="1">AVERAGE(OFFSET($CX$3,0,0,'Données projet'!$E$13+1,1))-AVERAGE(OFFSET($H$3,0,0,'Données projet'!$E$13+1,1))</f>
        <v>479.84731392413374</v>
      </c>
      <c r="CZ26" s="59">
        <f t="shared" si="42"/>
        <v>203.57601099841213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24.238333333333333</v>
      </c>
      <c r="N27" s="13">
        <f>IF('Données projet'!$A$36&gt;35,N26+M27-V26,IF(A27&lt;'Données projet'!$A$36,$K$205^A27,IF(A27='Données projet'!$A$36,'Données projet'!$B$36,N26+M27-V26)))</f>
        <v>249.84333333333336</v>
      </c>
      <c r="O27" s="13">
        <f>N27*VLOOKUP('Données projet'!$B$9,Paramètres!$A$1:$I$89,3,0)*VLOOKUP('Données projet'!$B$9,Paramètres!$A$1:$I$89,5,0)</f>
        <v>149.40631333333337</v>
      </c>
      <c r="P27" s="13">
        <f t="shared" si="33"/>
        <v>38.443637071332986</v>
      </c>
      <c r="Q27" s="20">
        <f t="shared" si="2"/>
        <v>327.17199695479388</v>
      </c>
      <c r="R27" s="59">
        <f t="shared" si="0"/>
        <v>620.5053302881272</v>
      </c>
      <c r="S27" s="59">
        <f ca="1">AVERAGE(OFFSET($R$3,0,0,'Données projet'!$E$9+1,1))-AVERAGE(OFFSET($H$3,0,0,'Données projet'!$E$9+1,1))</f>
        <v>322.7909000321435</v>
      </c>
      <c r="T27" s="59">
        <f t="shared" si="34"/>
        <v>403.23516981532316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4.5478160737483639</v>
      </c>
      <c r="AA27" s="21">
        <f>EXP(-LN(2)/25)*AA26+(1-EXP(-LN(2)/25))/(LN(2)/25)*Calculateur!V27*Calculateur!X27*VLOOKUP('Données projet'!$B$9,Paramètres!$A$1:$I$89,3,0)*0.475*44/12</f>
        <v>13.48789823017357</v>
      </c>
      <c r="AB27" s="21">
        <f>EXP(-LN(2)/2)*AB26+(1-EXP(-LN(2)/2))/(LN(2)/2)*V27*Y27*VLOOKUP('Données projet'!$B$9,Paramètres!$A$1:$I$89,3,0)*0.475*44/12</f>
        <v>4.3032585888178545</v>
      </c>
      <c r="AC27" s="22">
        <f t="shared" si="3"/>
        <v>22.33897289273979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6.4429411764705877</v>
      </c>
      <c r="AI27" s="13">
        <f>IF('Données projet'!$A$62&gt;35,AI26+AH27-AQ26,IF(A27&lt;'Données projet'!$A$62,$AF$205^A27,IF(A27='Données projet'!$A$62,'Données projet'!$B$62,AI26+AH27-AQ26)))</f>
        <v>154.63058823529406</v>
      </c>
      <c r="AJ27" s="13">
        <f>AI27*VLOOKUP('Données projet'!$B$10,Paramètres!$A$1:$I$89,3,0)*VLOOKUP('Données projet'!$B$10,Paramètres!$A$1:$I$89,5,0)</f>
        <v>72.36711529411761</v>
      </c>
      <c r="AK27" s="13">
        <f t="shared" si="35"/>
        <v>20.260153113300689</v>
      </c>
      <c r="AL27" s="20">
        <f t="shared" si="4"/>
        <v>161.32582580958686</v>
      </c>
      <c r="AM27" s="59">
        <f t="shared" si="5"/>
        <v>454.6591591429202</v>
      </c>
      <c r="AN27" s="59">
        <f ca="1">AVERAGE(OFFSET($AM$3,0,0,'Données projet'!$E$10+1,1))-AVERAGE(OFFSET($H$3,0,0,'Données projet'!$E$10+1,1))</f>
        <v>187.82209112143374</v>
      </c>
      <c r="AO27" s="59">
        <f t="shared" si="36"/>
        <v>158.99136654880203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5.1282051282051295</v>
      </c>
      <c r="BD27" s="12">
        <f>IF('Données projet'!$A$88&gt;35,BD26+BC27-BL26,IF(A27&lt;'Données projet'!$A$88,$BA$205^A27,IF(A27='Données projet'!$A$88,'Données projet'!$B$88,BD26+BC27-BL26)))</f>
        <v>57.692307692307686</v>
      </c>
      <c r="BE27" s="13">
        <f>BD27*VLOOKUP('Données projet'!$B$11,Paramètres!$A$1:$I$89,3,0)*VLOOKUP('Données projet'!$B$11,Paramètres!$A$1:$I$89,5,0)</f>
        <v>60.300000000000004</v>
      </c>
      <c r="BF27" s="13">
        <f t="shared" si="37"/>
        <v>17.24409639377615</v>
      </c>
      <c r="BG27" s="20">
        <f t="shared" si="7"/>
        <v>135.05596788582679</v>
      </c>
      <c r="BH27" s="59">
        <f t="shared" si="8"/>
        <v>428.38930121916007</v>
      </c>
      <c r="BI27" s="59">
        <f ca="1">AVERAGE(OFFSET($BH$3,0,0,'Données projet'!$E$11+1,1))-AVERAGE(OFFSET($H$3,0,0,'Données projet'!$E$11+1,1))</f>
        <v>140.32771978791288</v>
      </c>
      <c r="BJ27" s="59">
        <f t="shared" si="38"/>
        <v>135.76866977947634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4.116993804592294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4.116993804592294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3.3603333333333336</v>
      </c>
      <c r="BY27" s="12">
        <f>IF('Données projet'!$A$114&gt;35,BY26+BX27-CG26,IF(A27&lt;'Données projet'!$A$114,$BV$205^A27,IF(A27='Données projet'!$A$114,'Données projet'!$B$114,BY26+BX27-CG26)))</f>
        <v>80.648000000000025</v>
      </c>
      <c r="BZ27" s="13">
        <f>BY27*VLOOKUP('Données projet'!$B$12,Paramètres!$A$1:$I$89,3,0)*VLOOKUP('Données projet'!$B$12,Paramètres!$A$1:$I$89,5,0)</f>
        <v>81.777072000000032</v>
      </c>
      <c r="CA27" s="13">
        <f t="shared" si="39"/>
        <v>22.571130326229738</v>
      </c>
      <c r="CB27" s="20">
        <f t="shared" si="10"/>
        <v>181.7397857181835</v>
      </c>
      <c r="CC27" s="59">
        <f t="shared" si="11"/>
        <v>475.07311905151681</v>
      </c>
      <c r="CD27" s="59">
        <f ca="1">AVERAGE(OFFSET($CC$3,0,0,'Données projet'!$E$12+1,1))-AVERAGE(OFFSET($H$3,0,0,'Données projet'!$E$12+1,1))</f>
        <v>372.05986520199804</v>
      </c>
      <c r="CE27" s="59">
        <f t="shared" si="40"/>
        <v>184.37981929432044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4.0942857142857143</v>
      </c>
      <c r="CT27" s="12">
        <f>IF('Données projet'!$A$140&gt;35,CT26+CS27-DB26,IF(A27&lt;'Données projet'!$A$140,$CQ$205^A27,IF(A27='Données projet'!$A$140,'Données projet'!$B$140,CT26+CS27-DB26)))</f>
        <v>98.2628571428572</v>
      </c>
      <c r="CU27" s="17">
        <f>CT27*VLOOKUP('Données projet'!$B$13,Paramètres!$A$1:$I$89,3,0)*VLOOKUP('Données projet'!$B$13,Paramètres!$A$1:$I$89,5,0)</f>
        <v>88.908233142857185</v>
      </c>
      <c r="CV27" s="13">
        <f t="shared" si="41"/>
        <v>24.301730375247274</v>
      </c>
      <c r="CW27" s="20">
        <f t="shared" si="13"/>
        <v>197.17401979403192</v>
      </c>
      <c r="CX27" s="59">
        <f t="shared" si="14"/>
        <v>490.50735312736526</v>
      </c>
      <c r="CY27" s="59">
        <f ca="1">AVERAGE(OFFSET($CX$3,0,0,'Données projet'!$E$13+1,1))-AVERAGE(OFFSET($H$3,0,0,'Données projet'!$E$13+1,1))</f>
        <v>479.84731392413374</v>
      </c>
      <c r="CZ27" s="59">
        <f t="shared" si="42"/>
        <v>203.57601099841213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24.238333333333333</v>
      </c>
      <c r="N28" s="13">
        <f>IF('Données projet'!$A$36&gt;35,N27+M28-V27,IF(A28&lt;'Données projet'!$A$36,$K$205^A28,IF(A28='Données projet'!$A$36,'Données projet'!$B$36,N27+M28-V27)))</f>
        <v>274.08166666666671</v>
      </c>
      <c r="O28" s="13">
        <f>N28*VLOOKUP('Données projet'!$B$9,Paramètres!$A$1:$I$89,3,0)*VLOOKUP('Données projet'!$B$9,Paramètres!$A$1:$I$89,5,0)</f>
        <v>163.90083666666669</v>
      </c>
      <c r="P28" s="13">
        <f t="shared" si="33"/>
        <v>41.721122750851265</v>
      </c>
      <c r="Q28" s="20">
        <f t="shared" si="2"/>
        <v>358.12491265217704</v>
      </c>
      <c r="R28" s="59">
        <f t="shared" si="0"/>
        <v>651.4582459855103</v>
      </c>
      <c r="S28" s="59">
        <f ca="1">AVERAGE(OFFSET($R$3,0,0,'Données projet'!$E$9+1,1))-AVERAGE(OFFSET($H$3,0,0,'Données projet'!$E$9+1,1))</f>
        <v>322.7909000321435</v>
      </c>
      <c r="T28" s="59">
        <f t="shared" si="34"/>
        <v>403.23516981532316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4.4586361744360641</v>
      </c>
      <c r="AA28" s="21">
        <f>EXP(-LN(2)/25)*AA27+(1-EXP(-LN(2)/25))/(LN(2)/25)*Calculateur!V28*Calculateur!X28*VLOOKUP('Données projet'!$B$9,Paramètres!$A$1:$I$89,3,0)*0.475*44/12</f>
        <v>13.119070943771733</v>
      </c>
      <c r="AB28" s="21">
        <f>EXP(-LN(2)/2)*AB27+(1-EXP(-LN(2)/2))/(LN(2)/2)*V28*Y28*VLOOKUP('Données projet'!$B$9,Paramètres!$A$1:$I$89,3,0)*0.475*44/12</f>
        <v>3.0428633293523579</v>
      </c>
      <c r="AC28" s="22">
        <f t="shared" si="3"/>
        <v>20.620570447560155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6.4429411764705877</v>
      </c>
      <c r="AI28" s="13">
        <f>IF('Données projet'!$A$62&gt;35,AI27+AH28-AQ27,IF(A28&lt;'Données projet'!$A$62,$AF$205^A28,IF(A28='Données projet'!$A$62,'Données projet'!$B$62,AI27+AH28-AQ27)))</f>
        <v>161.07352941176464</v>
      </c>
      <c r="AJ28" s="13">
        <f>AI28*VLOOKUP('Données projet'!$B$10,Paramètres!$A$1:$I$89,3,0)*VLOOKUP('Données projet'!$B$10,Paramètres!$A$1:$I$89,5,0)</f>
        <v>75.38241176470585</v>
      </c>
      <c r="AK28" s="13">
        <f t="shared" si="35"/>
        <v>21.004283026460243</v>
      </c>
      <c r="AL28" s="20">
        <f t="shared" si="4"/>
        <v>167.87349342794758</v>
      </c>
      <c r="AM28" s="59">
        <f t="shared" si="5"/>
        <v>461.20682676128092</v>
      </c>
      <c r="AN28" s="59">
        <f ca="1">AVERAGE(OFFSET($AM$3,0,0,'Données projet'!$E$10+1,1))-AVERAGE(OFFSET($H$3,0,0,'Données projet'!$E$10+1,1))</f>
        <v>187.82209112143374</v>
      </c>
      <c r="AO28" s="59">
        <f t="shared" si="36"/>
        <v>158.99136654880203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62.820512820512818</v>
      </c>
      <c r="BB28" s="12">
        <f>VLOOKUP(A28,'Données projet'!$A$87:$I$107,9,0)</f>
        <v>5.1282051282051295</v>
      </c>
      <c r="BC28" s="12">
        <f t="array" ref="BC28">INDEX(BB:BB,MIN(IF(ISNUMBER(BB28:BB224),ROW(BB28:BB224),"")))</f>
        <v>5.1282051282051295</v>
      </c>
      <c r="BD28" s="12">
        <f>IF('Données projet'!$A$88&gt;35,BD27+BC28-BL27,IF(A28&lt;'Données projet'!$A$88,$BA$205^A28,IF(A28='Données projet'!$A$88,'Données projet'!$B$88,BD27+BC28-BL27)))</f>
        <v>62.820512820512818</v>
      </c>
      <c r="BE28" s="13">
        <f>BD28*VLOOKUP('Données projet'!$B$11,Paramètres!$A$1:$I$89,3,0)*VLOOKUP('Données projet'!$B$11,Paramètres!$A$1:$I$89,5,0)</f>
        <v>65.660000000000011</v>
      </c>
      <c r="BF28" s="13">
        <f t="shared" si="37"/>
        <v>18.591700776040714</v>
      </c>
      <c r="BG28" s="20">
        <f t="shared" si="7"/>
        <v>146.73837885160424</v>
      </c>
      <c r="BH28" s="59">
        <f t="shared" si="8"/>
        <v>440.07171218493755</v>
      </c>
      <c r="BI28" s="59">
        <f ca="1">AVERAGE(OFFSET($BH$3,0,0,'Données projet'!$E$11+1,1))-AVERAGE(OFFSET($H$3,0,0,'Données projet'!$E$11+1,1))</f>
        <v>140.32771978791288</v>
      </c>
      <c r="BJ28" s="59">
        <f t="shared" si="38"/>
        <v>135.76866977947634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12.179487179487179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0.215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7.0181185401743438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7.0181185401743438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3.3603333333333336</v>
      </c>
      <c r="BY28" s="12">
        <f>IF('Données projet'!$A$114&gt;35,BY27+BX28-CG27,IF(A28&lt;'Données projet'!$A$114,$BV$205^A28,IF(A28='Données projet'!$A$114,'Données projet'!$B$114,BY27+BX28-CG27)))</f>
        <v>84.008333333333354</v>
      </c>
      <c r="BZ28" s="13">
        <f>BY28*VLOOKUP('Données projet'!$B$12,Paramètres!$A$1:$I$89,3,0)*VLOOKUP('Données projet'!$B$12,Paramètres!$A$1:$I$89,5,0)</f>
        <v>85.184450000000027</v>
      </c>
      <c r="CA28" s="13">
        <f t="shared" si="39"/>
        <v>23.400139522539501</v>
      </c>
      <c r="CB28" s="20">
        <f t="shared" si="10"/>
        <v>189.1181600850897</v>
      </c>
      <c r="CC28" s="59">
        <f t="shared" si="11"/>
        <v>482.45149341842301</v>
      </c>
      <c r="CD28" s="59">
        <f ca="1">AVERAGE(OFFSET($CC$3,0,0,'Données projet'!$E$12+1,1))-AVERAGE(OFFSET($H$3,0,0,'Données projet'!$E$12+1,1))</f>
        <v>372.05986520199804</v>
      </c>
      <c r="CE28" s="59">
        <f t="shared" si="40"/>
        <v>184.37981929432044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4.0942857142857143</v>
      </c>
      <c r="CT28" s="12">
        <f>IF('Données projet'!$A$140&gt;35,CT27+CS28-DB27,IF(A28&lt;'Données projet'!$A$140,$CQ$205^A28,IF(A28='Données projet'!$A$140,'Données projet'!$B$140,CT27+CS28-DB27)))</f>
        <v>102.35714285714292</v>
      </c>
      <c r="CU28" s="17">
        <f>CT28*VLOOKUP('Données projet'!$B$13,Paramètres!$A$1:$I$89,3,0)*VLOOKUP('Données projet'!$B$13,Paramètres!$A$1:$I$89,5,0)</f>
        <v>92.612742857142905</v>
      </c>
      <c r="CV28" s="13">
        <f t="shared" si="41"/>
        <v>25.194302332262133</v>
      </c>
      <c r="CW28" s="20">
        <f t="shared" si="13"/>
        <v>205.18060370488044</v>
      </c>
      <c r="CX28" s="59">
        <f t="shared" si="14"/>
        <v>498.51393703821373</v>
      </c>
      <c r="CY28" s="59">
        <f ca="1">AVERAGE(OFFSET($CX$3,0,0,'Données projet'!$E$13+1,1))-AVERAGE(OFFSET($H$3,0,0,'Données projet'!$E$13+1,1))</f>
        <v>479.84731392413374</v>
      </c>
      <c r="CZ28" s="59">
        <f t="shared" si="42"/>
        <v>203.57601099841213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298.32</v>
      </c>
      <c r="L29" s="12">
        <f>VLOOKUP(A29,'Données projet'!$A$35:$I$55,9,0)</f>
        <v>24.238333333333333</v>
      </c>
      <c r="M29" s="12">
        <f t="array" ref="M29">INDEX(L:L,MIN(IF(ISNUMBER(L29:L225),ROW(L29:L225),"")))</f>
        <v>24.238333333333333</v>
      </c>
      <c r="N29" s="13">
        <f>IF('Données projet'!$A$36&gt;35,N28+M29-V28,IF(A29&lt;'Données projet'!$A$36,$K$205^A29,IF(A29='Données projet'!$A$36,'Données projet'!$B$36,N28+M29-V28)))</f>
        <v>298.32000000000005</v>
      </c>
      <c r="O29" s="13">
        <f>N29*VLOOKUP('Données projet'!$B$9,Paramètres!$A$1:$I$89,3,0)*VLOOKUP('Données projet'!$B$9,Paramètres!$A$1:$I$89,5,0)</f>
        <v>178.39536000000007</v>
      </c>
      <c r="P29" s="13">
        <f t="shared" si="33"/>
        <v>44.964997487846667</v>
      </c>
      <c r="Q29" s="20">
        <f t="shared" si="2"/>
        <v>389.01928929133305</v>
      </c>
      <c r="R29" s="59">
        <f t="shared" si="0"/>
        <v>682.35262262466631</v>
      </c>
      <c r="S29" s="59">
        <f ca="1">AVERAGE(OFFSET($R$3,0,0,'Données projet'!$E$9+1,1))-AVERAGE(OFFSET($H$3,0,0,'Données projet'!$E$9+1,1))</f>
        <v>322.7909000321435</v>
      </c>
      <c r="T29" s="59">
        <f t="shared" si="34"/>
        <v>403.23516981532316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56.150000000000006</v>
      </c>
      <c r="W29" s="16">
        <f>IF(ISNA(VLOOKUP(A29,'Données projet'!$A$35:$I$55,5,0)),0%,VLOOKUP(A29,'Données projet'!$A$35:$I$55,5,0)*VLOOKUP('Données projet'!$B$9,Paramètres!$A$1:$I$89,7,0))</f>
        <v>0.27</v>
      </c>
      <c r="X29" s="16">
        <f>IF(ISNA(VLOOKUP(A29,'Données projet'!$A$35:$I$55,6,0)),0%,VLOOKUP(A29,'Données projet'!$A$35:$I$55,6,0)*VLOOKUP('Données projet'!$B$9,Paramètres!$A$1:$I$89,7,0))</f>
        <v>9.0000000000000011E-2</v>
      </c>
      <c r="Y29" s="16">
        <f>IF(ISNA(VLOOKUP(A29,'Données projet'!$A$35:$I$55,7,0)),0%,VLOOKUP(A29,'Données projet'!$A$35:$I$55,7,0))</f>
        <v>0.2</v>
      </c>
      <c r="Z29" s="21">
        <f>EXP(-LN(2)/35)*Z28+(1-EXP(-LN(2)/35))/(LN(2)/35)*V29*W29*VLOOKUP('Données projet'!$B$9,Paramètres!$A$1:$I$89,3,0)*0.475*44/12</f>
        <v>16.397810533716221</v>
      </c>
      <c r="AA29" s="21">
        <f>EXP(-LN(2)/25)*AA28+(1-EXP(-LN(2)/25))/(LN(2)/25)*Calculateur!V29*Calculateur!X29*VLOOKUP('Données projet'!$B$9,Paramètres!$A$1:$I$89,3,0)*0.475*44/12</f>
        <v>16.753413314522639</v>
      </c>
      <c r="AB29" s="21">
        <f>EXP(-LN(2)/2)*AB28+(1-EXP(-LN(2)/2))/(LN(2)/2)*V29*Y29*VLOOKUP('Données projet'!$B$9,Paramètres!$A$1:$I$89,3,0)*0.475*44/12</f>
        <v>9.7551805777398108</v>
      </c>
      <c r="AC29" s="22">
        <f t="shared" si="3"/>
        <v>42.906404425978664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6.4429411764705877</v>
      </c>
      <c r="AI29" s="13">
        <f>IF('Données projet'!$A$62&gt;35,AI28+AH29-AQ28,IF(A29&lt;'Données projet'!$A$62,$AF$205^A29,IF(A29='Données projet'!$A$62,'Données projet'!$B$62,AI28+AH29-AQ28)))</f>
        <v>167.51647058823522</v>
      </c>
      <c r="AJ29" s="13">
        <f>AI29*VLOOKUP('Données projet'!$B$10,Paramètres!$A$1:$I$89,3,0)*VLOOKUP('Données projet'!$B$10,Paramètres!$A$1:$I$89,5,0)</f>
        <v>78.39770823529409</v>
      </c>
      <c r="AK29" s="13">
        <f t="shared" si="35"/>
        <v>21.744955350195998</v>
      </c>
      <c r="AL29" s="20">
        <f t="shared" si="4"/>
        <v>174.41513907806188</v>
      </c>
      <c r="AM29" s="59">
        <f t="shared" si="5"/>
        <v>467.7484724113952</v>
      </c>
      <c r="AN29" s="59">
        <f ca="1">AVERAGE(OFFSET($AM$3,0,0,'Données projet'!$E$10+1,1))-AVERAGE(OFFSET($H$3,0,0,'Données projet'!$E$10+1,1))</f>
        <v>187.82209112143374</v>
      </c>
      <c r="AO29" s="59">
        <f t="shared" si="36"/>
        <v>158.99136654880203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5.1282051282051295</v>
      </c>
      <c r="BD29" s="12">
        <f>IF('Données projet'!$A$88&gt;35,BD28+BC29-BL28,IF(A29&lt;'Données projet'!$A$88,$BA$205^A29,IF(A29='Données projet'!$A$88,'Données projet'!$B$88,BD28+BC29-BL28)))</f>
        <v>55.769230769230759</v>
      </c>
      <c r="BE29" s="13">
        <f>BD29*VLOOKUP('Données projet'!$B$11,Paramètres!$A$1:$I$89,3,0)*VLOOKUP('Données projet'!$B$11,Paramètres!$A$1:$I$89,5,0)</f>
        <v>58.29</v>
      </c>
      <c r="BF29" s="13">
        <f t="shared" si="37"/>
        <v>16.735202513714196</v>
      </c>
      <c r="BG29" s="20">
        <f t="shared" si="7"/>
        <v>130.66889437805222</v>
      </c>
      <c r="BH29" s="59">
        <f t="shared" si="8"/>
        <v>424.00222771138556</v>
      </c>
      <c r="BI29" s="59">
        <f ca="1">AVERAGE(OFFSET($BH$3,0,0,'Données projet'!$E$11+1,1))-AVERAGE(OFFSET($H$3,0,0,'Données projet'!$E$11+1,1))</f>
        <v>140.32771978791288</v>
      </c>
      <c r="BJ29" s="59">
        <f t="shared" si="38"/>
        <v>135.76866977947634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6.8262077196264626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6.8262077196264626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3.3603333333333336</v>
      </c>
      <c r="BY29" s="12">
        <f>IF('Données projet'!$A$114&gt;35,BY28+BX29-CG28,IF(A29&lt;'Données projet'!$A$114,$BV$205^A29,IF(A29='Données projet'!$A$114,'Données projet'!$B$114,BY28+BX29-CG28)))</f>
        <v>87.368666666666684</v>
      </c>
      <c r="BZ29" s="13">
        <f>BY29*VLOOKUP('Données projet'!$B$12,Paramètres!$A$1:$I$89,3,0)*VLOOKUP('Données projet'!$B$12,Paramètres!$A$1:$I$89,5,0)</f>
        <v>88.591828000000021</v>
      </c>
      <c r="CA29" s="13">
        <f t="shared" si="39"/>
        <v>24.225296739001799</v>
      </c>
      <c r="CB29" s="20">
        <f t="shared" si="10"/>
        <v>196.48982558709483</v>
      </c>
      <c r="CC29" s="59">
        <f t="shared" si="11"/>
        <v>489.82315892042811</v>
      </c>
      <c r="CD29" s="59">
        <f ca="1">AVERAGE(OFFSET($CC$3,0,0,'Données projet'!$E$12+1,1))-AVERAGE(OFFSET($H$3,0,0,'Données projet'!$E$12+1,1))</f>
        <v>372.05986520199804</v>
      </c>
      <c r="CE29" s="59">
        <f t="shared" si="40"/>
        <v>184.37981929432044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4.0942857142857143</v>
      </c>
      <c r="CT29" s="12">
        <f>IF('Données projet'!$A$140&gt;35,CT28+CS29-DB28,IF(A29&lt;'Données projet'!$A$140,$CQ$205^A29,IF(A29='Données projet'!$A$140,'Données projet'!$B$140,CT28+CS29-DB28)))</f>
        <v>106.45142857142864</v>
      </c>
      <c r="CU29" s="17">
        <f>CT29*VLOOKUP('Données projet'!$B$13,Paramètres!$A$1:$I$89,3,0)*VLOOKUP('Données projet'!$B$13,Paramètres!$A$1:$I$89,5,0)</f>
        <v>96.317252571428625</v>
      </c>
      <c r="CV29" s="13">
        <f t="shared" si="41"/>
        <v>26.082726965934707</v>
      </c>
      <c r="CW29" s="20">
        <f t="shared" si="13"/>
        <v>213.1799643609078</v>
      </c>
      <c r="CX29" s="59">
        <f t="shared" si="14"/>
        <v>506.51329769424115</v>
      </c>
      <c r="CY29" s="59">
        <f ca="1">AVERAGE(OFFSET($CX$3,0,0,'Données projet'!$E$13+1,1))-AVERAGE(OFFSET($H$3,0,0,'Données projet'!$E$13+1,1))</f>
        <v>479.84731392413374</v>
      </c>
      <c r="CZ29" s="59">
        <f t="shared" si="42"/>
        <v>203.57601099841213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24.998333333333338</v>
      </c>
      <c r="N30" s="13">
        <f>IF('Données projet'!$A$36&gt;35,N29+M30-V29,IF(A30&lt;'Données projet'!$A$36,$K$205^A30,IF(A30='Données projet'!$A$36,'Données projet'!$B$36,N29+M30-V29)))</f>
        <v>267.16833333333341</v>
      </c>
      <c r="O30" s="13">
        <f>N30*VLOOKUP('Données projet'!$B$9,Paramètres!$A$1:$I$89,3,0)*VLOOKUP('Données projet'!$B$9,Paramètres!$A$1:$I$89,5,0)</f>
        <v>159.76666333333338</v>
      </c>
      <c r="P30" s="13">
        <f t="shared" si="33"/>
        <v>40.789881200769877</v>
      </c>
      <c r="Q30" s="20">
        <f t="shared" si="2"/>
        <v>349.30264839689653</v>
      </c>
      <c r="R30" s="59">
        <f t="shared" si="0"/>
        <v>642.63598173022979</v>
      </c>
      <c r="S30" s="59">
        <f ca="1">AVERAGE(OFFSET($R$3,0,0,'Données projet'!$E$9+1,1))-AVERAGE(OFFSET($H$3,0,0,'Données projet'!$E$9+1,1))</f>
        <v>322.7909000321435</v>
      </c>
      <c r="T30" s="59">
        <f t="shared" si="34"/>
        <v>403.23516981532316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16.076259470826887</v>
      </c>
      <c r="AA30" s="21">
        <f>EXP(-LN(2)/25)*AA29+(1-EXP(-LN(2)/25))/(LN(2)/25)*Calculateur!V30*Calculateur!X30*VLOOKUP('Données projet'!$B$9,Paramètres!$A$1:$I$89,3,0)*0.475*44/12</f>
        <v>16.295290346413303</v>
      </c>
      <c r="AB30" s="21">
        <f>EXP(-LN(2)/2)*AB29+(1-EXP(-LN(2)/2))/(LN(2)/2)*V30*Y30*VLOOKUP('Données projet'!$B$9,Paramètres!$A$1:$I$89,3,0)*0.475*44/12</f>
        <v>6.8979543382191233</v>
      </c>
      <c r="AC30" s="22">
        <f t="shared" si="3"/>
        <v>39.269504155459316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6.4429411764705877</v>
      </c>
      <c r="AI30" s="13">
        <f>IF('Données projet'!$A$62&gt;35,AI29+AH30-AQ29,IF(A30&lt;'Données projet'!$A$62,$AF$205^A30,IF(A30='Données projet'!$A$62,'Données projet'!$B$62,AI29+AH30-AQ29)))</f>
        <v>173.95941176470581</v>
      </c>
      <c r="AJ30" s="13">
        <f>AI30*VLOOKUP('Données projet'!$B$10,Paramètres!$A$1:$I$89,3,0)*VLOOKUP('Données projet'!$B$10,Paramètres!$A$1:$I$89,5,0)</f>
        <v>81.413004705882315</v>
      </c>
      <c r="AK30" s="13">
        <f t="shared" si="35"/>
        <v>22.48231829064984</v>
      </c>
      <c r="AL30" s="20">
        <f t="shared" si="4"/>
        <v>180.95102088562683</v>
      </c>
      <c r="AM30" s="59">
        <f t="shared" si="5"/>
        <v>474.28435421896017</v>
      </c>
      <c r="AN30" s="59">
        <f ca="1">AVERAGE(OFFSET($AM$3,0,0,'Données projet'!$E$10+1,1))-AVERAGE(OFFSET($H$3,0,0,'Données projet'!$E$10+1,1))</f>
        <v>187.82209112143374</v>
      </c>
      <c r="AO30" s="59">
        <f t="shared" si="36"/>
        <v>158.99136654880203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5.1282051282051295</v>
      </c>
      <c r="BD30" s="12">
        <f>IF('Données projet'!$A$88&gt;35,BD29+BC30-BL29,IF(A30&lt;'Données projet'!$A$88,$BA$205^A30,IF(A30='Données projet'!$A$88,'Données projet'!$B$88,BD29+BC30-BL29)))</f>
        <v>60.897435897435891</v>
      </c>
      <c r="BE30" s="13">
        <f>BD30*VLOOKUP('Données projet'!$B$11,Paramètres!$A$1:$I$89,3,0)*VLOOKUP('Données projet'!$B$11,Paramètres!$A$1:$I$89,5,0)</f>
        <v>63.65</v>
      </c>
      <c r="BF30" s="13">
        <f t="shared" si="37"/>
        <v>18.0879079069433</v>
      </c>
      <c r="BG30" s="20">
        <f t="shared" si="7"/>
        <v>142.36018960459288</v>
      </c>
      <c r="BH30" s="59">
        <f t="shared" si="8"/>
        <v>435.69352293792622</v>
      </c>
      <c r="BI30" s="59">
        <f ca="1">AVERAGE(OFFSET($BH$3,0,0,'Données projet'!$E$11+1,1))-AVERAGE(OFFSET($H$3,0,0,'Données projet'!$E$11+1,1))</f>
        <v>140.32771978791288</v>
      </c>
      <c r="BJ30" s="59">
        <f t="shared" si="38"/>
        <v>135.76866977947634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6.6395447105586145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6.6395447105586145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3.3603333333333336</v>
      </c>
      <c r="BY30" s="12">
        <f>IF('Données projet'!$A$114&gt;35,BY29+BX30-CG29,IF(A30&lt;'Données projet'!$A$114,$BV$205^A30,IF(A30='Données projet'!$A$114,'Données projet'!$B$114,BY29+BX30-CG29)))</f>
        <v>90.729000000000013</v>
      </c>
      <c r="BZ30" s="13">
        <f>BY30*VLOOKUP('Données projet'!$B$12,Paramètres!$A$1:$I$89,3,0)*VLOOKUP('Données projet'!$B$12,Paramètres!$A$1:$I$89,5,0)</f>
        <v>91.999206000000029</v>
      </c>
      <c r="CA30" s="13">
        <f t="shared" si="39"/>
        <v>25.046767086912915</v>
      </c>
      <c r="CB30" s="20">
        <f t="shared" si="10"/>
        <v>203.85506979304003</v>
      </c>
      <c r="CC30" s="59">
        <f t="shared" si="11"/>
        <v>497.18840312637337</v>
      </c>
      <c r="CD30" s="59">
        <f ca="1">AVERAGE(OFFSET($CC$3,0,0,'Données projet'!$E$12+1,1))-AVERAGE(OFFSET($H$3,0,0,'Données projet'!$E$12+1,1))</f>
        <v>372.05986520199804</v>
      </c>
      <c r="CE30" s="59">
        <f t="shared" si="40"/>
        <v>184.37981929432044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4.0942857142857143</v>
      </c>
      <c r="CT30" s="12">
        <f>IF('Données projet'!$A$140&gt;35,CT29+CS30-DB29,IF(A30&lt;'Données projet'!$A$140,$CQ$205^A30,IF(A30='Données projet'!$A$140,'Données projet'!$B$140,CT29+CS30-DB29)))</f>
        <v>110.54571428571435</v>
      </c>
      <c r="CU30" s="17">
        <f>CT30*VLOOKUP('Données projet'!$B$13,Paramètres!$A$1:$I$89,3,0)*VLOOKUP('Données projet'!$B$13,Paramètres!$A$1:$I$89,5,0)</f>
        <v>100.02176228571433</v>
      </c>
      <c r="CV30" s="13">
        <f t="shared" si="41"/>
        <v>26.967182047167292</v>
      </c>
      <c r="CW30" s="20">
        <f t="shared" si="13"/>
        <v>221.17241137976885</v>
      </c>
      <c r="CX30" s="59">
        <f t="shared" si="14"/>
        <v>514.5057447131021</v>
      </c>
      <c r="CY30" s="59">
        <f ca="1">AVERAGE(OFFSET($CX$3,0,0,'Données projet'!$E$13+1,1))-AVERAGE(OFFSET($H$3,0,0,'Données projet'!$E$13+1,1))</f>
        <v>479.84731392413374</v>
      </c>
      <c r="CZ30" s="59">
        <f t="shared" si="42"/>
        <v>203.57601099841213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24.998333333333338</v>
      </c>
      <c r="N31" s="13">
        <f>IF('Données projet'!$A$36&gt;35,N30+M31-V30,IF(A31&lt;'Données projet'!$A$36,$K$205^A31,IF(A31='Données projet'!$A$36,'Données projet'!$B$36,N30+M31-V30)))</f>
        <v>292.16666666666674</v>
      </c>
      <c r="O31" s="13">
        <f>N31*VLOOKUP('Données projet'!$B$9,Paramètres!$A$1:$I$89,3,0)*VLOOKUP('Données projet'!$B$9,Paramètres!$A$1:$I$89,5,0)</f>
        <v>174.71566666666672</v>
      </c>
      <c r="P31" s="13">
        <f t="shared" si="33"/>
        <v>44.144488319820347</v>
      </c>
      <c r="Q31" s="20">
        <f t="shared" si="2"/>
        <v>381.18143660146501</v>
      </c>
      <c r="R31" s="59">
        <f t="shared" si="0"/>
        <v>674.51476993479832</v>
      </c>
      <c r="S31" s="59">
        <f ca="1">AVERAGE(OFFSET($R$3,0,0,'Données projet'!$E$9+1,1))-AVERAGE(OFFSET($H$3,0,0,'Données projet'!$E$9+1,1))</f>
        <v>322.7909000321435</v>
      </c>
      <c r="T31" s="59">
        <f t="shared" si="34"/>
        <v>403.23516981532316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15.761013828154031</v>
      </c>
      <c r="AA31" s="21">
        <f>EXP(-LN(2)/25)*AA30+(1-EXP(-LN(2)/25))/(LN(2)/25)*Calculateur!V31*Calculateur!X31*VLOOKUP('Données projet'!$B$9,Paramètres!$A$1:$I$89,3,0)*0.475*44/12</f>
        <v>15.849694774958555</v>
      </c>
      <c r="AB31" s="21">
        <f>EXP(-LN(2)/2)*AB30+(1-EXP(-LN(2)/2))/(LN(2)/2)*V31*Y31*VLOOKUP('Données projet'!$B$9,Paramètres!$A$1:$I$89,3,0)*0.475*44/12</f>
        <v>4.8775902888699063</v>
      </c>
      <c r="AC31" s="22">
        <f t="shared" si="3"/>
        <v>36.488298891982488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6.4429411764705877</v>
      </c>
      <c r="AI31" s="13">
        <f>IF('Données projet'!$A$62&gt;35,AI30+AH31-AQ30,IF(A31&lt;'Données projet'!$A$62,$AF$205^A31,IF(A31='Données projet'!$A$62,'Données projet'!$B$62,AI30+AH31-AQ30)))</f>
        <v>180.40235294117639</v>
      </c>
      <c r="AJ31" s="13">
        <f>AI31*VLOOKUP('Données projet'!$B$10,Paramètres!$A$1:$I$89,3,0)*VLOOKUP('Données projet'!$B$10,Paramètres!$A$1:$I$89,5,0)</f>
        <v>84.428301176470555</v>
      </c>
      <c r="AK31" s="13">
        <f t="shared" si="35"/>
        <v>23.216508453707245</v>
      </c>
      <c r="AL31" s="20">
        <f t="shared" si="4"/>
        <v>187.48137677255966</v>
      </c>
      <c r="AM31" s="59">
        <f t="shared" si="5"/>
        <v>480.81471010589297</v>
      </c>
      <c r="AN31" s="59">
        <f ca="1">AVERAGE(OFFSET($AM$3,0,0,'Données projet'!$E$10+1,1))-AVERAGE(OFFSET($H$3,0,0,'Données projet'!$E$10+1,1))</f>
        <v>187.82209112143374</v>
      </c>
      <c r="AO31" s="59">
        <f t="shared" si="36"/>
        <v>158.99136654880203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5.1282051282051295</v>
      </c>
      <c r="BD31" s="12">
        <f>IF('Données projet'!$A$88&gt;35,BD30+BC31-BL30,IF(A31&lt;'Données projet'!$A$88,$BA$205^A31,IF(A31='Données projet'!$A$88,'Données projet'!$B$88,BD30+BC31-BL30)))</f>
        <v>66.025641025641022</v>
      </c>
      <c r="BE31" s="13">
        <f>BD31*VLOOKUP('Données projet'!$B$11,Paramètres!$A$1:$I$89,3,0)*VLOOKUP('Données projet'!$B$11,Paramètres!$A$1:$I$89,5,0)</f>
        <v>69.010000000000005</v>
      </c>
      <c r="BF31" s="13">
        <f t="shared" si="37"/>
        <v>19.427402242100008</v>
      </c>
      <c r="BG31" s="20">
        <f t="shared" si="7"/>
        <v>154.02847557165751</v>
      </c>
      <c r="BH31" s="59">
        <f t="shared" si="8"/>
        <v>447.36180890499082</v>
      </c>
      <c r="BI31" s="59">
        <f ca="1">AVERAGE(OFFSET($BH$3,0,0,'Données projet'!$E$11+1,1))-AVERAGE(OFFSET($H$3,0,0,'Données projet'!$E$11+1,1))</f>
        <v>140.32771978791288</v>
      </c>
      <c r="BJ31" s="59">
        <f t="shared" si="38"/>
        <v>135.76866977947634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6.4579860112899077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6.4579860112899077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3.3603333333333336</v>
      </c>
      <c r="BY31" s="12">
        <f>IF('Données projet'!$A$114&gt;35,BY30+BX31-CG30,IF(A31&lt;'Données projet'!$A$114,$BV$205^A31,IF(A31='Données projet'!$A$114,'Données projet'!$B$114,BY30+BX31-CG30)))</f>
        <v>94.089333333333343</v>
      </c>
      <c r="BZ31" s="13">
        <f>BY31*VLOOKUP('Données projet'!$B$12,Paramètres!$A$1:$I$89,3,0)*VLOOKUP('Données projet'!$B$12,Paramètres!$A$1:$I$89,5,0)</f>
        <v>95.406584000000024</v>
      </c>
      <c r="CA31" s="13">
        <f t="shared" si="39"/>
        <v>25.864702754127851</v>
      </c>
      <c r="CB31" s="20">
        <f t="shared" si="10"/>
        <v>211.21415776343937</v>
      </c>
      <c r="CC31" s="59">
        <f t="shared" si="11"/>
        <v>504.54749109677266</v>
      </c>
      <c r="CD31" s="59">
        <f ca="1">AVERAGE(OFFSET($CC$3,0,0,'Données projet'!$E$12+1,1))-AVERAGE(OFFSET($H$3,0,0,'Données projet'!$E$12+1,1))</f>
        <v>372.05986520199804</v>
      </c>
      <c r="CE31" s="59">
        <f t="shared" si="40"/>
        <v>184.37981929432044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4.0942857142857143</v>
      </c>
      <c r="CT31" s="12">
        <f>IF('Données projet'!$A$140&gt;35,CT30+CS31-DB30,IF(A31&lt;'Données projet'!$A$140,$CQ$205^A31,IF(A31='Données projet'!$A$140,'Données projet'!$B$140,CT30+CS31-DB30)))</f>
        <v>114.64000000000007</v>
      </c>
      <c r="CU31" s="17">
        <f>CT31*VLOOKUP('Données projet'!$B$13,Paramètres!$A$1:$I$89,3,0)*VLOOKUP('Données projet'!$B$13,Paramètres!$A$1:$I$89,5,0)</f>
        <v>103.72627200000005</v>
      </c>
      <c r="CV31" s="13">
        <f t="shared" si="41"/>
        <v>27.847831432539717</v>
      </c>
      <c r="CW31" s="20">
        <f t="shared" si="13"/>
        <v>229.15823014500677</v>
      </c>
      <c r="CX31" s="59">
        <f t="shared" si="14"/>
        <v>522.49156347834014</v>
      </c>
      <c r="CY31" s="59">
        <f ca="1">AVERAGE(OFFSET($CX$3,0,0,'Données projet'!$E$13+1,1))-AVERAGE(OFFSET($H$3,0,0,'Données projet'!$E$13+1,1))</f>
        <v>479.84731392413374</v>
      </c>
      <c r="CZ31" s="59">
        <f t="shared" si="42"/>
        <v>203.57601099841213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24.998333333333338</v>
      </c>
      <c r="N32" s="13">
        <f>IF('Données projet'!$A$36&gt;35,N31+M32-V31,IF(A32&lt;'Données projet'!$A$36,$K$205^A32,IF(A32='Données projet'!$A$36,'Données projet'!$B$36,N31+M32-V31)))</f>
        <v>317.16500000000008</v>
      </c>
      <c r="O32" s="13">
        <f>N32*VLOOKUP('Données projet'!$B$9,Paramètres!$A$1:$I$89,3,0)*VLOOKUP('Données projet'!$B$9,Paramètres!$A$1:$I$89,5,0)</f>
        <v>189.66467000000006</v>
      </c>
      <c r="P32" s="13">
        <f t="shared" si="33"/>
        <v>47.465808529218805</v>
      </c>
      <c r="Q32" s="20">
        <f t="shared" si="2"/>
        <v>413.00225010505613</v>
      </c>
      <c r="R32" s="59">
        <f t="shared" si="0"/>
        <v>706.33558343838945</v>
      </c>
      <c r="S32" s="59">
        <f ca="1">AVERAGE(OFFSET($R$3,0,0,'Données projet'!$E$9+1,1))-AVERAGE(OFFSET($H$3,0,0,'Données projet'!$E$9+1,1))</f>
        <v>322.7909000321435</v>
      </c>
      <c r="T32" s="59">
        <f t="shared" si="34"/>
        <v>403.23516981532316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15.451949960253135</v>
      </c>
      <c r="AA32" s="21">
        <f>EXP(-LN(2)/25)*AA31+(1-EXP(-LN(2)/25))/(LN(2)/25)*Calculateur!V32*Calculateur!X32*VLOOKUP('Données projet'!$B$9,Paramètres!$A$1:$I$89,3,0)*0.475*44/12</f>
        <v>15.416284037838091</v>
      </c>
      <c r="AB32" s="21">
        <f>EXP(-LN(2)/2)*AB31+(1-EXP(-LN(2)/2))/(LN(2)/2)*V32*Y32*VLOOKUP('Données projet'!$B$9,Paramètres!$A$1:$I$89,3,0)*0.475*44/12</f>
        <v>3.4489771691095621</v>
      </c>
      <c r="AC32" s="22">
        <f t="shared" si="3"/>
        <v>34.317211167200789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6.4429411764705877</v>
      </c>
      <c r="AI32" s="13">
        <f>IF('Données projet'!$A$62&gt;35,AI31+AH32-AQ31,IF(A32&lt;'Données projet'!$A$62,$AF$205^A32,IF(A32='Données projet'!$A$62,'Données projet'!$B$62,AI31+AH32-AQ31)))</f>
        <v>186.84529411764697</v>
      </c>
      <c r="AJ32" s="13">
        <f>AI32*VLOOKUP('Données projet'!$B$10,Paramètres!$A$1:$I$89,3,0)*VLOOKUP('Données projet'!$B$10,Paramètres!$A$1:$I$89,5,0)</f>
        <v>87.443597647058795</v>
      </c>
      <c r="AK32" s="13">
        <f t="shared" si="35"/>
        <v>23.947652134550808</v>
      </c>
      <c r="AL32" s="20">
        <f t="shared" si="4"/>
        <v>194.00642670297006</v>
      </c>
      <c r="AM32" s="59">
        <f t="shared" si="5"/>
        <v>487.33976003630335</v>
      </c>
      <c r="AN32" s="59">
        <f ca="1">AVERAGE(OFFSET($AM$3,0,0,'Données projet'!$E$10+1,1))-AVERAGE(OFFSET($H$3,0,0,'Données projet'!$E$10+1,1))</f>
        <v>187.82209112143374</v>
      </c>
      <c r="AO32" s="59">
        <f t="shared" si="36"/>
        <v>158.99136654880203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5.1282051282051295</v>
      </c>
      <c r="BD32" s="12">
        <f>IF('Données projet'!$A$88&gt;35,BD31+BC32-BL31,IF(A32&lt;'Données projet'!$A$88,$BA$205^A32,IF(A32='Données projet'!$A$88,'Données projet'!$B$88,BD31+BC32-BL31)))</f>
        <v>71.153846153846146</v>
      </c>
      <c r="BE32" s="13">
        <f>BD32*VLOOKUP('Données projet'!$B$11,Paramètres!$A$1:$I$89,3,0)*VLOOKUP('Données projet'!$B$11,Paramètres!$A$1:$I$89,5,0)</f>
        <v>74.36999999999999</v>
      </c>
      <c r="BF32" s="13">
        <f t="shared" si="37"/>
        <v>20.754828284827131</v>
      </c>
      <c r="BG32" s="20">
        <f t="shared" si="7"/>
        <v>165.67574259607389</v>
      </c>
      <c r="BH32" s="59">
        <f t="shared" si="8"/>
        <v>459.00907592940723</v>
      </c>
      <c r="BI32" s="59">
        <f ca="1">AVERAGE(OFFSET($BH$3,0,0,'Données projet'!$E$11+1,1))-AVERAGE(OFFSET($H$3,0,0,'Données projet'!$E$11+1,1))</f>
        <v>140.32771978791288</v>
      </c>
      <c r="BJ32" s="59">
        <f t="shared" si="38"/>
        <v>135.76866977947634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6.2813920442004605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6.2813920442004605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3.3603333333333336</v>
      </c>
      <c r="BY32" s="12">
        <f>IF('Données projet'!$A$114&gt;35,BY31+BX32-CG31,IF(A32&lt;'Données projet'!$A$114,$BV$205^A32,IF(A32='Données projet'!$A$114,'Données projet'!$B$114,BY31+BX32-CG31)))</f>
        <v>97.449666666666673</v>
      </c>
      <c r="BZ32" s="13">
        <f>BY32*VLOOKUP('Données projet'!$B$12,Paramètres!$A$1:$I$89,3,0)*VLOOKUP('Données projet'!$B$12,Paramètres!$A$1:$I$89,5,0)</f>
        <v>98.813962000000018</v>
      </c>
      <c r="CA32" s="13">
        <f t="shared" si="39"/>
        <v>26.679244441706949</v>
      </c>
      <c r="CB32" s="20">
        <f t="shared" si="10"/>
        <v>218.56733455263964</v>
      </c>
      <c r="CC32" s="59">
        <f t="shared" si="11"/>
        <v>511.90066788597295</v>
      </c>
      <c r="CD32" s="59">
        <f ca="1">AVERAGE(OFFSET($CC$3,0,0,'Données projet'!$E$12+1,1))-AVERAGE(OFFSET($H$3,0,0,'Données projet'!$E$12+1,1))</f>
        <v>372.05986520199804</v>
      </c>
      <c r="CE32" s="59">
        <f t="shared" si="40"/>
        <v>184.37981929432044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4.0942857142857143</v>
      </c>
      <c r="CT32" s="12">
        <f>IF('Données projet'!$A$140&gt;35,CT31+CS32-DB31,IF(A32&lt;'Données projet'!$A$140,$CQ$205^A32,IF(A32='Données projet'!$A$140,'Données projet'!$B$140,CT31+CS32-DB31)))</f>
        <v>118.73428571428579</v>
      </c>
      <c r="CU32" s="17">
        <f>CT32*VLOOKUP('Données projet'!$B$13,Paramètres!$A$1:$I$89,3,0)*VLOOKUP('Données projet'!$B$13,Paramètres!$A$1:$I$89,5,0)</f>
        <v>107.43078171428577</v>
      </c>
      <c r="CV32" s="13">
        <f t="shared" si="41"/>
        <v>28.724826611108305</v>
      </c>
      <c r="CW32" s="20">
        <f t="shared" si="13"/>
        <v>237.13768450006134</v>
      </c>
      <c r="CX32" s="59">
        <f t="shared" si="14"/>
        <v>530.47101783339463</v>
      </c>
      <c r="CY32" s="59">
        <f ca="1">AVERAGE(OFFSET($CX$3,0,0,'Données projet'!$E$13+1,1))-AVERAGE(OFFSET($H$3,0,0,'Données projet'!$E$13+1,1))</f>
        <v>479.84731392413374</v>
      </c>
      <c r="CZ32" s="59">
        <f t="shared" si="42"/>
        <v>203.57601099841213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24.998333333333338</v>
      </c>
      <c r="N33" s="13">
        <f>IF('Données projet'!$A$36&gt;35,N32+M33-V32,IF(A33&lt;'Données projet'!$A$36,$K$205^A33,IF(A33='Données projet'!$A$36,'Données projet'!$B$36,N32+M33-V32)))</f>
        <v>342.16333333333341</v>
      </c>
      <c r="O33" s="13">
        <f>N33*VLOOKUP('Données projet'!$B$9,Paramètres!$A$1:$I$89,3,0)*VLOOKUP('Données projet'!$B$9,Paramètres!$A$1:$I$89,5,0)</f>
        <v>204.6136733333334</v>
      </c>
      <c r="P33" s="13">
        <f t="shared" si="33"/>
        <v>50.756763725323886</v>
      </c>
      <c r="Q33" s="20">
        <f t="shared" si="2"/>
        <v>444.77017787716136</v>
      </c>
      <c r="R33" s="59">
        <f t="shared" si="0"/>
        <v>738.10351121049462</v>
      </c>
      <c r="S33" s="59">
        <f ca="1">AVERAGE(OFFSET($R$3,0,0,'Données projet'!$E$9+1,1))-AVERAGE(OFFSET($H$3,0,0,'Données projet'!$E$9+1,1))</f>
        <v>322.7909000321435</v>
      </c>
      <c r="T33" s="59">
        <f t="shared" si="34"/>
        <v>403.23516981532316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15.14894664629143</v>
      </c>
      <c r="AA33" s="21">
        <f>EXP(-LN(2)/25)*AA32+(1-EXP(-LN(2)/25))/(LN(2)/25)*Calculateur!V33*Calculateur!X33*VLOOKUP('Données projet'!$B$9,Paramètres!$A$1:$I$89,3,0)*0.475*44/12</f>
        <v>14.994724940116265</v>
      </c>
      <c r="AB33" s="21">
        <f>EXP(-LN(2)/2)*AB32+(1-EXP(-LN(2)/2))/(LN(2)/2)*V33*Y33*VLOOKUP('Données projet'!$B$9,Paramètres!$A$1:$I$89,3,0)*0.475*44/12</f>
        <v>2.4387951444349536</v>
      </c>
      <c r="AC33" s="22">
        <f t="shared" si="3"/>
        <v>32.582466730842647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6.4429411764705877</v>
      </c>
      <c r="AI33" s="13">
        <f>IF('Données projet'!$A$62&gt;35,AI32+AH33-AQ32,IF(A33&lt;'Données projet'!$A$62,$AF$205^A33,IF(A33='Données projet'!$A$62,'Données projet'!$B$62,AI32+AH33-AQ32)))</f>
        <v>193.28823529411756</v>
      </c>
      <c r="AJ33" s="13">
        <f>AI33*VLOOKUP('Données projet'!$B$10,Paramètres!$A$1:$I$89,3,0)*VLOOKUP('Données projet'!$B$10,Paramètres!$A$1:$I$89,5,0)</f>
        <v>90.45889411764702</v>
      </c>
      <c r="AK33" s="13">
        <f t="shared" si="35"/>
        <v>24.67586642434733</v>
      </c>
      <c r="AL33" s="20">
        <f t="shared" si="4"/>
        <v>200.52637461064015</v>
      </c>
      <c r="AM33" s="59">
        <f t="shared" si="5"/>
        <v>493.85970794397349</v>
      </c>
      <c r="AN33" s="59">
        <f ca="1">AVERAGE(OFFSET($AM$3,0,0,'Données projet'!$E$10+1,1))-AVERAGE(OFFSET($H$3,0,0,'Données projet'!$E$10+1,1))</f>
        <v>187.82209112143374</v>
      </c>
      <c r="AO33" s="59">
        <f t="shared" si="36"/>
        <v>158.99136654880203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76.282051282051285</v>
      </c>
      <c r="BB33" s="12">
        <f>VLOOKUP(A33,'Données projet'!$A$87:$I$107,9,0)</f>
        <v>5.1282051282051295</v>
      </c>
      <c r="BC33" s="12">
        <f t="array" ref="BC33">INDEX(BB:BB,MIN(IF(ISNUMBER(BB33:BB229),ROW(BB33:BB229),"")))</f>
        <v>5.1282051282051295</v>
      </c>
      <c r="BD33" s="12">
        <f>IF('Données projet'!$A$88&gt;35,BD32+BC33-BL32,IF(A33&lt;'Données projet'!$A$88,$BA$205^A33,IF(A33='Données projet'!$A$88,'Données projet'!$B$88,BD32+BC33-BL32)))</f>
        <v>76.28205128205127</v>
      </c>
      <c r="BE33" s="13">
        <f>BD33*VLOOKUP('Données projet'!$B$11,Paramètres!$A$1:$I$89,3,0)*VLOOKUP('Données projet'!$B$11,Paramètres!$A$1:$I$89,5,0)</f>
        <v>79.73</v>
      </c>
      <c r="BF33" s="13">
        <f t="shared" si="37"/>
        <v>22.071154741424582</v>
      </c>
      <c r="BG33" s="20">
        <f t="shared" si="7"/>
        <v>177.30367784131445</v>
      </c>
      <c r="BH33" s="59">
        <f t="shared" si="8"/>
        <v>470.6370111746478</v>
      </c>
      <c r="BI33" s="59">
        <f ca="1">AVERAGE(OFFSET($BH$3,0,0,'Données projet'!$E$11+1,1))-AVERAGE(OFFSET($H$3,0,0,'Données projet'!$E$11+1,1))</f>
        <v>140.32771978791288</v>
      </c>
      <c r="BJ33" s="59">
        <f t="shared" si="38"/>
        <v>135.76866977947634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12.820512820512819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0.215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9.2819472038718747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9.2819472038718747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3.3603333333333336</v>
      </c>
      <c r="BY33" s="12">
        <f>IF('Données projet'!$A$114&gt;35,BY32+BX33-CG32,IF(A33&lt;'Données projet'!$A$114,$BV$205^A33,IF(A33='Données projet'!$A$114,'Données projet'!$B$114,BY32+BX33-CG32)))</f>
        <v>100.81</v>
      </c>
      <c r="BZ33" s="13">
        <f>BY33*VLOOKUP('Données projet'!$B$12,Paramètres!$A$1:$I$89,3,0)*VLOOKUP('Données projet'!$B$12,Paramètres!$A$1:$I$89,5,0)</f>
        <v>102.22134</v>
      </c>
      <c r="CA33" s="13">
        <f t="shared" si="39"/>
        <v>27.490522596837476</v>
      </c>
      <c r="CB33" s="20">
        <f t="shared" si="10"/>
        <v>225.91482735615861</v>
      </c>
      <c r="CC33" s="59">
        <f t="shared" si="11"/>
        <v>519.2481606894919</v>
      </c>
      <c r="CD33" s="59">
        <f ca="1">AVERAGE(OFFSET($CC$3,0,0,'Données projet'!$E$12+1,1))-AVERAGE(OFFSET($H$3,0,0,'Données projet'!$E$12+1,1))</f>
        <v>372.05986520199804</v>
      </c>
      <c r="CE33" s="59">
        <f t="shared" si="40"/>
        <v>184.37981929432044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4.0942857142857143</v>
      </c>
      <c r="CT33" s="12">
        <f>IF('Données projet'!$A$140&gt;35,CT32+CS33-DB32,IF(A33&lt;'Données projet'!$A$140,$CQ$205^A33,IF(A33='Données projet'!$A$140,'Données projet'!$B$140,CT32+CS33-DB32)))</f>
        <v>122.82857142857151</v>
      </c>
      <c r="CU33" s="17">
        <f>CT33*VLOOKUP('Données projet'!$B$13,Paramètres!$A$1:$I$89,3,0)*VLOOKUP('Données projet'!$B$13,Paramètres!$A$1:$I$89,5,0)</f>
        <v>111.13529142857149</v>
      </c>
      <c r="CV33" s="13">
        <f t="shared" si="41"/>
        <v>29.598308031859261</v>
      </c>
      <c r="CW33" s="20">
        <f t="shared" si="13"/>
        <v>245.11101906025024</v>
      </c>
      <c r="CX33" s="59">
        <f t="shared" si="14"/>
        <v>538.44435239358359</v>
      </c>
      <c r="CY33" s="59">
        <f ca="1">AVERAGE(OFFSET($CX$3,0,0,'Données projet'!$E$13+1,1))-AVERAGE(OFFSET($H$3,0,0,'Données projet'!$E$13+1,1))</f>
        <v>479.84731392413374</v>
      </c>
      <c r="CZ33" s="59">
        <f t="shared" si="42"/>
        <v>203.57601099841213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24.998333333333338</v>
      </c>
      <c r="N34" s="13">
        <f>IF('Données projet'!$A$36&gt;35,N33+M34-V33,IF(A34&lt;'Données projet'!$A$36,$K$205^A34,IF(A34='Données projet'!$A$36,'Données projet'!$B$36,N33+M34-V33)))</f>
        <v>367.16166666666675</v>
      </c>
      <c r="O34" s="13">
        <f>N34*VLOOKUP('Données projet'!$B$9,Paramètres!$A$1:$I$89,3,0)*VLOOKUP('Données projet'!$B$9,Paramètres!$A$1:$I$89,5,0)</f>
        <v>219.56267666666673</v>
      </c>
      <c r="P34" s="13">
        <f t="shared" si="33"/>
        <v>54.019824650159855</v>
      </c>
      <c r="Q34" s="20">
        <f t="shared" si="2"/>
        <v>476.48952312680632</v>
      </c>
      <c r="R34" s="59">
        <f t="shared" si="0"/>
        <v>769.82285646013963</v>
      </c>
      <c r="S34" s="59">
        <f ca="1">AVERAGE(OFFSET($R$3,0,0,'Données projet'!$E$9+1,1))-AVERAGE(OFFSET($H$3,0,0,'Données projet'!$E$9+1,1))</f>
        <v>322.7909000321435</v>
      </c>
      <c r="T34" s="59">
        <f t="shared" si="34"/>
        <v>403.23516981532316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14.85188504250274</v>
      </c>
      <c r="AA34" s="21">
        <f>EXP(-LN(2)/25)*AA33+(1-EXP(-LN(2)/25))/(LN(2)/25)*Calculateur!V34*Calculateur!X34*VLOOKUP('Données projet'!$B$9,Paramètres!$A$1:$I$89,3,0)*0.475*44/12</f>
        <v>14.584693398090472</v>
      </c>
      <c r="AB34" s="21">
        <f>EXP(-LN(2)/2)*AB33+(1-EXP(-LN(2)/2))/(LN(2)/2)*V34*Y34*VLOOKUP('Données projet'!$B$9,Paramètres!$A$1:$I$89,3,0)*0.475*44/12</f>
        <v>1.7244885845547815</v>
      </c>
      <c r="AC34" s="22">
        <f t="shared" si="3"/>
        <v>31.161067025147993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6.4429411764705877</v>
      </c>
      <c r="AI34" s="13">
        <f>IF('Données projet'!$A$62&gt;35,AI33+AH34-AQ33,IF(A34&lt;'Données projet'!$A$62,$AF$205^A34,IF(A34='Données projet'!$A$62,'Données projet'!$B$62,AI33+AH34-AQ33)))</f>
        <v>199.73117647058814</v>
      </c>
      <c r="AJ34" s="13">
        <f>AI34*VLOOKUP('Données projet'!$B$10,Paramètres!$A$1:$I$89,3,0)*VLOOKUP('Données projet'!$B$10,Paramètres!$A$1:$I$89,5,0)</f>
        <v>93.47419058823526</v>
      </c>
      <c r="AK34" s="13">
        <f t="shared" si="35"/>
        <v>25.401260165231442</v>
      </c>
      <c r="AL34" s="20">
        <f t="shared" si="4"/>
        <v>207.04141006228784</v>
      </c>
      <c r="AM34" s="59">
        <f t="shared" si="5"/>
        <v>500.37474339562118</v>
      </c>
      <c r="AN34" s="59">
        <f ca="1">AVERAGE(OFFSET($AM$3,0,0,'Données projet'!$E$10+1,1))-AVERAGE(OFFSET($H$3,0,0,'Données projet'!$E$10+1,1))</f>
        <v>187.82209112143374</v>
      </c>
      <c r="AO34" s="59">
        <f t="shared" si="36"/>
        <v>158.99136654880203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4.6153846153846132</v>
      </c>
      <c r="BD34" s="12">
        <f>IF('Données projet'!$A$88&gt;35,BD33+BC34-BL33,IF(A34&lt;'Données projet'!$A$88,$BA$205^A34,IF(A34='Données projet'!$A$88,'Données projet'!$B$88,BD33+BC34-BL33)))</f>
        <v>68.076923076923066</v>
      </c>
      <c r="BE34" s="13">
        <f>BD34*VLOOKUP('Données projet'!$B$11,Paramètres!$A$1:$I$89,3,0)*VLOOKUP('Données projet'!$B$11,Paramètres!$A$1:$I$89,5,0)</f>
        <v>71.153999999999996</v>
      </c>
      <c r="BF34" s="13">
        <f t="shared" si="37"/>
        <v>19.959763152334045</v>
      </c>
      <c r="BG34" s="20">
        <f t="shared" si="7"/>
        <v>158.68980415698181</v>
      </c>
      <c r="BH34" s="59">
        <f t="shared" si="8"/>
        <v>452.02313749031509</v>
      </c>
      <c r="BI34" s="59">
        <f ca="1">AVERAGE(OFFSET($BH$3,0,0,'Données projet'!$E$11+1,1))-AVERAGE(OFFSET($H$3,0,0,'Données projet'!$E$11+1,1))</f>
        <v>140.32771978791288</v>
      </c>
      <c r="BJ34" s="59">
        <f t="shared" si="38"/>
        <v>135.76866977947634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9.028131869465609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9.028131869465609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3.3603333333333336</v>
      </c>
      <c r="BY34" s="12">
        <f>IF('Données projet'!$A$114&gt;35,BY33+BX34-CG33,IF(A34&lt;'Données projet'!$A$114,$BV$205^A34,IF(A34='Données projet'!$A$114,'Données projet'!$B$114,BY33+BX34-CG33)))</f>
        <v>104.17033333333333</v>
      </c>
      <c r="BZ34" s="13">
        <f>BY34*VLOOKUP('Données projet'!$B$12,Paramètres!$A$1:$I$89,3,0)*VLOOKUP('Données projet'!$B$12,Paramètres!$A$1:$I$89,5,0)</f>
        <v>105.62871800000001</v>
      </c>
      <c r="CA34" s="13">
        <f t="shared" si="39"/>
        <v>28.298658476747377</v>
      </c>
      <c r="CB34" s="20">
        <f t="shared" si="10"/>
        <v>233.25684736366836</v>
      </c>
      <c r="CC34" s="59">
        <f t="shared" si="11"/>
        <v>526.59018069700164</v>
      </c>
      <c r="CD34" s="59">
        <f ca="1">AVERAGE(OFFSET($CC$3,0,0,'Données projet'!$E$12+1,1))-AVERAGE(OFFSET($H$3,0,0,'Données projet'!$E$12+1,1))</f>
        <v>372.05986520199804</v>
      </c>
      <c r="CE34" s="59">
        <f t="shared" si="40"/>
        <v>184.37981929432044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4.0942857142857143</v>
      </c>
      <c r="CT34" s="12">
        <f>IF('Données projet'!$A$140&gt;35,CT33+CS34-DB33,IF(A34&lt;'Données projet'!$A$140,$CQ$205^A34,IF(A34='Données projet'!$A$140,'Données projet'!$B$140,CT33+CS34-DB33)))</f>
        <v>126.92285714285723</v>
      </c>
      <c r="CU34" s="17">
        <f>CT34*VLOOKUP('Données projet'!$B$13,Paramètres!$A$1:$I$89,3,0)*VLOOKUP('Données projet'!$B$13,Paramètres!$A$1:$I$89,5,0)</f>
        <v>114.83980114285721</v>
      </c>
      <c r="CV34" s="13">
        <f t="shared" si="41"/>
        <v>30.468406249196239</v>
      </c>
      <c r="CW34" s="20">
        <f t="shared" si="13"/>
        <v>253.07846120782642</v>
      </c>
      <c r="CX34" s="59">
        <f t="shared" si="14"/>
        <v>546.41179454115968</v>
      </c>
      <c r="CY34" s="59">
        <f ca="1">AVERAGE(OFFSET($CX$3,0,0,'Données projet'!$E$13+1,1))-AVERAGE(OFFSET($H$3,0,0,'Données projet'!$E$13+1,1))</f>
        <v>479.84731392413374</v>
      </c>
      <c r="CZ34" s="59">
        <f t="shared" si="42"/>
        <v>203.57601099841213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392.16</v>
      </c>
      <c r="L35" s="12">
        <f>VLOOKUP(A35,'Données projet'!$A$35:$I$55,9,0)</f>
        <v>24.998333333333338</v>
      </c>
      <c r="M35" s="12">
        <f t="array" ref="M35">INDEX(L:L,MIN(IF(ISNUMBER(L35:L231),ROW(L35:L231),"")))</f>
        <v>24.998333333333338</v>
      </c>
      <c r="N35" s="13">
        <f>IF('Données projet'!$A$36&gt;35,N34+M35-V34,IF(A35&lt;'Données projet'!$A$36,$K$205^A35,IF(A35='Données projet'!$A$36,'Données projet'!$B$36,N34+M35-V34)))</f>
        <v>392.16000000000008</v>
      </c>
      <c r="O35" s="13">
        <f>N35*VLOOKUP('Données projet'!$B$9,Paramètres!$A$1:$I$89,3,0)*VLOOKUP('Données projet'!$B$9,Paramètres!$A$1:$I$89,5,0)</f>
        <v>234.51168000000007</v>
      </c>
      <c r="P35" s="13">
        <f t="shared" si="33"/>
        <v>57.257106560949936</v>
      </c>
      <c r="Q35" s="20">
        <f t="shared" ref="Q35:Q66" si="53">(O35+P35)*0.475*44/12</f>
        <v>508.16396992698787</v>
      </c>
      <c r="R35" s="59">
        <f t="shared" si="0"/>
        <v>801.49730326032113</v>
      </c>
      <c r="S35" s="59">
        <f ca="1">AVERAGE(OFFSET($R$3,0,0,'Données projet'!$E$9+1,1))-AVERAGE(OFFSET($H$3,0,0,'Données projet'!$E$9+1,1))</f>
        <v>322.7909000321435</v>
      </c>
      <c r="T35" s="59">
        <f t="shared" si="34"/>
        <v>403.23516981532316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79.57000000000005</v>
      </c>
      <c r="W35" s="16">
        <f>IF(ISNA(VLOOKUP(A35,'Données projet'!$A$35:$I$55,5,0)),0%,VLOOKUP(A35,'Données projet'!$A$35:$I$55,5,0)*VLOOKUP('Données projet'!$B$9,Paramètres!$A$1:$I$89,7,0))</f>
        <v>0.27</v>
      </c>
      <c r="X35" s="16">
        <f>IF(ISNA(VLOOKUP(A35,'Données projet'!$A$35:$I$55,6,0)),0%,VLOOKUP(A35,'Données projet'!$A$35:$I$55,6,0)*VLOOKUP('Données projet'!$B$9,Paramètres!$A$1:$I$89,7,0))</f>
        <v>9.0000000000000011E-2</v>
      </c>
      <c r="Y35" s="16">
        <f>IF(ISNA(VLOOKUP(A35,'Données projet'!$A$35:$I$55,7,0)),0%,VLOOKUP(A35,'Données projet'!$A$35:$I$55,7,0))</f>
        <v>0.2</v>
      </c>
      <c r="Z35" s="21">
        <f>EXP(-LN(2)/35)*Z34+(1-EXP(-LN(2)/35))/(LN(2)/35)*V35*W35*VLOOKUP('Données projet'!$B$9,Paramètres!$A$1:$I$89,3,0)*0.475*44/12</f>
        <v>31.60351594189676</v>
      </c>
      <c r="AA35" s="21">
        <f>EXP(-LN(2)/25)*AA34+(1-EXP(-LN(2)/25))/(LN(2)/25)*Calculateur!V35*Calculateur!X35*VLOOKUP('Données projet'!$B$9,Paramètres!$A$1:$I$89,3,0)*0.475*44/12</f>
        <v>19.844461871442515</v>
      </c>
      <c r="AB35" s="21">
        <f>EXP(-LN(2)/2)*AB34+(1-EXP(-LN(2)/2))/(LN(2)/2)*V35*Y35*VLOOKUP('Données projet'!$B$9,Paramètres!$A$1:$I$89,3,0)*0.475*44/12</f>
        <v>11.994367752353517</v>
      </c>
      <c r="AC35" s="22">
        <f t="shared" si="3"/>
        <v>63.442345565692797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6.4429411764705877</v>
      </c>
      <c r="AI35" s="13">
        <f>IF('Données projet'!$A$62&gt;35,AI34+AH35-AQ34,IF(A35&lt;'Données projet'!$A$62,$AF$205^A35,IF(A35='Données projet'!$A$62,'Données projet'!$B$62,AI34+AH35-AQ34)))</f>
        <v>206.17411764705872</v>
      </c>
      <c r="AJ35" s="13">
        <f>AI35*VLOOKUP('Données projet'!$B$10,Paramètres!$A$1:$I$89,3,0)*VLOOKUP('Données projet'!$B$10,Paramètres!$A$1:$I$89,5,0)</f>
        <v>96.489487058823485</v>
      </c>
      <c r="AK35" s="13">
        <f t="shared" si="35"/>
        <v>26.123934778604053</v>
      </c>
      <c r="AL35" s="20">
        <f t="shared" si="4"/>
        <v>213.55170970018628</v>
      </c>
      <c r="AM35" s="59">
        <f t="shared" si="5"/>
        <v>506.88504303351959</v>
      </c>
      <c r="AN35" s="59">
        <f ca="1">AVERAGE(OFFSET($AM$3,0,0,'Données projet'!$E$10+1,1))-AVERAGE(OFFSET($H$3,0,0,'Données projet'!$E$10+1,1))</f>
        <v>187.82209112143374</v>
      </c>
      <c r="AO35" s="59">
        <f t="shared" si="36"/>
        <v>158.99136654880203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4.6153846153846132</v>
      </c>
      <c r="BD35" s="12">
        <f>IF('Données projet'!$A$88&gt;35,BD34+BC35-BL34,IF(A35&lt;'Données projet'!$A$88,$BA$205^A35,IF(A35='Données projet'!$A$88,'Données projet'!$B$88,BD34+BC35-BL34)))</f>
        <v>72.692307692307679</v>
      </c>
      <c r="BE35" s="13">
        <f>BD35*VLOOKUP('Données projet'!$B$11,Paramètres!$A$1:$I$89,3,0)*VLOOKUP('Données projet'!$B$11,Paramètres!$A$1:$I$89,5,0)</f>
        <v>75.977999999999994</v>
      </c>
      <c r="BF35" s="13">
        <f t="shared" si="37"/>
        <v>21.150851474041477</v>
      </c>
      <c r="BG35" s="20">
        <f t="shared" si="7"/>
        <v>169.16608298395553</v>
      </c>
      <c r="BH35" s="59">
        <f t="shared" si="8"/>
        <v>462.49941631728882</v>
      </c>
      <c r="BI35" s="59">
        <f ca="1">AVERAGE(OFFSET($BH$3,0,0,'Données projet'!$E$11+1,1))-AVERAGE(OFFSET($H$3,0,0,'Données projet'!$E$11+1,1))</f>
        <v>140.32771978791288</v>
      </c>
      <c r="BJ35" s="59">
        <f t="shared" si="38"/>
        <v>135.76866977947634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8.7812571287262511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8.7812571287262511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3.3603333333333336</v>
      </c>
      <c r="BY35" s="12">
        <f>IF('Données projet'!$A$114&gt;35,BY34+BX35-CG34,IF(A35&lt;'Données projet'!$A$114,$BV$205^A35,IF(A35='Données projet'!$A$114,'Données projet'!$B$114,BY34+BX35-CG34)))</f>
        <v>107.53066666666666</v>
      </c>
      <c r="BZ35" s="13">
        <f>BY35*VLOOKUP('Données projet'!$B$12,Paramètres!$A$1:$I$89,3,0)*VLOOKUP('Données projet'!$B$12,Paramètres!$A$1:$I$89,5,0)</f>
        <v>109.036096</v>
      </c>
      <c r="CA35" s="13">
        <f t="shared" si="39"/>
        <v>29.103765071483942</v>
      </c>
      <c r="CB35" s="20">
        <f t="shared" si="10"/>
        <v>240.59359136616786</v>
      </c>
      <c r="CC35" s="59">
        <f t="shared" si="11"/>
        <v>533.92692469950111</v>
      </c>
      <c r="CD35" s="59">
        <f ca="1">AVERAGE(OFFSET($CC$3,0,0,'Données projet'!$E$12+1,1))-AVERAGE(OFFSET($H$3,0,0,'Données projet'!$E$12+1,1))</f>
        <v>372.05986520199804</v>
      </c>
      <c r="CE35" s="59">
        <f t="shared" si="40"/>
        <v>184.37981929432044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4.0942857142857143</v>
      </c>
      <c r="CT35" s="12">
        <f>IF('Données projet'!$A$140&gt;35,CT34+CS35-DB34,IF(A35&lt;'Données projet'!$A$140,$CQ$205^A35,IF(A35='Données projet'!$A$140,'Données projet'!$B$140,CT34+CS35-DB34)))</f>
        <v>131.01714285714294</v>
      </c>
      <c r="CU35" s="17">
        <f>CT35*VLOOKUP('Données projet'!$B$13,Paramètres!$A$1:$I$89,3,0)*VLOOKUP('Données projet'!$B$13,Paramètres!$A$1:$I$89,5,0)</f>
        <v>118.54431085714293</v>
      </c>
      <c r="CV35" s="13">
        <f t="shared" si="41"/>
        <v>31.335242916471387</v>
      </c>
      <c r="CW35" s="20">
        <f t="shared" si="13"/>
        <v>261.04022282237821</v>
      </c>
      <c r="CX35" s="59">
        <f t="shared" si="14"/>
        <v>554.37355615571153</v>
      </c>
      <c r="CY35" s="59">
        <f ca="1">AVERAGE(OFFSET($CX$3,0,0,'Données projet'!$E$13+1,1))-AVERAGE(OFFSET($H$3,0,0,'Données projet'!$E$13+1,1))</f>
        <v>479.84731392413374</v>
      </c>
      <c r="CZ35" s="59">
        <f t="shared" si="42"/>
        <v>203.57601099841213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23.327500000000001</v>
      </c>
      <c r="N36" s="13">
        <f>IF('Données projet'!$A$36&gt;35,N35+M36-V35,IF(A36&lt;'Données projet'!$A$36,$K$205^A36,IF(A36='Données projet'!$A$36,'Données projet'!$B$36,N35+M36-V35)))</f>
        <v>335.91750000000002</v>
      </c>
      <c r="O36" s="13">
        <f>N36*VLOOKUP('Données projet'!$B$9,Paramètres!$A$1:$I$89,3,0)*VLOOKUP('Données projet'!$B$9,Paramètres!$A$1:$I$89,5,0)</f>
        <v>200.87866500000001</v>
      </c>
      <c r="P36" s="13">
        <f t="shared" si="33"/>
        <v>49.937222403328057</v>
      </c>
      <c r="Q36" s="20">
        <f t="shared" si="53"/>
        <v>436.83767056079637</v>
      </c>
      <c r="R36" s="59">
        <f t="shared" si="0"/>
        <v>730.17100389412963</v>
      </c>
      <c r="S36" s="59">
        <f ca="1">AVERAGE(OFFSET($R$3,0,0,'Données projet'!$E$9+1,1))-AVERAGE(OFFSET($H$3,0,0,'Données projet'!$E$9+1,1))</f>
        <v>322.7909000321435</v>
      </c>
      <c r="T36" s="59">
        <f t="shared" si="34"/>
        <v>403.23516981532316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30.983790270517517</v>
      </c>
      <c r="AA36" s="21">
        <f>EXP(-LN(2)/25)*AA35+(1-EXP(-LN(2)/25))/(LN(2)/25)*Calculateur!V36*Calculateur!X36*VLOOKUP('Données projet'!$B$9,Paramètres!$A$1:$I$89,3,0)*0.475*44/12</f>
        <v>19.301814017993024</v>
      </c>
      <c r="AB36" s="21">
        <f>EXP(-LN(2)/2)*AB35+(1-EXP(-LN(2)/2))/(LN(2)/2)*V36*Y36*VLOOKUP('Données projet'!$B$9,Paramètres!$A$1:$I$89,3,0)*0.475*44/12</f>
        <v>8.4812987737344212</v>
      </c>
      <c r="AC36" s="22">
        <f t="shared" si="3"/>
        <v>58.766903062244964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6.4429411764705877</v>
      </c>
      <c r="AI36" s="13">
        <f>IF('Données projet'!$A$62&gt;35,AI35+AH36-AQ35,IF(A36&lt;'Données projet'!$A$62,$AF$205^A36,IF(A36='Données projet'!$A$62,'Données projet'!$B$62,AI35+AH36-AQ35)))</f>
        <v>212.61705882352931</v>
      </c>
      <c r="AJ36" s="13">
        <f>AI36*VLOOKUP('Données projet'!$B$10,Paramètres!$A$1:$I$89,3,0)*VLOOKUP('Données projet'!$B$10,Paramètres!$A$1:$I$89,5,0)</f>
        <v>99.504783529411725</v>
      </c>
      <c r="AK36" s="13">
        <f t="shared" si="35"/>
        <v>26.84398498698495</v>
      </c>
      <c r="AL36" s="20">
        <f t="shared" si="4"/>
        <v>220.05743849939086</v>
      </c>
      <c r="AM36" s="59">
        <f t="shared" si="5"/>
        <v>513.39077183272411</v>
      </c>
      <c r="AN36" s="59">
        <f ca="1">AVERAGE(OFFSET($AM$3,0,0,'Données projet'!$E$10+1,1))-AVERAGE(OFFSET($H$3,0,0,'Données projet'!$E$10+1,1))</f>
        <v>187.82209112143374</v>
      </c>
      <c r="AO36" s="59">
        <f t="shared" si="36"/>
        <v>158.99136654880203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4.6153846153846132</v>
      </c>
      <c r="BD36" s="12">
        <f>IF('Données projet'!$A$88&gt;35,BD35+BC36-BL35,IF(A36&lt;'Données projet'!$A$88,$BA$205^A36,IF(A36='Données projet'!$A$88,'Données projet'!$B$88,BD35+BC36-BL35)))</f>
        <v>77.307692307692292</v>
      </c>
      <c r="BE36" s="13">
        <f>BD36*VLOOKUP('Données projet'!$B$11,Paramètres!$A$1:$I$89,3,0)*VLOOKUP('Données projet'!$B$11,Paramètres!$A$1:$I$89,5,0)</f>
        <v>80.801999999999992</v>
      </c>
      <c r="BF36" s="13">
        <f t="shared" si="37"/>
        <v>22.333163311057419</v>
      </c>
      <c r="BG36" s="20">
        <f t="shared" si="7"/>
        <v>179.62707610009167</v>
      </c>
      <c r="BH36" s="59">
        <f t="shared" si="8"/>
        <v>472.96040943342496</v>
      </c>
      <c r="BI36" s="59">
        <f ca="1">AVERAGE(OFFSET($BH$3,0,0,'Données projet'!$E$11+1,1))-AVERAGE(OFFSET($H$3,0,0,'Données projet'!$E$11+1,1))</f>
        <v>140.32771978791288</v>
      </c>
      <c r="BJ36" s="59">
        <f t="shared" si="38"/>
        <v>135.76866977947634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8.541133190754989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8.541133190754989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3.3603333333333336</v>
      </c>
      <c r="BY36" s="12">
        <f>IF('Données projet'!$A$114&gt;35,BY35+BX36-CG35,IF(A36&lt;'Données projet'!$A$114,$BV$205^A36,IF(A36='Données projet'!$A$114,'Données projet'!$B$114,BY35+BX36-CG35)))</f>
        <v>110.89099999999999</v>
      </c>
      <c r="BZ36" s="13">
        <f>BY36*VLOOKUP('Données projet'!$B$12,Paramètres!$A$1:$I$89,3,0)*VLOOKUP('Données projet'!$B$12,Paramètres!$A$1:$I$89,5,0)</f>
        <v>112.44347399999999</v>
      </c>
      <c r="CA36" s="13">
        <f t="shared" si="39"/>
        <v>29.905947908104487</v>
      </c>
      <c r="CB36" s="20">
        <f t="shared" si="10"/>
        <v>247.92524315661532</v>
      </c>
      <c r="CC36" s="59">
        <f t="shared" si="11"/>
        <v>541.25857648994861</v>
      </c>
      <c r="CD36" s="59">
        <f ca="1">AVERAGE(OFFSET($CC$3,0,0,'Données projet'!$E$12+1,1))-AVERAGE(OFFSET($H$3,0,0,'Données projet'!$E$12+1,1))</f>
        <v>372.05986520199804</v>
      </c>
      <c r="CE36" s="59">
        <f t="shared" si="40"/>
        <v>184.37981929432044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4.0942857142857143</v>
      </c>
      <c r="CT36" s="12">
        <f>IF('Données projet'!$A$140&gt;35,CT35+CS36-DB35,IF(A36&lt;'Données projet'!$A$140,$CQ$205^A36,IF(A36='Données projet'!$A$140,'Données projet'!$B$140,CT35+CS36-DB35)))</f>
        <v>135.11142857142866</v>
      </c>
      <c r="CU36" s="17">
        <f>CT36*VLOOKUP('Données projet'!$B$13,Paramètres!$A$1:$I$89,3,0)*VLOOKUP('Données projet'!$B$13,Paramètres!$A$1:$I$89,5,0)</f>
        <v>122.24882057142865</v>
      </c>
      <c r="CV36" s="13">
        <f t="shared" si="41"/>
        <v>32.198931651835657</v>
      </c>
      <c r="CW36" s="20">
        <f t="shared" si="13"/>
        <v>268.99650178885196</v>
      </c>
      <c r="CX36" s="59">
        <f t="shared" si="14"/>
        <v>562.32983512218527</v>
      </c>
      <c r="CY36" s="59">
        <f ca="1">AVERAGE(OFFSET($CX$3,0,0,'Données projet'!$E$13+1,1))-AVERAGE(OFFSET($H$3,0,0,'Données projet'!$E$13+1,1))</f>
        <v>479.84731392413374</v>
      </c>
      <c r="CZ36" s="59">
        <f t="shared" si="42"/>
        <v>203.57601099841213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23.327500000000001</v>
      </c>
      <c r="N37" s="13">
        <f>IF('Données projet'!$A$36&gt;35,N36+M37-V36,IF(A37&lt;'Données projet'!$A$36,$K$205^A37,IF(A37='Données projet'!$A$36,'Données projet'!$B$36,N36+M37-V36)))</f>
        <v>359.245</v>
      </c>
      <c r="O37" s="13">
        <f>N37*VLOOKUP('Données projet'!$B$9,Paramètres!$A$1:$I$89,3,0)*VLOOKUP('Données projet'!$B$9,Paramètres!$A$1:$I$89,5,0)</f>
        <v>214.82851000000002</v>
      </c>
      <c r="P37" s="13">
        <f t="shared" si="33"/>
        <v>52.989336564217041</v>
      </c>
      <c r="Q37" s="20">
        <f t="shared" si="53"/>
        <v>466.44941609934472</v>
      </c>
      <c r="R37" s="59">
        <f t="shared" si="0"/>
        <v>759.78274943267797</v>
      </c>
      <c r="S37" s="59">
        <f ca="1">AVERAGE(OFFSET($R$3,0,0,'Données projet'!$E$9+1,1))-AVERAGE(OFFSET($H$3,0,0,'Données projet'!$E$9+1,1))</f>
        <v>322.7909000321435</v>
      </c>
      <c r="T37" s="59">
        <f t="shared" si="34"/>
        <v>403.23516981532316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30.376217041558686</v>
      </c>
      <c r="AA37" s="21">
        <f>EXP(-LN(2)/25)*AA36+(1-EXP(-LN(2)/25))/(LN(2)/25)*Calculateur!V37*Calculateur!X37*VLOOKUP('Données projet'!$B$9,Paramètres!$A$1:$I$89,3,0)*0.475*44/12</f>
        <v>18.774004898632722</v>
      </c>
      <c r="AB37" s="21">
        <f>EXP(-LN(2)/2)*AB36+(1-EXP(-LN(2)/2))/(LN(2)/2)*V37*Y37*VLOOKUP('Données projet'!$B$9,Paramètres!$A$1:$I$89,3,0)*0.475*44/12</f>
        <v>5.9971838761767593</v>
      </c>
      <c r="AC37" s="22">
        <f t="shared" si="3"/>
        <v>55.147405816368163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6.4429411764705877</v>
      </c>
      <c r="AI37" s="13">
        <f>IF('Données projet'!$A$62&gt;35,AI36+AH37-AQ36,IF(A37&lt;'Données projet'!$A$62,$AF$205^A37,IF(A37='Données projet'!$A$62,'Données projet'!$B$62,AI36+AH37-AQ36)))</f>
        <v>219.05999999999989</v>
      </c>
      <c r="AJ37" s="13">
        <f>AI37*VLOOKUP('Données projet'!$B$10,Paramètres!$A$1:$I$89,3,0)*VLOOKUP('Données projet'!$B$10,Paramètres!$A$1:$I$89,5,0)</f>
        <v>102.52007999999994</v>
      </c>
      <c r="AK37" s="13">
        <f t="shared" si="35"/>
        <v>27.561499445909675</v>
      </c>
      <c r="AL37" s="20">
        <f t="shared" si="4"/>
        <v>226.55875086829255</v>
      </c>
      <c r="AM37" s="59">
        <f t="shared" si="5"/>
        <v>519.89208420162583</v>
      </c>
      <c r="AN37" s="59">
        <f ca="1">AVERAGE(OFFSET($AM$3,0,0,'Données projet'!$E$10+1,1))-AVERAGE(OFFSET($H$3,0,0,'Données projet'!$E$10+1,1))</f>
        <v>187.82209112143374</v>
      </c>
      <c r="AO37" s="59">
        <f t="shared" si="36"/>
        <v>158.99136654880203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4.6153846153846132</v>
      </c>
      <c r="BD37" s="12">
        <f>IF('Données projet'!$A$88&gt;35,BD36+BC37-BL36,IF(A37&lt;'Données projet'!$A$88,$BA$205^A37,IF(A37='Données projet'!$A$88,'Données projet'!$B$88,BD36+BC37-BL36)))</f>
        <v>81.923076923076906</v>
      </c>
      <c r="BE37" s="13">
        <f>BD37*VLOOKUP('Données projet'!$B$11,Paramètres!$A$1:$I$89,3,0)*VLOOKUP('Données projet'!$B$11,Paramètres!$A$1:$I$89,5,0)</f>
        <v>85.625999999999991</v>
      </c>
      <c r="BF37" s="13">
        <f t="shared" si="37"/>
        <v>23.507282308556064</v>
      </c>
      <c r="BG37" s="20">
        <f t="shared" si="7"/>
        <v>190.07380002073512</v>
      </c>
      <c r="BH37" s="59">
        <f t="shared" si="8"/>
        <v>483.40713335406843</v>
      </c>
      <c r="BI37" s="59">
        <f ca="1">AVERAGE(OFFSET($BH$3,0,0,'Données projet'!$E$11+1,1))-AVERAGE(OFFSET($H$3,0,0,'Données projet'!$E$11+1,1))</f>
        <v>140.32771978791288</v>
      </c>
      <c r="BJ37" s="59">
        <f t="shared" si="38"/>
        <v>135.76866977947634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8.3075754544951206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8.3075754544951206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3.3603333333333336</v>
      </c>
      <c r="BY37" s="12">
        <f>IF('Données projet'!$A$114&gt;35,BY36+BX37-CG36,IF(A37&lt;'Données projet'!$A$114,$BV$205^A37,IF(A37='Données projet'!$A$114,'Données projet'!$B$114,BY36+BX37-CG36)))</f>
        <v>114.25133333333332</v>
      </c>
      <c r="BZ37" s="13">
        <f>BY37*VLOOKUP('Données projet'!$B$12,Paramètres!$A$1:$I$89,3,0)*VLOOKUP('Données projet'!$B$12,Paramètres!$A$1:$I$89,5,0)</f>
        <v>115.85085199999999</v>
      </c>
      <c r="CA37" s="13">
        <f t="shared" si="39"/>
        <v>30.705305754650677</v>
      </c>
      <c r="CB37" s="20">
        <f t="shared" si="10"/>
        <v>255.25197475601655</v>
      </c>
      <c r="CC37" s="59">
        <f t="shared" si="11"/>
        <v>548.58530808934984</v>
      </c>
      <c r="CD37" s="59">
        <f ca="1">AVERAGE(OFFSET($CC$3,0,0,'Données projet'!$E$12+1,1))-AVERAGE(OFFSET($H$3,0,0,'Données projet'!$E$12+1,1))</f>
        <v>372.05986520199804</v>
      </c>
      <c r="CE37" s="59">
        <f t="shared" si="40"/>
        <v>184.37981929432044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4.0942857142857143</v>
      </c>
      <c r="CT37" s="12">
        <f>IF('Données projet'!$A$140&gt;35,CT36+CS37-DB36,IF(A37&lt;'Données projet'!$A$140,$CQ$205^A37,IF(A37='Données projet'!$A$140,'Données projet'!$B$140,CT36+CS37-DB36)))</f>
        <v>139.20571428571438</v>
      </c>
      <c r="CU37" s="17">
        <f>CT37*VLOOKUP('Données projet'!$B$13,Paramètres!$A$1:$I$89,3,0)*VLOOKUP('Données projet'!$B$13,Paramètres!$A$1:$I$89,5,0)</f>
        <v>125.95333028571436</v>
      </c>
      <c r="CV37" s="13">
        <f t="shared" si="41"/>
        <v>33.059578796189285</v>
      </c>
      <c r="CW37" s="20">
        <f t="shared" si="13"/>
        <v>276.94748331764885</v>
      </c>
      <c r="CX37" s="59">
        <f t="shared" si="14"/>
        <v>570.28081665098216</v>
      </c>
      <c r="CY37" s="59">
        <f ca="1">AVERAGE(OFFSET($CX$3,0,0,'Données projet'!$E$13+1,1))-AVERAGE(OFFSET($H$3,0,0,'Données projet'!$E$13+1,1))</f>
        <v>479.84731392413374</v>
      </c>
      <c r="CZ37" s="59">
        <f t="shared" si="42"/>
        <v>203.57601099841213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23.327500000000001</v>
      </c>
      <c r="N38" s="13">
        <f>IF('Données projet'!$A$36&gt;35,N37+M38-V37,IF(A38&lt;'Données projet'!$A$36,$K$205^A38,IF(A38='Données projet'!$A$36,'Données projet'!$B$36,N37+M38-V37)))</f>
        <v>382.57249999999999</v>
      </c>
      <c r="O38" s="13">
        <f>N38*VLOOKUP('Données projet'!$B$9,Paramètres!$A$1:$I$89,3,0)*VLOOKUP('Données projet'!$B$9,Paramètres!$A$1:$I$89,5,0)</f>
        <v>228.778355</v>
      </c>
      <c r="P38" s="13">
        <f t="shared" si="33"/>
        <v>56.018451502269343</v>
      </c>
      <c r="Q38" s="20">
        <f t="shared" si="53"/>
        <v>496.0211046581191</v>
      </c>
      <c r="R38" s="59">
        <f t="shared" si="0"/>
        <v>789.35443799145241</v>
      </c>
      <c r="S38" s="59">
        <f ca="1">AVERAGE(OFFSET($R$3,0,0,'Données projet'!$E$9+1,1))-AVERAGE(OFFSET($H$3,0,0,'Données projet'!$E$9+1,1))</f>
        <v>322.7909000321435</v>
      </c>
      <c r="T38" s="59">
        <f t="shared" si="34"/>
        <v>403.23516981532316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29.780557953036659</v>
      </c>
      <c r="AA38" s="21">
        <f>EXP(-LN(2)/25)*AA37+(1-EXP(-LN(2)/25))/(LN(2)/25)*Calculateur!V38*Calculateur!X38*VLOOKUP('Données projet'!$B$9,Paramètres!$A$1:$I$89,3,0)*0.475*44/12</f>
        <v>18.2606287473976</v>
      </c>
      <c r="AB38" s="21">
        <f>EXP(-LN(2)/2)*AB37+(1-EXP(-LN(2)/2))/(LN(2)/2)*V38*Y38*VLOOKUP('Données projet'!$B$9,Paramètres!$A$1:$I$89,3,0)*0.475*44/12</f>
        <v>4.2406493868672106</v>
      </c>
      <c r="AC38" s="22">
        <f t="shared" si="3"/>
        <v>52.281836087301471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6.4429411764705877</v>
      </c>
      <c r="AI38" s="13">
        <f>IF('Données projet'!$A$62&gt;35,AI37+AH38-AQ37,IF(A38&lt;'Données projet'!$A$62,$AF$205^A38,IF(A38='Données projet'!$A$62,'Données projet'!$B$62,AI37+AH38-AQ37)))</f>
        <v>225.50294117647047</v>
      </c>
      <c r="AJ38" s="13">
        <f>AI38*VLOOKUP('Données projet'!$B$10,Paramètres!$A$1:$I$89,3,0)*VLOOKUP('Données projet'!$B$10,Paramètres!$A$1:$I$89,5,0)</f>
        <v>105.53537647058819</v>
      </c>
      <c r="AK38" s="13">
        <f t="shared" si="35"/>
        <v>28.276561299396725</v>
      </c>
      <c r="AL38" s="20">
        <f t="shared" si="4"/>
        <v>233.05579161605704</v>
      </c>
      <c r="AM38" s="59">
        <f t="shared" si="5"/>
        <v>526.38912494939041</v>
      </c>
      <c r="AN38" s="59">
        <f ca="1">AVERAGE(OFFSET($AM$3,0,0,'Données projet'!$E$10+1,1))-AVERAGE(OFFSET($H$3,0,0,'Données projet'!$E$10+1,1))</f>
        <v>187.82209112143374</v>
      </c>
      <c r="AO38" s="59">
        <f t="shared" si="36"/>
        <v>158.99136654880203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86.538461538461533</v>
      </c>
      <c r="BB38" s="12">
        <f>VLOOKUP(A38,'Données projet'!$A$87:$I$107,9,0)</f>
        <v>4.6153846153846132</v>
      </c>
      <c r="BC38" s="12">
        <f t="array" ref="BC38">INDEX(BB:BB,MIN(IF(ISNUMBER(BB38:BB234),ROW(BB38:BB234),"")))</f>
        <v>4.6153846153846132</v>
      </c>
      <c r="BD38" s="12">
        <f>IF('Données projet'!$A$88&gt;35,BD37+BC38-BL37,IF(A38&lt;'Données projet'!$A$88,$BA$205^A38,IF(A38='Données projet'!$A$88,'Données projet'!$B$88,BD37+BC38-BL37)))</f>
        <v>86.538461538461519</v>
      </c>
      <c r="BE38" s="13">
        <f>BD38*VLOOKUP('Données projet'!$B$11,Paramètres!$A$1:$I$89,3,0)*VLOOKUP('Données projet'!$B$11,Paramètres!$A$1:$I$89,5,0)</f>
        <v>90.449999999999989</v>
      </c>
      <c r="BF38" s="13">
        <f t="shared" si="37"/>
        <v>24.673722634554377</v>
      </c>
      <c r="BG38" s="20">
        <f t="shared" si="7"/>
        <v>200.50715025518218</v>
      </c>
      <c r="BH38" s="59">
        <f t="shared" si="8"/>
        <v>493.8404835885155</v>
      </c>
      <c r="BI38" s="59">
        <f ca="1">AVERAGE(OFFSET($BH$3,0,0,'Données projet'!$E$11+1,1))-AVERAGE(OFFSET($H$3,0,0,'Données projet'!$E$11+1,1))</f>
        <v>140.32771978791288</v>
      </c>
      <c r="BJ38" s="59">
        <f t="shared" si="38"/>
        <v>135.76866977947634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12.820512820512819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0.215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11.252724522259671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11.252724522259671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3.3603333333333336</v>
      </c>
      <c r="BY38" s="12">
        <f>IF('Données projet'!$A$114&gt;35,BY37+BX38-CG37,IF(A38&lt;'Données projet'!$A$114,$BV$205^A38,IF(A38='Données projet'!$A$114,'Données projet'!$B$114,BY37+BX38-CG37)))</f>
        <v>117.61166666666665</v>
      </c>
      <c r="BZ38" s="13">
        <f>BY38*VLOOKUP('Données projet'!$B$12,Paramètres!$A$1:$I$89,3,0)*VLOOKUP('Données projet'!$B$12,Paramètres!$A$1:$I$89,5,0)</f>
        <v>119.25823</v>
      </c>
      <c r="CA38" s="13">
        <f t="shared" si="39"/>
        <v>31.501931238975171</v>
      </c>
      <c r="CB38" s="20">
        <f t="shared" si="10"/>
        <v>262.57394749121505</v>
      </c>
      <c r="CC38" s="59">
        <f t="shared" si="11"/>
        <v>555.90728082454837</v>
      </c>
      <c r="CD38" s="59">
        <f ca="1">AVERAGE(OFFSET($CC$3,0,0,'Données projet'!$E$12+1,1))-AVERAGE(OFFSET($H$3,0,0,'Données projet'!$E$12+1,1))</f>
        <v>372.05986520199804</v>
      </c>
      <c r="CE38" s="59">
        <f t="shared" si="40"/>
        <v>184.37981929432044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4.0942857142857143</v>
      </c>
      <c r="CT38" s="12">
        <f>IF('Données projet'!$A$140&gt;35,CT37+CS38-DB37,IF(A38&lt;'Données projet'!$A$140,$CQ$205^A38,IF(A38='Données projet'!$A$140,'Données projet'!$B$140,CT37+CS38-DB37)))</f>
        <v>143.3000000000001</v>
      </c>
      <c r="CU38" s="17">
        <f>CT38*VLOOKUP('Données projet'!$B$13,Paramètres!$A$1:$I$89,3,0)*VLOOKUP('Données projet'!$B$13,Paramètres!$A$1:$I$89,5,0)</f>
        <v>129.65784000000008</v>
      </c>
      <c r="CV38" s="13">
        <f t="shared" si="41"/>
        <v>33.917284079455818</v>
      </c>
      <c r="CW38" s="20">
        <f t="shared" si="13"/>
        <v>284.89334110505234</v>
      </c>
      <c r="CX38" s="59">
        <f t="shared" si="14"/>
        <v>578.22667443838566</v>
      </c>
      <c r="CY38" s="59">
        <f ca="1">AVERAGE(OFFSET($CX$3,0,0,'Données projet'!$E$13+1,1))-AVERAGE(OFFSET($H$3,0,0,'Données projet'!$E$13+1,1))</f>
        <v>479.84731392413374</v>
      </c>
      <c r="CZ38" s="59">
        <f t="shared" si="42"/>
        <v>203.57601099841213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23.327500000000001</v>
      </c>
      <c r="N39" s="13">
        <f>IF('Données projet'!$A$36&gt;35,N38+M39-V38,IF(A39&lt;'Données projet'!$A$36,$K$205^A39,IF(A39='Données projet'!$A$36,'Données projet'!$B$36,N38+M39-V38)))</f>
        <v>405.9</v>
      </c>
      <c r="O39" s="13">
        <f>N39*VLOOKUP('Données projet'!$B$9,Paramètres!$A$1:$I$89,3,0)*VLOOKUP('Données projet'!$B$9,Paramètres!$A$1:$I$89,5,0)</f>
        <v>242.72820000000002</v>
      </c>
      <c r="P39" s="13">
        <f t="shared" si="33"/>
        <v>59.026129292443294</v>
      </c>
      <c r="Q39" s="20">
        <f t="shared" si="53"/>
        <v>525.55545685100537</v>
      </c>
      <c r="R39" s="59">
        <f t="shared" si="0"/>
        <v>818.88879018433863</v>
      </c>
      <c r="S39" s="59">
        <f ca="1">AVERAGE(OFFSET($R$3,0,0,'Données projet'!$E$9+1,1))-AVERAGE(OFFSET($H$3,0,0,'Données projet'!$E$9+1,1))</f>
        <v>322.7909000321435</v>
      </c>
      <c r="T39" s="59">
        <f t="shared" si="34"/>
        <v>403.23516981532316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29.196579375924383</v>
      </c>
      <c r="AA39" s="21">
        <f>EXP(-LN(2)/25)*AA38+(1-EXP(-LN(2)/25))/(LN(2)/25)*Calculateur!V39*Calculateur!X39*VLOOKUP('Données projet'!$B$9,Paramètres!$A$1:$I$89,3,0)*0.475*44/12</f>
        <v>17.761290894015282</v>
      </c>
      <c r="AB39" s="21">
        <f>EXP(-LN(2)/2)*AB38+(1-EXP(-LN(2)/2))/(LN(2)/2)*V39*Y39*VLOOKUP('Données projet'!$B$9,Paramètres!$A$1:$I$89,3,0)*0.475*44/12</f>
        <v>2.9985919380883796</v>
      </c>
      <c r="AC39" s="22">
        <f t="shared" si="3"/>
        <v>49.956462208028043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6.4429411764705877</v>
      </c>
      <c r="AI39" s="13">
        <f>IF('Données projet'!$A$62&gt;35,AI38+AH39-AQ38,IF(A39&lt;'Données projet'!$A$62,$AF$205^A39,IF(A39='Données projet'!$A$62,'Données projet'!$B$62,AI38+AH39-AQ38)))</f>
        <v>231.94588235294106</v>
      </c>
      <c r="AJ39" s="13">
        <f>AI39*VLOOKUP('Données projet'!$B$10,Paramètres!$A$1:$I$89,3,0)*VLOOKUP('Données projet'!$B$10,Paramètres!$A$1:$I$89,5,0)</f>
        <v>108.5506729411764</v>
      </c>
      <c r="AK39" s="13">
        <f t="shared" si="35"/>
        <v>28.989248670148307</v>
      </c>
      <c r="AL39" s="20">
        <f t="shared" si="4"/>
        <v>239.5486968063905</v>
      </c>
      <c r="AM39" s="59">
        <f t="shared" si="5"/>
        <v>532.88203013972384</v>
      </c>
      <c r="AN39" s="59">
        <f ca="1">AVERAGE(OFFSET($AM$3,0,0,'Données projet'!$E$10+1,1))-AVERAGE(OFFSET($H$3,0,0,'Données projet'!$E$10+1,1))</f>
        <v>187.82209112143374</v>
      </c>
      <c r="AO39" s="59">
        <f t="shared" si="36"/>
        <v>158.99136654880203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4.4871794871794863</v>
      </c>
      <c r="BD39" s="12">
        <f>IF('Données projet'!$A$88&gt;35,BD38+BC39-BL38,IF(A39&lt;'Données projet'!$A$88,$BA$205^A39,IF(A39='Données projet'!$A$88,'Données projet'!$B$88,BD38+BC39-BL38)))</f>
        <v>78.20512820512819</v>
      </c>
      <c r="BE39" s="13">
        <f>BD39*VLOOKUP('Données projet'!$B$11,Paramètres!$A$1:$I$89,3,0)*VLOOKUP('Données projet'!$B$11,Paramètres!$A$1:$I$89,5,0)</f>
        <v>81.739999999999995</v>
      </c>
      <c r="BF39" s="13">
        <f t="shared" si="37"/>
        <v>22.56208894179845</v>
      </c>
      <c r="BG39" s="20">
        <f t="shared" si="7"/>
        <v>181.65947157363226</v>
      </c>
      <c r="BH39" s="59">
        <f t="shared" si="8"/>
        <v>474.9928049069656</v>
      </c>
      <c r="BI39" s="59">
        <f ca="1">AVERAGE(OFFSET($BH$3,0,0,'Données projet'!$E$11+1,1))-AVERAGE(OFFSET($H$3,0,0,'Données projet'!$E$11+1,1))</f>
        <v>140.32771978791288</v>
      </c>
      <c r="BJ39" s="59">
        <f t="shared" si="38"/>
        <v>135.76866977947634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10.945018178443416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10.945018178443416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3.3603333333333336</v>
      </c>
      <c r="BY39" s="12">
        <f>IF('Données projet'!$A$114&gt;35,BY38+BX39-CG38,IF(A39&lt;'Données projet'!$A$114,$BV$205^A39,IF(A39='Données projet'!$A$114,'Données projet'!$B$114,BY38+BX39-CG38)))</f>
        <v>120.97199999999998</v>
      </c>
      <c r="BZ39" s="13">
        <f>BY39*VLOOKUP('Données projet'!$B$12,Paramètres!$A$1:$I$89,3,0)*VLOOKUP('Données projet'!$B$12,Paramètres!$A$1:$I$89,5,0)</f>
        <v>122.66560799999998</v>
      </c>
      <c r="CA39" s="13">
        <f t="shared" si="39"/>
        <v>32.295911394857214</v>
      </c>
      <c r="CB39" s="20">
        <f t="shared" si="10"/>
        <v>269.89131294604289</v>
      </c>
      <c r="CC39" s="59">
        <f t="shared" si="11"/>
        <v>563.2246462793762</v>
      </c>
      <c r="CD39" s="59">
        <f ca="1">AVERAGE(OFFSET($CC$3,0,0,'Données projet'!$E$12+1,1))-AVERAGE(OFFSET($H$3,0,0,'Données projet'!$E$12+1,1))</f>
        <v>372.05986520199804</v>
      </c>
      <c r="CE39" s="59">
        <f t="shared" si="40"/>
        <v>184.37981929432044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4.0942857142857143</v>
      </c>
      <c r="CT39" s="12">
        <f>IF('Données projet'!$A$140&gt;35,CT38+CS39-DB38,IF(A39&lt;'Données projet'!$A$140,$CQ$205^A39,IF(A39='Données projet'!$A$140,'Données projet'!$B$140,CT38+CS39-DB38)))</f>
        <v>147.39428571428581</v>
      </c>
      <c r="CU39" s="17">
        <f>CT39*VLOOKUP('Données projet'!$B$13,Paramètres!$A$1:$I$89,3,0)*VLOOKUP('Données projet'!$B$13,Paramètres!$A$1:$I$89,5,0)</f>
        <v>133.36234971428578</v>
      </c>
      <c r="CV39" s="13">
        <f t="shared" si="41"/>
        <v>34.772141208569977</v>
      </c>
      <c r="CW39" s="20">
        <f t="shared" si="13"/>
        <v>292.83423835730713</v>
      </c>
      <c r="CX39" s="59">
        <f t="shared" si="14"/>
        <v>586.16757169064044</v>
      </c>
      <c r="CY39" s="59">
        <f ca="1">AVERAGE(OFFSET($CX$3,0,0,'Données projet'!$E$13+1,1))-AVERAGE(OFFSET($H$3,0,0,'Données projet'!$E$13+1,1))</f>
        <v>479.84731392413374</v>
      </c>
      <c r="CZ39" s="59">
        <f t="shared" si="42"/>
        <v>203.57601099841213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23.327500000000001</v>
      </c>
      <c r="N40" s="13">
        <f>IF('Données projet'!$A$36&gt;35,N39+M40-V39,IF(A40&lt;'Données projet'!$A$36,$K$205^A40,IF(A40='Données projet'!$A$36,'Données projet'!$B$36,N39+M40-V39)))</f>
        <v>429.22749999999996</v>
      </c>
      <c r="O40" s="13">
        <f>N40*VLOOKUP('Données projet'!$B$9,Paramètres!$A$1:$I$89,3,0)*VLOOKUP('Données projet'!$B$9,Paramètres!$A$1:$I$89,5,0)</f>
        <v>256.678045</v>
      </c>
      <c r="P40" s="13">
        <f t="shared" si="33"/>
        <v>62.013742319875981</v>
      </c>
      <c r="Q40" s="20">
        <f t="shared" si="53"/>
        <v>555.0548629154506</v>
      </c>
      <c r="R40" s="59">
        <f t="shared" si="0"/>
        <v>848.38819624878397</v>
      </c>
      <c r="S40" s="59">
        <f ca="1">AVERAGE(OFFSET($R$3,0,0,'Données projet'!$E$9+1,1))-AVERAGE(OFFSET($H$3,0,0,'Données projet'!$E$9+1,1))</f>
        <v>322.7909000321435</v>
      </c>
      <c r="T40" s="59">
        <f t="shared" si="34"/>
        <v>403.23516981532316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28.624052262517516</v>
      </c>
      <c r="AA40" s="21">
        <f>EXP(-LN(2)/25)*AA39+(1-EXP(-LN(2)/25))/(LN(2)/25)*Calculateur!V40*Calculateur!X40*VLOOKUP('Données projet'!$B$9,Paramètres!$A$1:$I$89,3,0)*0.475*44/12</f>
        <v>17.27560746049274</v>
      </c>
      <c r="AB40" s="21">
        <f>EXP(-LN(2)/2)*AB39+(1-EXP(-LN(2)/2))/(LN(2)/2)*V40*Y40*VLOOKUP('Données projet'!$B$9,Paramètres!$A$1:$I$89,3,0)*0.475*44/12</f>
        <v>2.1203246934336053</v>
      </c>
      <c r="AC40" s="22">
        <f t="shared" si="3"/>
        <v>48.019984416443862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6.4429411764705877</v>
      </c>
      <c r="AI40" s="13">
        <f>IF('Données projet'!$A$62&gt;35,AI39+AH40-AQ39,IF(A40&lt;'Données projet'!$A$62,$AF$205^A40,IF(A40='Données projet'!$A$62,'Données projet'!$B$62,AI39+AH40-AQ39)))</f>
        <v>238.38882352941164</v>
      </c>
      <c r="AJ40" s="13">
        <f>AI40*VLOOKUP('Données projet'!$B$10,Paramètres!$A$1:$I$89,3,0)*VLOOKUP('Données projet'!$B$10,Paramètres!$A$1:$I$89,5,0)</f>
        <v>111.56596941176464</v>
      </c>
      <c r="AK40" s="13">
        <f t="shared" si="35"/>
        <v>29.699635093753383</v>
      </c>
      <c r="AL40" s="20">
        <f t="shared" si="4"/>
        <v>246.03759451377718</v>
      </c>
      <c r="AM40" s="59">
        <f t="shared" si="5"/>
        <v>539.37092784711047</v>
      </c>
      <c r="AN40" s="59">
        <f ca="1">AVERAGE(OFFSET($AM$3,0,0,'Données projet'!$E$10+1,1))-AVERAGE(OFFSET($H$3,0,0,'Données projet'!$E$10+1,1))</f>
        <v>187.82209112143374</v>
      </c>
      <c r="AO40" s="59">
        <f t="shared" si="36"/>
        <v>158.99136654880203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4.4871794871794863</v>
      </c>
      <c r="BD40" s="12">
        <f>IF('Données projet'!$A$88&gt;35,BD39+BC40-BL39,IF(A40&lt;'Données projet'!$A$88,$BA$205^A40,IF(A40='Données projet'!$A$88,'Données projet'!$B$88,BD39+BC40-BL39)))</f>
        <v>82.692307692307679</v>
      </c>
      <c r="BE40" s="13">
        <f>BD40*VLOOKUP('Données projet'!$B$11,Paramètres!$A$1:$I$89,3,0)*VLOOKUP('Données projet'!$B$11,Paramètres!$A$1:$I$89,5,0)</f>
        <v>86.429999999999993</v>
      </c>
      <c r="BF40" s="13">
        <f t="shared" si="37"/>
        <v>23.702209286798929</v>
      </c>
      <c r="BG40" s="20">
        <f t="shared" si="7"/>
        <v>191.81359784117478</v>
      </c>
      <c r="BH40" s="59">
        <f t="shared" si="8"/>
        <v>485.1469311745081</v>
      </c>
      <c r="BI40" s="59">
        <f ca="1">AVERAGE(OFFSET($BH$3,0,0,'Données projet'!$E$11+1,1))-AVERAGE(OFFSET($H$3,0,0,'Données projet'!$E$11+1,1))</f>
        <v>140.32771978791288</v>
      </c>
      <c r="BJ40" s="59">
        <f t="shared" si="38"/>
        <v>135.76866977947634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10.64572608078039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10.64572608078039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3.3603333333333336</v>
      </c>
      <c r="BY40" s="12">
        <f>IF('Données projet'!$A$114&gt;35,BY39+BX40-CG39,IF(A40&lt;'Données projet'!$A$114,$BV$205^A40,IF(A40='Données projet'!$A$114,'Données projet'!$B$114,BY39+BX40-CG39)))</f>
        <v>124.33233333333331</v>
      </c>
      <c r="BZ40" s="13">
        <f>BY40*VLOOKUP('Données projet'!$B$12,Paramètres!$A$1:$I$89,3,0)*VLOOKUP('Données projet'!$B$12,Paramètres!$A$1:$I$89,5,0)</f>
        <v>126.07298599999999</v>
      </c>
      <c r="CA40" s="13">
        <f t="shared" si="39"/>
        <v>33.08732814573294</v>
      </c>
      <c r="CB40" s="20">
        <f t="shared" si="10"/>
        <v>277.20421380381816</v>
      </c>
      <c r="CC40" s="59">
        <f t="shared" si="11"/>
        <v>570.53754713715148</v>
      </c>
      <c r="CD40" s="59">
        <f ca="1">AVERAGE(OFFSET($CC$3,0,0,'Données projet'!$E$12+1,1))-AVERAGE(OFFSET($H$3,0,0,'Données projet'!$E$12+1,1))</f>
        <v>372.05986520199804</v>
      </c>
      <c r="CE40" s="59">
        <f t="shared" si="40"/>
        <v>184.37981929432044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4.0942857142857143</v>
      </c>
      <c r="CT40" s="12">
        <f>IF('Données projet'!$A$140&gt;35,CT39+CS40-DB39,IF(A40&lt;'Données projet'!$A$140,$CQ$205^A40,IF(A40='Données projet'!$A$140,'Données projet'!$B$140,CT39+CS40-DB39)))</f>
        <v>151.48857142857153</v>
      </c>
      <c r="CU40" s="17">
        <f>CT40*VLOOKUP('Données projet'!$B$13,Paramètres!$A$1:$I$89,3,0)*VLOOKUP('Données projet'!$B$13,Paramètres!$A$1:$I$89,5,0)</f>
        <v>137.06685942857152</v>
      </c>
      <c r="CV40" s="13">
        <f t="shared" si="41"/>
        <v>35.624238388297236</v>
      </c>
      <c r="CW40" s="20">
        <f t="shared" si="13"/>
        <v>300.77032869771307</v>
      </c>
      <c r="CX40" s="59">
        <f t="shared" si="14"/>
        <v>594.10366203104638</v>
      </c>
      <c r="CY40" s="59">
        <f ca="1">AVERAGE(OFFSET($CX$3,0,0,'Données projet'!$E$13+1,1))-AVERAGE(OFFSET($H$3,0,0,'Données projet'!$E$13+1,1))</f>
        <v>479.84731392413374</v>
      </c>
      <c r="CZ40" s="59">
        <f t="shared" si="42"/>
        <v>203.57601099841213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23.327500000000001</v>
      </c>
      <c r="N41" s="13">
        <f>IF('Données projet'!$A$36&gt;35,N40+M41-V40,IF(A41&lt;'Données projet'!$A$36,$K$205^A41,IF(A41='Données projet'!$A$36,'Données projet'!$B$36,N40+M41-V40)))</f>
        <v>452.55499999999995</v>
      </c>
      <c r="O41" s="13">
        <f>N41*VLOOKUP('Données projet'!$B$9,Paramètres!$A$1:$I$89,3,0)*VLOOKUP('Données projet'!$B$9,Paramètres!$A$1:$I$89,5,0)</f>
        <v>270.62788999999998</v>
      </c>
      <c r="P41" s="13">
        <f t="shared" si="33"/>
        <v>64.982505373007044</v>
      </c>
      <c r="Q41" s="20">
        <f t="shared" si="53"/>
        <v>584.52143860798708</v>
      </c>
      <c r="R41" s="59">
        <f t="shared" si="0"/>
        <v>877.85477194132045</v>
      </c>
      <c r="S41" s="59">
        <f ca="1">AVERAGE(OFFSET($R$3,0,0,'Données projet'!$E$9+1,1))-AVERAGE(OFFSET($H$3,0,0,'Données projet'!$E$9+1,1))</f>
        <v>322.7909000321435</v>
      </c>
      <c r="T41" s="59">
        <f t="shared" si="34"/>
        <v>403.23516981532316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28.0627520565975</v>
      </c>
      <c r="AA41" s="21">
        <f>EXP(-LN(2)/25)*AA40+(1-EXP(-LN(2)/25))/(LN(2)/25)*Calculateur!V41*Calculateur!X41*VLOOKUP('Données projet'!$B$9,Paramètres!$A$1:$I$89,3,0)*0.475*44/12</f>
        <v>16.803205066000853</v>
      </c>
      <c r="AB41" s="21">
        <f>EXP(-LN(2)/2)*AB40+(1-EXP(-LN(2)/2))/(LN(2)/2)*V41*Y41*VLOOKUP('Données projet'!$B$9,Paramètres!$A$1:$I$89,3,0)*0.475*44/12</f>
        <v>1.4992959690441898</v>
      </c>
      <c r="AC41" s="22">
        <f t="shared" si="3"/>
        <v>46.365253091642543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6.4429411764705877</v>
      </c>
      <c r="AI41" s="13">
        <f>IF('Données projet'!$A$62&gt;35,AI40+AH41-AQ40,IF(A41&lt;'Données projet'!$A$62,$AF$205^A41,IF(A41='Données projet'!$A$62,'Données projet'!$B$62,AI40+AH41-AQ40)))</f>
        <v>244.83176470588222</v>
      </c>
      <c r="AJ41" s="13">
        <f>AI41*VLOOKUP('Données projet'!$B$10,Paramètres!$A$1:$I$89,3,0)*VLOOKUP('Données projet'!$B$10,Paramètres!$A$1:$I$89,5,0)</f>
        <v>114.58126588235287</v>
      </c>
      <c r="AK41" s="13">
        <f t="shared" si="35"/>
        <v>30.407789904629308</v>
      </c>
      <c r="AL41" s="20">
        <f t="shared" si="4"/>
        <v>252.5226054956606</v>
      </c>
      <c r="AM41" s="59">
        <f t="shared" si="5"/>
        <v>545.85593882899389</v>
      </c>
      <c r="AN41" s="59">
        <f ca="1">AVERAGE(OFFSET($AM$3,0,0,'Données projet'!$E$10+1,1))-AVERAGE(OFFSET($H$3,0,0,'Données projet'!$E$10+1,1))</f>
        <v>187.82209112143374</v>
      </c>
      <c r="AO41" s="59">
        <f t="shared" si="36"/>
        <v>158.99136654880203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4.4871794871794863</v>
      </c>
      <c r="BD41" s="12">
        <f>IF('Données projet'!$A$88&gt;35,BD40+BC41-BL40,IF(A41&lt;'Données projet'!$A$88,$BA$205^A41,IF(A41='Données projet'!$A$88,'Données projet'!$B$88,BD40+BC41-BL40)))</f>
        <v>87.179487179487168</v>
      </c>
      <c r="BE41" s="13">
        <f>BD41*VLOOKUP('Données projet'!$B$11,Paramètres!$A$1:$I$89,3,0)*VLOOKUP('Données projet'!$B$11,Paramètres!$A$1:$I$89,5,0)</f>
        <v>91.12</v>
      </c>
      <c r="BF41" s="13">
        <f t="shared" si="37"/>
        <v>24.835147287678563</v>
      </c>
      <c r="BG41" s="20">
        <f t="shared" si="7"/>
        <v>201.95521485937351</v>
      </c>
      <c r="BH41" s="59">
        <f t="shared" si="8"/>
        <v>495.2885481927068</v>
      </c>
      <c r="BI41" s="59">
        <f ca="1">AVERAGE(OFFSET($BH$3,0,0,'Données projet'!$E$11+1,1))-AVERAGE(OFFSET($H$3,0,0,'Données projet'!$E$11+1,1))</f>
        <v>140.32771978791288</v>
      </c>
      <c r="BJ41" s="59">
        <f t="shared" si="38"/>
        <v>135.76866977947634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10.354618141267046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10.354618141267046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3.3603333333333336</v>
      </c>
      <c r="BY41" s="12">
        <f>IF('Données projet'!$A$114&gt;35,BY40+BX41-CG40,IF(A41&lt;'Données projet'!$A$114,$BV$205^A41,IF(A41='Données projet'!$A$114,'Données projet'!$B$114,BY40+BX41-CG40)))</f>
        <v>127.69266666666664</v>
      </c>
      <c r="BZ41" s="13">
        <f>BY41*VLOOKUP('Données projet'!$B$12,Paramètres!$A$1:$I$89,3,0)*VLOOKUP('Données projet'!$B$12,Paramètres!$A$1:$I$89,5,0)</f>
        <v>129.48036399999998</v>
      </c>
      <c r="CA41" s="13">
        <f t="shared" si="39"/>
        <v>33.876258734659984</v>
      </c>
      <c r="CB41" s="20">
        <f t="shared" si="10"/>
        <v>284.51278459619942</v>
      </c>
      <c r="CC41" s="59">
        <f t="shared" si="11"/>
        <v>577.84611792953274</v>
      </c>
      <c r="CD41" s="59">
        <f ca="1">AVERAGE(OFFSET($CC$3,0,0,'Données projet'!$E$12+1,1))-AVERAGE(OFFSET($H$3,0,0,'Données projet'!$E$12+1,1))</f>
        <v>372.05986520199804</v>
      </c>
      <c r="CE41" s="59">
        <f t="shared" si="40"/>
        <v>184.37981929432044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4.0942857142857143</v>
      </c>
      <c r="CT41" s="12">
        <f>IF('Données projet'!$A$140&gt;35,CT40+CS41-DB40,IF(A41&lt;'Données projet'!$A$140,$CQ$205^A41,IF(A41='Données projet'!$A$140,'Données projet'!$B$140,CT40+CS41-DB40)))</f>
        <v>155.58285714285725</v>
      </c>
      <c r="CU41" s="17">
        <f>CT41*VLOOKUP('Données projet'!$B$13,Paramètres!$A$1:$I$89,3,0)*VLOOKUP('Données projet'!$B$13,Paramètres!$A$1:$I$89,5,0)</f>
        <v>140.77136914285722</v>
      </c>
      <c r="CV41" s="13">
        <f t="shared" si="41"/>
        <v>36.473658784165018</v>
      </c>
      <c r="CW41" s="20">
        <f t="shared" si="13"/>
        <v>308.70175697289704</v>
      </c>
      <c r="CX41" s="59">
        <f t="shared" si="14"/>
        <v>602.03509030623036</v>
      </c>
      <c r="CY41" s="59">
        <f ca="1">AVERAGE(OFFSET($CX$3,0,0,'Données projet'!$E$13+1,1))-AVERAGE(OFFSET($H$3,0,0,'Données projet'!$E$13+1,1))</f>
        <v>479.84731392413374</v>
      </c>
      <c r="CZ41" s="59">
        <f t="shared" si="42"/>
        <v>203.57601099841213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23.327500000000001</v>
      </c>
      <c r="N42" s="13">
        <f>IF('Données projet'!$A$36&gt;35,N41+M42-V41,IF(A42&lt;'Données projet'!$A$36,$K$205^A42,IF(A42='Données projet'!$A$36,'Données projet'!$B$36,N41+M42-V41)))</f>
        <v>475.88249999999994</v>
      </c>
      <c r="O42" s="13">
        <f>N42*VLOOKUP('Données projet'!$B$9,Paramètres!$A$1:$I$89,3,0)*VLOOKUP('Données projet'!$B$9,Paramètres!$A$1:$I$89,5,0)</f>
        <v>284.57773500000002</v>
      </c>
      <c r="P42" s="13">
        <f t="shared" si="33"/>
        <v>67.933500931126744</v>
      </c>
      <c r="Q42" s="20">
        <f t="shared" si="53"/>
        <v>613.95706924671242</v>
      </c>
      <c r="R42" s="59">
        <f t="shared" si="0"/>
        <v>907.29040258004579</v>
      </c>
      <c r="S42" s="59">
        <f ca="1">AVERAGE(OFFSET($R$3,0,0,'Données projet'!$E$9+1,1))-AVERAGE(OFFSET($H$3,0,0,'Données projet'!$E$9+1,1))</f>
        <v>322.7909000321435</v>
      </c>
      <c r="T42" s="59">
        <f t="shared" si="34"/>
        <v>403.23516981532316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27.512458605356255</v>
      </c>
      <c r="AA42" s="21">
        <f>EXP(-LN(2)/25)*AA41+(1-EXP(-LN(2)/25))/(LN(2)/25)*Calculateur!V42*Calculateur!X42*VLOOKUP('Données projet'!$B$9,Paramètres!$A$1:$I$89,3,0)*0.475*44/12</f>
        <v>16.343720539828908</v>
      </c>
      <c r="AB42" s="21">
        <f>EXP(-LN(2)/2)*AB41+(1-EXP(-LN(2)/2))/(LN(2)/2)*V42*Y42*VLOOKUP('Données projet'!$B$9,Paramètres!$A$1:$I$89,3,0)*0.475*44/12</f>
        <v>1.0601623467168027</v>
      </c>
      <c r="AC42" s="22">
        <f t="shared" si="3"/>
        <v>44.916341491901967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6.4429411764705877</v>
      </c>
      <c r="AI42" s="13">
        <f>IF('Données projet'!$A$62&gt;35,AI41+AH42-AQ41,IF(A42&lt;'Données projet'!$A$62,$AF$205^A42,IF(A42='Données projet'!$A$62,'Données projet'!$B$62,AI41+AH42-AQ41)))</f>
        <v>251.27470588235281</v>
      </c>
      <c r="AJ42" s="13">
        <f>AI42*VLOOKUP('Données projet'!$B$10,Paramètres!$A$1:$I$89,3,0)*VLOOKUP('Données projet'!$B$10,Paramètres!$A$1:$I$89,5,0)</f>
        <v>117.59656235294111</v>
      </c>
      <c r="AK42" s="13">
        <f t="shared" si="35"/>
        <v>31.113778580195845</v>
      </c>
      <c r="AL42" s="20">
        <f t="shared" si="4"/>
        <v>259.00384379188023</v>
      </c>
      <c r="AM42" s="59">
        <f t="shared" si="5"/>
        <v>552.33717712521354</v>
      </c>
      <c r="AN42" s="59">
        <f ca="1">AVERAGE(OFFSET($AM$3,0,0,'Données projet'!$E$10+1,1))-AVERAGE(OFFSET($H$3,0,0,'Données projet'!$E$10+1,1))</f>
        <v>187.82209112143374</v>
      </c>
      <c r="AO42" s="59">
        <f t="shared" si="36"/>
        <v>158.99136654880203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4.4871794871794863</v>
      </c>
      <c r="BD42" s="12">
        <f>IF('Données projet'!$A$88&gt;35,BD41+BC42-BL41,IF(A42&lt;'Données projet'!$A$88,$BA$205^A42,IF(A42='Données projet'!$A$88,'Données projet'!$B$88,BD41+BC42-BL41)))</f>
        <v>91.666666666666657</v>
      </c>
      <c r="BE42" s="13">
        <f>BD42*VLOOKUP('Données projet'!$B$11,Paramètres!$A$1:$I$89,3,0)*VLOOKUP('Données projet'!$B$11,Paramètres!$A$1:$I$89,5,0)</f>
        <v>95.81</v>
      </c>
      <c r="BF42" s="13">
        <f t="shared" si="37"/>
        <v>25.961314793499493</v>
      </c>
      <c r="BG42" s="20">
        <f t="shared" si="7"/>
        <v>212.08503993201165</v>
      </c>
      <c r="BH42" s="59">
        <f t="shared" si="8"/>
        <v>505.41837326534494</v>
      </c>
      <c r="BI42" s="59">
        <f ca="1">AVERAGE(OFFSET($BH$3,0,0,'Données projet'!$E$11+1,1))-AVERAGE(OFFSET($H$3,0,0,'Données projet'!$E$11+1,1))</f>
        <v>140.32771978791288</v>
      </c>
      <c r="BJ42" s="59">
        <f t="shared" si="38"/>
        <v>135.76866977947634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10.071470563668397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10.071470563668397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3.3603333333333336</v>
      </c>
      <c r="BY42" s="12">
        <f>IF('Données projet'!$A$114&gt;35,BY41+BX42-CG41,IF(A42&lt;'Données projet'!$A$114,$BV$205^A42,IF(A42='Données projet'!$A$114,'Données projet'!$B$114,BY41+BX42-CG41)))</f>
        <v>131.05299999999997</v>
      </c>
      <c r="BZ42" s="13">
        <f>BY42*VLOOKUP('Données projet'!$B$12,Paramètres!$A$1:$I$89,3,0)*VLOOKUP('Données projet'!$B$12,Paramètres!$A$1:$I$89,5,0)</f>
        <v>132.88774199999997</v>
      </c>
      <c r="CA42" s="13">
        <f t="shared" si="39"/>
        <v>34.662776107749004</v>
      </c>
      <c r="CB42" s="20">
        <f t="shared" si="10"/>
        <v>291.81715237099615</v>
      </c>
      <c r="CC42" s="59">
        <f t="shared" si="11"/>
        <v>585.15048570432941</v>
      </c>
      <c r="CD42" s="59">
        <f ca="1">AVERAGE(OFFSET($CC$3,0,0,'Données projet'!$E$12+1,1))-AVERAGE(OFFSET($H$3,0,0,'Données projet'!$E$12+1,1))</f>
        <v>372.05986520199804</v>
      </c>
      <c r="CE42" s="59">
        <f t="shared" si="40"/>
        <v>184.37981929432044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4.0942857142857143</v>
      </c>
      <c r="CT42" s="12">
        <f>IF('Données projet'!$A$140&gt;35,CT41+CS42-DB41,IF(A42&lt;'Données projet'!$A$140,$CQ$205^A42,IF(A42='Données projet'!$A$140,'Données projet'!$B$140,CT41+CS42-DB41)))</f>
        <v>159.67714285714297</v>
      </c>
      <c r="CU42" s="17">
        <f>CT42*VLOOKUP('Données projet'!$B$13,Paramètres!$A$1:$I$89,3,0)*VLOOKUP('Données projet'!$B$13,Paramètres!$A$1:$I$89,5,0)</f>
        <v>144.47587885714296</v>
      </c>
      <c r="CV42" s="13">
        <f t="shared" si="41"/>
        <v>37.320480935293446</v>
      </c>
      <c r="CW42" s="20">
        <f t="shared" si="13"/>
        <v>316.62865997182678</v>
      </c>
      <c r="CX42" s="59">
        <f t="shared" si="14"/>
        <v>609.96199330516015</v>
      </c>
      <c r="CY42" s="59">
        <f ca="1">AVERAGE(OFFSET($CX$3,0,0,'Données projet'!$E$13+1,1))-AVERAGE(OFFSET($H$3,0,0,'Données projet'!$E$13+1,1))</f>
        <v>479.84731392413374</v>
      </c>
      <c r="CZ42" s="59">
        <f t="shared" si="42"/>
        <v>203.57601099841213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499.21</v>
      </c>
      <c r="L43" s="12">
        <f>VLOOKUP(A43,'Données projet'!$A$35:$I$55,9,0)</f>
        <v>23.327500000000001</v>
      </c>
      <c r="M43" s="12">
        <f t="array" ref="M43">INDEX(L:L,MIN(IF(ISNUMBER(L43:L239),ROW(L43:L239),"")))</f>
        <v>23.327500000000001</v>
      </c>
      <c r="N43" s="13">
        <f>IF('Données projet'!$A$36&gt;35,N42+M43-V42,IF(A43&lt;'Données projet'!$A$36,$K$205^A43,IF(A43='Données projet'!$A$36,'Données projet'!$B$36,N42+M43-V42)))</f>
        <v>499.20999999999992</v>
      </c>
      <c r="O43" s="13">
        <f>N43*VLOOKUP('Données projet'!$B$9,Paramètres!$A$1:$I$89,3,0)*VLOOKUP('Données projet'!$B$9,Paramètres!$A$1:$I$89,5,0)</f>
        <v>298.52758</v>
      </c>
      <c r="P43" s="13">
        <f t="shared" si="33"/>
        <v>70.867699352870133</v>
      </c>
      <c r="Q43" s="20">
        <f t="shared" si="53"/>
        <v>643.36344487291547</v>
      </c>
      <c r="R43" s="59">
        <f t="shared" si="0"/>
        <v>936.69677820624884</v>
      </c>
      <c r="S43" s="59">
        <f ca="1">AVERAGE(OFFSET($R$3,0,0,'Données projet'!$E$9+1,1))-AVERAGE(OFFSET($H$3,0,0,'Données projet'!$E$9+1,1))</f>
        <v>322.7909000321435</v>
      </c>
      <c r="T43" s="59">
        <f t="shared" si="34"/>
        <v>403.23516981532316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116.63</v>
      </c>
      <c r="W43" s="16">
        <f>IF(ISNA(VLOOKUP(A43,'Données projet'!$A$35:$I$55,5,0)),0%,VLOOKUP(A43,'Données projet'!$A$35:$I$55,5,0)*VLOOKUP('Données projet'!$B$9,Paramètres!$A$1:$I$89,7,0))</f>
        <v>0.27</v>
      </c>
      <c r="X43" s="16">
        <f>IF(ISNA(VLOOKUP(A43,'Données projet'!$A$35:$I$55,6,0)),0%,VLOOKUP(A43,'Données projet'!$A$35:$I$55,6,0)*VLOOKUP('Données projet'!$B$9,Paramètres!$A$1:$I$89,7,0))</f>
        <v>9.0000000000000011E-2</v>
      </c>
      <c r="Y43" s="16">
        <f>IF(ISNA(VLOOKUP(A43,'Données projet'!$A$35:$I$55,7,0)),0%,VLOOKUP(A43,'Données projet'!$A$35:$I$55,7,0))</f>
        <v>0.2</v>
      </c>
      <c r="Z43" s="21">
        <f>EXP(-LN(2)/35)*Z42+(1-EXP(-LN(2)/35))/(LN(2)/35)*V43*W43*VLOOKUP('Données projet'!$B$9,Paramètres!$A$1:$I$89,3,0)*0.475*44/12</f>
        <v>51.953597193273517</v>
      </c>
      <c r="AA43" s="21">
        <f>EXP(-LN(2)/25)*AA42+(1-EXP(-LN(2)/25))/(LN(2)/25)*Calculateur!V43*Calculateur!X43*VLOOKUP('Données projet'!$B$9,Paramètres!$A$1:$I$89,3,0)*0.475*44/12</f>
        <v>24.190894914776614</v>
      </c>
      <c r="AB43" s="21">
        <f>EXP(-LN(2)/2)*AB42+(1-EXP(-LN(2)/2))/(LN(2)/2)*V43*Y43*VLOOKUP('Données projet'!$B$9,Paramètres!$A$1:$I$89,3,0)*0.475*44/12</f>
        <v>16.543097426639296</v>
      </c>
      <c r="AC43" s="22">
        <f t="shared" si="3"/>
        <v>92.687589534689423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6.4429411764705877</v>
      </c>
      <c r="AI43" s="13">
        <f>IF('Données projet'!$A$62&gt;35,AI42+AH43-AQ42,IF(A43&lt;'Données projet'!$A$62,$AF$205^A43,IF(A43='Données projet'!$A$62,'Données projet'!$B$62,AI42+AH43-AQ42)))</f>
        <v>257.71764705882339</v>
      </c>
      <c r="AJ43" s="13">
        <f>AI43*VLOOKUP('Données projet'!$B$10,Paramètres!$A$1:$I$89,3,0)*VLOOKUP('Données projet'!$B$10,Paramètres!$A$1:$I$89,5,0)</f>
        <v>120.61185882352935</v>
      </c>
      <c r="AK43" s="13">
        <f t="shared" si="35"/>
        <v>31.817663048755449</v>
      </c>
      <c r="AL43" s="20">
        <f t="shared" si="4"/>
        <v>265.48141726089602</v>
      </c>
      <c r="AM43" s="59">
        <f t="shared" si="5"/>
        <v>558.81475059422928</v>
      </c>
      <c r="AN43" s="59">
        <f ca="1">AVERAGE(OFFSET($AM$3,0,0,'Données projet'!$E$10+1,1))-AVERAGE(OFFSET($H$3,0,0,'Données projet'!$E$10+1,1))</f>
        <v>187.82209112143374</v>
      </c>
      <c r="AO43" s="59">
        <f t="shared" si="36"/>
        <v>158.99136654880203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96.153846153846146</v>
      </c>
      <c r="BB43" s="12">
        <f>VLOOKUP(A43,'Données projet'!$A$87:$I$107,9,0)</f>
        <v>4.4871794871794863</v>
      </c>
      <c r="BC43" s="12">
        <f t="array" ref="BC43">INDEX(BB:BB,MIN(IF(ISNUMBER(BB43:BB239),ROW(BB43:BB239),"")))</f>
        <v>4.4871794871794863</v>
      </c>
      <c r="BD43" s="12">
        <f>IF('Données projet'!$A$88&gt;35,BD42+BC43-BL42,IF(A43&lt;'Données projet'!$A$88,$BA$205^A43,IF(A43='Données projet'!$A$88,'Données projet'!$B$88,BD42+BC43-BL42)))</f>
        <v>96.153846153846146</v>
      </c>
      <c r="BE43" s="13">
        <f>BD43*VLOOKUP('Données projet'!$B$11,Paramètres!$A$1:$I$89,3,0)*VLOOKUP('Données projet'!$B$11,Paramètres!$A$1:$I$89,5,0)</f>
        <v>100.5</v>
      </c>
      <c r="BF43" s="13">
        <f t="shared" si="37"/>
        <v>27.081081054477867</v>
      </c>
      <c r="BG43" s="20">
        <f t="shared" si="7"/>
        <v>222.20371616988226</v>
      </c>
      <c r="BH43" s="59">
        <f t="shared" si="8"/>
        <v>515.5370495032156</v>
      </c>
      <c r="BI43" s="59">
        <f ca="1">AVERAGE(OFFSET($BH$3,0,0,'Données projet'!$E$11+1,1))-AVERAGE(OFFSET($H$3,0,0,'Données projet'!$E$11+1,1))</f>
        <v>140.32771978791288</v>
      </c>
      <c r="BJ43" s="59">
        <f t="shared" si="38"/>
        <v>135.76866977947634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12.820512820512819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0.215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12.968385826913392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12.968385826913392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3.3603333333333336</v>
      </c>
      <c r="BY43" s="12">
        <f>IF('Données projet'!$A$114&gt;35,BY42+BX43-CG42,IF(A43&lt;'Données projet'!$A$114,$BV$205^A43,IF(A43='Données projet'!$A$114,'Données projet'!$B$114,BY42+BX43-CG42)))</f>
        <v>134.4133333333333</v>
      </c>
      <c r="BZ43" s="13">
        <f>BY43*VLOOKUP('Données projet'!$B$12,Paramètres!$A$1:$I$89,3,0)*VLOOKUP('Données projet'!$B$12,Paramètres!$A$1:$I$89,5,0)</f>
        <v>136.29511999999997</v>
      </c>
      <c r="CA43" s="13">
        <f t="shared" si="39"/>
        <v>35.44694925716302</v>
      </c>
      <c r="CB43" s="20">
        <f t="shared" si="10"/>
        <v>299.11743728955889</v>
      </c>
      <c r="CC43" s="59">
        <f t="shared" si="11"/>
        <v>592.45077062289215</v>
      </c>
      <c r="CD43" s="59">
        <f ca="1">AVERAGE(OFFSET($CC$3,0,0,'Données projet'!$E$12+1,1))-AVERAGE(OFFSET($H$3,0,0,'Données projet'!$E$12+1,1))</f>
        <v>372.05986520199804</v>
      </c>
      <c r="CE43" s="59">
        <f t="shared" si="40"/>
        <v>184.37981929432044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4.0942857142857143</v>
      </c>
      <c r="CT43" s="12">
        <f>IF('Données projet'!$A$140&gt;35,CT42+CS43-DB42,IF(A43&lt;'Données projet'!$A$140,$CQ$205^A43,IF(A43='Données projet'!$A$140,'Données projet'!$B$140,CT42+CS43-DB42)))</f>
        <v>163.77142857142869</v>
      </c>
      <c r="CU43" s="17">
        <f>CT43*VLOOKUP('Données projet'!$B$13,Paramètres!$A$1:$I$89,3,0)*VLOOKUP('Données projet'!$B$13,Paramètres!$A$1:$I$89,5,0)</f>
        <v>148.18038857142867</v>
      </c>
      <c r="CV43" s="13">
        <f t="shared" si="41"/>
        <v>38.16477912369308</v>
      </c>
      <c r="CW43" s="20">
        <f t="shared" si="13"/>
        <v>324.55116706900372</v>
      </c>
      <c r="CX43" s="59">
        <f t="shared" si="14"/>
        <v>617.88450040233704</v>
      </c>
      <c r="CY43" s="59">
        <f ca="1">AVERAGE(OFFSET($CX$3,0,0,'Données projet'!$E$13+1,1))-AVERAGE(OFFSET($H$3,0,0,'Données projet'!$E$13+1,1))</f>
        <v>479.84731392413374</v>
      </c>
      <c r="CZ43" s="59">
        <f t="shared" si="42"/>
        <v>203.57601099841213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19.548750000000005</v>
      </c>
      <c r="N44" s="13">
        <f>IF('Données projet'!$A$36&gt;35,N43+M44-V43,IF(A44&lt;'Données projet'!$A$36,$K$205^A44,IF(A44='Données projet'!$A$36,'Données projet'!$B$36,N43+M44-V43)))</f>
        <v>402.12874999999997</v>
      </c>
      <c r="O44" s="13">
        <f>N44*VLOOKUP('Données projet'!$B$9,Paramètres!$A$1:$I$89,3,0)*VLOOKUP('Données projet'!$B$9,Paramètres!$A$1:$I$89,5,0)</f>
        <v>240.47299249999998</v>
      </c>
      <c r="P44" s="13">
        <f t="shared" si="33"/>
        <v>58.541285458570243</v>
      </c>
      <c r="Q44" s="20">
        <f t="shared" si="53"/>
        <v>520.78320077784304</v>
      </c>
      <c r="R44" s="59">
        <f t="shared" si="0"/>
        <v>814.11653411117641</v>
      </c>
      <c r="S44" s="59">
        <f ca="1">AVERAGE(OFFSET($R$3,0,0,'Données projet'!$E$9+1,1))-AVERAGE(OFFSET($H$3,0,0,'Données projet'!$E$9+1,1))</f>
        <v>322.7909000321435</v>
      </c>
      <c r="T44" s="59">
        <f t="shared" si="34"/>
        <v>403.23516981532316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50.934818840878727</v>
      </c>
      <c r="AA44" s="21">
        <f>EXP(-LN(2)/25)*AA43+(1-EXP(-LN(2)/25))/(LN(2)/25)*Calculateur!V44*Calculateur!X44*VLOOKUP('Données projet'!$B$9,Paramètres!$A$1:$I$89,3,0)*0.475*44/12</f>
        <v>23.529393621188174</v>
      </c>
      <c r="AB44" s="21">
        <f>EXP(-LN(2)/2)*AB43+(1-EXP(-LN(2)/2))/(LN(2)/2)*V44*Y44*VLOOKUP('Données projet'!$B$9,Paramètres!$A$1:$I$89,3,0)*0.475*44/12</f>
        <v>11.697736372206371</v>
      </c>
      <c r="AC44" s="22">
        <f t="shared" si="3"/>
        <v>86.161948834273261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6.4429411764705877</v>
      </c>
      <c r="AI44" s="13">
        <f>IF('Données projet'!$A$62&gt;35,AI43+AH44-AQ43,IF(A44&lt;'Données projet'!$A$62,$AF$205^A44,IF(A44='Données projet'!$A$62,'Données projet'!$B$62,AI43+AH44-AQ43)))</f>
        <v>264.16058823529397</v>
      </c>
      <c r="AJ44" s="13">
        <f>AI44*VLOOKUP('Données projet'!$B$10,Paramètres!$A$1:$I$89,3,0)*VLOOKUP('Données projet'!$B$10,Paramètres!$A$1:$I$89,5,0)</f>
        <v>123.62715529411757</v>
      </c>
      <c r="AK44" s="13">
        <f t="shared" si="35"/>
        <v>32.519501965719137</v>
      </c>
      <c r="AL44" s="20">
        <f t="shared" si="4"/>
        <v>271.95542806088224</v>
      </c>
      <c r="AM44" s="59">
        <f t="shared" si="5"/>
        <v>565.2887613942155</v>
      </c>
      <c r="AN44" s="59">
        <f ca="1">AVERAGE(OFFSET($AM$3,0,0,'Données projet'!$E$10+1,1))-AVERAGE(OFFSET($H$3,0,0,'Données projet'!$E$10+1,1))</f>
        <v>187.82209112143374</v>
      </c>
      <c r="AO44" s="59">
        <f t="shared" si="36"/>
        <v>158.99136654880203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4.1025641025641022</v>
      </c>
      <c r="BD44" s="12">
        <f>IF('Données projet'!$A$88&gt;35,BD43+BC44-BL43,IF(A44&lt;'Données projet'!$A$88,$BA$205^A44,IF(A44='Données projet'!$A$88,'Données projet'!$B$88,BD43+BC44-BL43)))</f>
        <v>87.435897435897431</v>
      </c>
      <c r="BE44" s="13">
        <f>BD44*VLOOKUP('Données projet'!$B$11,Paramètres!$A$1:$I$89,3,0)*VLOOKUP('Données projet'!$B$11,Paramètres!$A$1:$I$89,5,0)</f>
        <v>91.388000000000005</v>
      </c>
      <c r="BF44" s="13">
        <f t="shared" si="37"/>
        <v>24.899678416779619</v>
      </c>
      <c r="BG44" s="20">
        <f t="shared" si="7"/>
        <v>202.53437324255785</v>
      </c>
      <c r="BH44" s="59">
        <f t="shared" si="8"/>
        <v>495.86770657589113</v>
      </c>
      <c r="BI44" s="59">
        <f ca="1">AVERAGE(OFFSET($BH$3,0,0,'Données projet'!$E$11+1,1))-AVERAGE(OFFSET($H$3,0,0,'Données projet'!$E$11+1,1))</f>
        <v>140.32771978791288</v>
      </c>
      <c r="BJ44" s="59">
        <f t="shared" si="38"/>
        <v>135.76866977947634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12.613764634498676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12.613764634498676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3.3603333333333336</v>
      </c>
      <c r="BY44" s="12">
        <f>IF('Données projet'!$A$114&gt;35,BY43+BX44-CG43,IF(A44&lt;'Données projet'!$A$114,$BV$205^A44,IF(A44='Données projet'!$A$114,'Données projet'!$B$114,BY43+BX44-CG43)))</f>
        <v>137.77366666666663</v>
      </c>
      <c r="BZ44" s="13">
        <f>BY44*VLOOKUP('Données projet'!$B$12,Paramètres!$A$1:$I$89,3,0)*VLOOKUP('Données projet'!$B$12,Paramètres!$A$1:$I$89,5,0)</f>
        <v>139.70249799999996</v>
      </c>
      <c r="CA44" s="13">
        <f t="shared" si="39"/>
        <v>36.228843528850774</v>
      </c>
      <c r="CB44" s="20">
        <f t="shared" si="10"/>
        <v>306.41375316274832</v>
      </c>
      <c r="CC44" s="59">
        <f t="shared" si="11"/>
        <v>599.74708649608169</v>
      </c>
      <c r="CD44" s="59">
        <f ca="1">AVERAGE(OFFSET($CC$3,0,0,'Données projet'!$E$12+1,1))-AVERAGE(OFFSET($H$3,0,0,'Données projet'!$E$12+1,1))</f>
        <v>372.05986520199804</v>
      </c>
      <c r="CE44" s="59">
        <f t="shared" si="40"/>
        <v>184.37981929432044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4.0942857142857143</v>
      </c>
      <c r="CT44" s="12">
        <f>IF('Données projet'!$A$140&gt;35,CT43+CS44-DB43,IF(A44&lt;'Données projet'!$A$140,$CQ$205^A44,IF(A44='Données projet'!$A$140,'Données projet'!$B$140,CT43+CS44-DB43)))</f>
        <v>167.8657142857144</v>
      </c>
      <c r="CU44" s="17">
        <f>CT44*VLOOKUP('Données projet'!$B$13,Paramètres!$A$1:$I$89,3,0)*VLOOKUP('Données projet'!$B$13,Paramètres!$A$1:$I$89,5,0)</f>
        <v>151.88489828571437</v>
      </c>
      <c r="CV44" s="13">
        <f t="shared" si="41"/>
        <v>39.006623705593562</v>
      </c>
      <c r="CW44" s="20">
        <f t="shared" si="13"/>
        <v>332.46940080152797</v>
      </c>
      <c r="CX44" s="59">
        <f t="shared" si="14"/>
        <v>625.80273413486134</v>
      </c>
      <c r="CY44" s="59">
        <f ca="1">AVERAGE(OFFSET($CX$3,0,0,'Données projet'!$E$13+1,1))-AVERAGE(OFFSET($H$3,0,0,'Données projet'!$E$13+1,1))</f>
        <v>479.84731392413374</v>
      </c>
      <c r="CZ44" s="59">
        <f t="shared" si="42"/>
        <v>203.57601099841213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19.548750000000005</v>
      </c>
      <c r="N45" s="13">
        <f>IF('Données projet'!$A$36&gt;35,N44+M45-V44,IF(A45&lt;'Données projet'!$A$36,$K$205^A45,IF(A45='Données projet'!$A$36,'Données projet'!$B$36,N44+M45-V44)))</f>
        <v>421.67749999999995</v>
      </c>
      <c r="O45" s="13">
        <f>N45*VLOOKUP('Données projet'!$B$9,Paramètres!$A$1:$I$89,3,0)*VLOOKUP('Données projet'!$B$9,Paramètres!$A$1:$I$89,5,0)</f>
        <v>252.16314499999999</v>
      </c>
      <c r="P45" s="13">
        <f t="shared" si="33"/>
        <v>61.048913284194377</v>
      </c>
      <c r="Q45" s="20">
        <f t="shared" si="53"/>
        <v>545.51100151163848</v>
      </c>
      <c r="R45" s="59">
        <f t="shared" si="0"/>
        <v>838.84433484497185</v>
      </c>
      <c r="S45" s="59">
        <f ca="1">AVERAGE(OFFSET($R$3,0,0,'Données projet'!$E$9+1,1))-AVERAGE(OFFSET($H$3,0,0,'Données projet'!$E$9+1,1))</f>
        <v>322.7909000321435</v>
      </c>
      <c r="T45" s="59">
        <f t="shared" si="34"/>
        <v>403.23516981532316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49.93601811058096</v>
      </c>
      <c r="AA45" s="21">
        <f>EXP(-LN(2)/25)*AA44+(1-EXP(-LN(2)/25))/(LN(2)/25)*Calculateur!V45*Calculateur!X45*VLOOKUP('Données projet'!$B$9,Paramètres!$A$1:$I$89,3,0)*0.475*44/12</f>
        <v>22.885981115259749</v>
      </c>
      <c r="AB45" s="21">
        <f>EXP(-LN(2)/2)*AB44+(1-EXP(-LN(2)/2))/(LN(2)/2)*V45*Y45*VLOOKUP('Données projet'!$B$9,Paramètres!$A$1:$I$89,3,0)*0.475*44/12</f>
        <v>8.2715487133196497</v>
      </c>
      <c r="AC45" s="22">
        <f t="shared" si="3"/>
        <v>81.093547939160359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6.4429411764705877</v>
      </c>
      <c r="AI45" s="13">
        <f>IF('Données projet'!$A$62&gt;35,AI44+AH45-AQ44,IF(A45&lt;'Données projet'!$A$62,$AF$205^A45,IF(A45='Données projet'!$A$62,'Données projet'!$B$62,AI44+AH45-AQ44)))</f>
        <v>270.60352941176455</v>
      </c>
      <c r="AJ45" s="13">
        <f>AI45*VLOOKUP('Données projet'!$B$10,Paramètres!$A$1:$I$89,3,0)*VLOOKUP('Données projet'!$B$10,Paramètres!$A$1:$I$89,5,0)</f>
        <v>126.64245176470581</v>
      </c>
      <c r="AK45" s="13">
        <f t="shared" si="35"/>
        <v>33.219350962124722</v>
      </c>
      <c r="AL45" s="20">
        <f t="shared" si="4"/>
        <v>278.42597308256319</v>
      </c>
      <c r="AM45" s="59">
        <f t="shared" si="5"/>
        <v>571.7593064158965</v>
      </c>
      <c r="AN45" s="59">
        <f ca="1">AVERAGE(OFFSET($AM$3,0,0,'Données projet'!$E$10+1,1))-AVERAGE(OFFSET($H$3,0,0,'Données projet'!$E$10+1,1))</f>
        <v>187.82209112143374</v>
      </c>
      <c r="AO45" s="59">
        <f t="shared" si="36"/>
        <v>158.99136654880203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4.1025641025641022</v>
      </c>
      <c r="BD45" s="12">
        <f>IF('Données projet'!$A$88&gt;35,BD44+BC45-BL44,IF(A45&lt;'Données projet'!$A$88,$BA$205^A45,IF(A45='Données projet'!$A$88,'Données projet'!$B$88,BD44+BC45-BL44)))</f>
        <v>91.538461538461533</v>
      </c>
      <c r="BE45" s="13">
        <f>BD45*VLOOKUP('Données projet'!$B$11,Paramètres!$A$1:$I$89,3,0)*VLOOKUP('Données projet'!$B$11,Paramètres!$A$1:$I$89,5,0)</f>
        <v>95.676000000000002</v>
      </c>
      <c r="BF45" s="13">
        <f t="shared" si="37"/>
        <v>25.929229078869259</v>
      </c>
      <c r="BG45" s="20">
        <f t="shared" si="7"/>
        <v>211.79577397903063</v>
      </c>
      <c r="BH45" s="59">
        <f t="shared" si="8"/>
        <v>505.12910731236394</v>
      </c>
      <c r="BI45" s="59">
        <f ca="1">AVERAGE(OFFSET($BH$3,0,0,'Données projet'!$E$11+1,1))-AVERAGE(OFFSET($H$3,0,0,'Données projet'!$E$11+1,1))</f>
        <v>140.32771978791288</v>
      </c>
      <c r="BJ45" s="59">
        <f t="shared" si="38"/>
        <v>135.76866977947634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12.268840577239256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12.268840577239256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3.3603333333333336</v>
      </c>
      <c r="BY45" s="12">
        <f>IF('Données projet'!$A$114&gt;35,BY44+BX45-CG44,IF(A45&lt;'Données projet'!$A$114,$BV$205^A45,IF(A45='Données projet'!$A$114,'Données projet'!$B$114,BY44+BX45-CG44)))</f>
        <v>141.13399999999996</v>
      </c>
      <c r="BZ45" s="13">
        <f>BY45*VLOOKUP('Données projet'!$B$12,Paramètres!$A$1:$I$89,3,0)*VLOOKUP('Données projet'!$B$12,Paramètres!$A$1:$I$89,5,0)</f>
        <v>143.10987599999996</v>
      </c>
      <c r="CA45" s="13">
        <f t="shared" si="39"/>
        <v>37.008520899412304</v>
      </c>
      <c r="CB45" s="20">
        <f t="shared" si="10"/>
        <v>313.70620793314299</v>
      </c>
      <c r="CC45" s="59">
        <f t="shared" si="11"/>
        <v>607.03954126647636</v>
      </c>
      <c r="CD45" s="59">
        <f ca="1">AVERAGE(OFFSET($CC$3,0,0,'Données projet'!$E$12+1,1))-AVERAGE(OFFSET($H$3,0,0,'Données projet'!$E$12+1,1))</f>
        <v>372.05986520199804</v>
      </c>
      <c r="CE45" s="59">
        <f t="shared" si="40"/>
        <v>184.37981929432044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171.96</v>
      </c>
      <c r="CR45" s="12">
        <f>VLOOKUP(A45,'Données projet'!$A$139:$I$159,9,0)</f>
        <v>4.0942857142857143</v>
      </c>
      <c r="CS45" s="12">
        <f t="array" ref="CS45">INDEX(CR:CR,MIN(IF(ISNUMBER(CR45:CR241),ROW(CR45:CR241),"")))</f>
        <v>4.0942857142857143</v>
      </c>
      <c r="CT45" s="12">
        <f>IF('Données projet'!$A$140&gt;35,CT44+CS45-DB44,IF(A45&lt;'Données projet'!$A$140,$CQ$205^A45,IF(A45='Données projet'!$A$140,'Données projet'!$B$140,CT44+CS45-DB44)))</f>
        <v>171.96000000000012</v>
      </c>
      <c r="CU45" s="17">
        <f>CT45*VLOOKUP('Données projet'!$B$13,Paramètres!$A$1:$I$89,3,0)*VLOOKUP('Données projet'!$B$13,Paramètres!$A$1:$I$89,5,0)</f>
        <v>155.58940800000011</v>
      </c>
      <c r="CV45" s="13">
        <f t="shared" si="41"/>
        <v>39.846081409537142</v>
      </c>
      <c r="CW45" s="20">
        <f t="shared" si="13"/>
        <v>340.3834773882773</v>
      </c>
      <c r="CX45" s="59">
        <f t="shared" si="14"/>
        <v>633.71681072161061</v>
      </c>
      <c r="CY45" s="59">
        <f ca="1">AVERAGE(OFFSET($CX$3,0,0,'Données projet'!$E$13+1,1))-AVERAGE(OFFSET($H$3,0,0,'Données projet'!$E$13+1,1))</f>
        <v>479.84731392413374</v>
      </c>
      <c r="CZ45" s="59">
        <f t="shared" si="42"/>
        <v>203.57601099841213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44.510000000000005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0.34400000000000003</v>
      </c>
      <c r="DE45" s="16">
        <f>IF(ISNA(VLOOKUP(A45,'Données projet'!$A$139:$I$159,7,0)),0%,VLOOKUP(A45,'Données projet'!$A$139:$I$159,7,0))</f>
        <v>0.2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15.254654682209745</v>
      </c>
      <c r="DH45" s="21">
        <f>EXP(-LN(2)/2)*DH44+(1-EXP(-LN(2)/2))/(LN(2)/2)*DB45*DE45*VLOOKUP('Données projet'!$B$13,Paramètres!$A$1:$I$89,3,0)*0.475*44/12</f>
        <v>7.599665462085774</v>
      </c>
      <c r="DI45" s="22">
        <f t="shared" si="15"/>
        <v>22.854320144295521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19.548750000000005</v>
      </c>
      <c r="N46" s="13">
        <f>IF('Données projet'!$A$36&gt;35,N45+M46-V45,IF(A46&lt;'Données projet'!$A$36,$K$205^A46,IF(A46='Données projet'!$A$36,'Données projet'!$B$36,N45+M46-V45)))</f>
        <v>441.22624999999994</v>
      </c>
      <c r="O46" s="13">
        <f>N46*VLOOKUP('Données projet'!$B$9,Paramètres!$A$1:$I$89,3,0)*VLOOKUP('Données projet'!$B$9,Paramètres!$A$1:$I$89,5,0)</f>
        <v>263.8532975</v>
      </c>
      <c r="P46" s="13">
        <f t="shared" si="33"/>
        <v>63.543040677885536</v>
      </c>
      <c r="Q46" s="20">
        <f t="shared" si="53"/>
        <v>570.21528899315069</v>
      </c>
      <c r="R46" s="59">
        <f t="shared" si="0"/>
        <v>863.54862232648406</v>
      </c>
      <c r="S46" s="59">
        <f ca="1">AVERAGE(OFFSET($R$3,0,0,'Données projet'!$E$9+1,1))-AVERAGE(OFFSET($H$3,0,0,'Données projet'!$E$9+1,1))</f>
        <v>322.7909000321435</v>
      </c>
      <c r="T46" s="59">
        <f t="shared" si="34"/>
        <v>403.23516981532316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48.956803253396039</v>
      </c>
      <c r="AA46" s="21">
        <f>EXP(-LN(2)/25)*AA45+(1-EXP(-LN(2)/25))/(LN(2)/25)*Calculateur!V46*Calculateur!X46*VLOOKUP('Données projet'!$B$9,Paramètres!$A$1:$I$89,3,0)*0.475*44/12</f>
        <v>22.260162758141533</v>
      </c>
      <c r="AB46" s="21">
        <f>EXP(-LN(2)/2)*AB45+(1-EXP(-LN(2)/2))/(LN(2)/2)*V46*Y46*VLOOKUP('Données projet'!$B$9,Paramètres!$A$1:$I$89,3,0)*0.475*44/12</f>
        <v>5.8488681861031866</v>
      </c>
      <c r="AC46" s="22">
        <f t="shared" si="3"/>
        <v>77.065834197640768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6.4429411764705877</v>
      </c>
      <c r="AI46" s="13">
        <f>IF('Données projet'!$A$62&gt;35,AI45+AH46-AQ45,IF(A46&lt;'Données projet'!$A$62,$AF$205^A46,IF(A46='Données projet'!$A$62,'Données projet'!$B$62,AI45+AH46-AQ45)))</f>
        <v>277.04647058823514</v>
      </c>
      <c r="AJ46" s="13">
        <f>AI46*VLOOKUP('Données projet'!$B$10,Paramètres!$A$1:$I$89,3,0)*VLOOKUP('Données projet'!$B$10,Paramètres!$A$1:$I$89,5,0)</f>
        <v>129.65774823529404</v>
      </c>
      <c r="AK46" s="13">
        <f t="shared" si="35"/>
        <v>33.917262868819897</v>
      </c>
      <c r="AL46" s="20">
        <f t="shared" si="4"/>
        <v>284.89314433966507</v>
      </c>
      <c r="AM46" s="59">
        <f t="shared" si="5"/>
        <v>578.22647767299839</v>
      </c>
      <c r="AN46" s="59">
        <f ca="1">AVERAGE(OFFSET($AM$3,0,0,'Données projet'!$E$10+1,1))-AVERAGE(OFFSET($H$3,0,0,'Données projet'!$E$10+1,1))</f>
        <v>187.82209112143374</v>
      </c>
      <c r="AO46" s="59">
        <f t="shared" si="36"/>
        <v>158.99136654880203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4.1025641025641022</v>
      </c>
      <c r="BD46" s="12">
        <f>IF('Données projet'!$A$88&gt;35,BD45+BC46-BL45,IF(A46&lt;'Données projet'!$A$88,$BA$205^A46,IF(A46='Données projet'!$A$88,'Données projet'!$B$88,BD45+BC46-BL45)))</f>
        <v>95.641025641025635</v>
      </c>
      <c r="BE46" s="13">
        <f>BD46*VLOOKUP('Données projet'!$B$11,Paramètres!$A$1:$I$89,3,0)*VLOOKUP('Données projet'!$B$11,Paramètres!$A$1:$I$89,5,0)</f>
        <v>99.963999999999999</v>
      </c>
      <c r="BF46" s="13">
        <f t="shared" si="37"/>
        <v>26.953420865059858</v>
      </c>
      <c r="BG46" s="20">
        <f t="shared" si="7"/>
        <v>221.04784133997921</v>
      </c>
      <c r="BH46" s="59">
        <f t="shared" si="8"/>
        <v>514.38117467331256</v>
      </c>
      <c r="BI46" s="59">
        <f ca="1">AVERAGE(OFFSET($BH$3,0,0,'Données projet'!$E$11+1,1))-AVERAGE(OFFSET($H$3,0,0,'Données projet'!$E$11+1,1))</f>
        <v>140.32771978791288</v>
      </c>
      <c r="BJ46" s="59">
        <f t="shared" si="38"/>
        <v>135.76866977947634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11.933348486464364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11.933348486464364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3.3603333333333336</v>
      </c>
      <c r="BY46" s="12">
        <f>IF('Données projet'!$A$114&gt;35,BY45+BX46-CG45,IF(A46&lt;'Données projet'!$A$114,$BV$205^A46,IF(A46='Données projet'!$A$114,'Données projet'!$B$114,BY45+BX46-CG45)))</f>
        <v>144.49433333333329</v>
      </c>
      <c r="BZ46" s="13">
        <f>BY46*VLOOKUP('Données projet'!$B$12,Paramètres!$A$1:$I$89,3,0)*VLOOKUP('Données projet'!$B$12,Paramètres!$A$1:$I$89,5,0)</f>
        <v>146.51725399999995</v>
      </c>
      <c r="CA46" s="13">
        <f t="shared" si="39"/>
        <v>37.786040225853256</v>
      </c>
      <c r="CB46" s="20">
        <f t="shared" si="10"/>
        <v>320.99490411002768</v>
      </c>
      <c r="CC46" s="59">
        <f t="shared" si="11"/>
        <v>614.32823744336099</v>
      </c>
      <c r="CD46" s="59">
        <f ca="1">AVERAGE(OFFSET($CC$3,0,0,'Données projet'!$E$12+1,1))-AVERAGE(OFFSET($H$3,0,0,'Données projet'!$E$12+1,1))</f>
        <v>372.05986520199804</v>
      </c>
      <c r="CE46" s="59">
        <f t="shared" si="40"/>
        <v>184.37981929432044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10.110000000000001</v>
      </c>
      <c r="CT46" s="12">
        <f>IF('Données projet'!$A$140&gt;35,CT45+CS46-DB45,IF(A46&lt;'Données projet'!$A$140,$CQ$205^A46,IF(A46='Données projet'!$A$140,'Données projet'!$B$140,CT45+CS46-DB45)))</f>
        <v>137.56000000000012</v>
      </c>
      <c r="CU46" s="17">
        <f>CT46*VLOOKUP('Données projet'!$B$13,Paramètres!$A$1:$I$89,3,0)*VLOOKUP('Données projet'!$B$13,Paramètres!$A$1:$I$89,5,0)</f>
        <v>124.4642880000001</v>
      </c>
      <c r="CV46" s="13">
        <f t="shared" si="41"/>
        <v>32.713997336243899</v>
      </c>
      <c r="CW46" s="20">
        <f t="shared" si="13"/>
        <v>273.75218029395825</v>
      </c>
      <c r="CX46" s="59">
        <f t="shared" si="14"/>
        <v>567.08551362729156</v>
      </c>
      <c r="CY46" s="59">
        <f ca="1">AVERAGE(OFFSET($CX$3,0,0,'Données projet'!$E$13+1,1))-AVERAGE(OFFSET($H$3,0,0,'Données projet'!$E$13+1,1))</f>
        <v>479.84731392413374</v>
      </c>
      <c r="CZ46" s="59">
        <f t="shared" si="42"/>
        <v>203.57601099841213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14.837515347717295</v>
      </c>
      <c r="DH46" s="21">
        <f>EXP(-LN(2)/2)*DH45+(1-EXP(-LN(2)/2))/(LN(2)/2)*DB46*DE46*VLOOKUP('Données projet'!$B$13,Paramètres!$A$1:$I$89,3,0)*0.475*44/12</f>
        <v>5.3737749829900485</v>
      </c>
      <c r="DI46" s="22">
        <f t="shared" si="15"/>
        <v>20.211290330707342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19.548750000000005</v>
      </c>
      <c r="N47" s="13">
        <f>IF('Données projet'!$A$36&gt;35,N46+M47-V46,IF(A47&lt;'Données projet'!$A$36,$K$205^A47,IF(A47='Données projet'!$A$36,'Données projet'!$B$36,N46+M47-V46)))</f>
        <v>460.77499999999992</v>
      </c>
      <c r="O47" s="13">
        <f>N47*VLOOKUP('Données projet'!$B$9,Paramètres!$A$1:$I$89,3,0)*VLOOKUP('Données projet'!$B$9,Paramètres!$A$1:$I$89,5,0)</f>
        <v>275.54345000000001</v>
      </c>
      <c r="P47" s="13">
        <f t="shared" si="33"/>
        <v>66.024334133316685</v>
      </c>
      <c r="Q47" s="20">
        <f t="shared" si="53"/>
        <v>594.89722403219321</v>
      </c>
      <c r="R47" s="59">
        <f t="shared" si="0"/>
        <v>888.23055736552647</v>
      </c>
      <c r="S47" s="59">
        <f ca="1">AVERAGE(OFFSET($R$3,0,0,'Données projet'!$E$9+1,1))-AVERAGE(OFFSET($H$3,0,0,'Données projet'!$E$9+1,1))</f>
        <v>322.7909000321435</v>
      </c>
      <c r="T47" s="59">
        <f t="shared" si="34"/>
        <v>403.23516981532316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47.996790202298428</v>
      </c>
      <c r="AA47" s="21">
        <f>EXP(-LN(2)/25)*AA46+(1-EXP(-LN(2)/25))/(LN(2)/25)*Calculateur!V47*Calculateur!X47*VLOOKUP('Données projet'!$B$9,Paramètres!$A$1:$I$89,3,0)*0.475*44/12</f>
        <v>21.65145743690907</v>
      </c>
      <c r="AB47" s="21">
        <f>EXP(-LN(2)/2)*AB46+(1-EXP(-LN(2)/2))/(LN(2)/2)*V47*Y47*VLOOKUP('Données projet'!$B$9,Paramètres!$A$1:$I$89,3,0)*0.475*44/12</f>
        <v>4.1357743566598257</v>
      </c>
      <c r="AC47" s="22">
        <f t="shared" si="3"/>
        <v>73.78402199586732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6.4429411764705877</v>
      </c>
      <c r="AI47" s="13">
        <f>IF('Données projet'!$A$62&gt;35,AI46+AH47-AQ46,IF(A47&lt;'Données projet'!$A$62,$AF$205^A47,IF(A47='Données projet'!$A$62,'Données projet'!$B$62,AI46+AH47-AQ46)))</f>
        <v>283.48941176470572</v>
      </c>
      <c r="AJ47" s="13">
        <f>AI47*VLOOKUP('Données projet'!$B$10,Paramètres!$A$1:$I$89,3,0)*VLOOKUP('Données projet'!$B$10,Paramètres!$A$1:$I$89,5,0)</f>
        <v>132.67304470588229</v>
      </c>
      <c r="AK47" s="13">
        <f t="shared" si="35"/>
        <v>34.613287919203351</v>
      </c>
      <c r="AL47" s="20">
        <f t="shared" si="4"/>
        <v>291.35702932202412</v>
      </c>
      <c r="AM47" s="59">
        <f t="shared" si="5"/>
        <v>584.69036265535738</v>
      </c>
      <c r="AN47" s="59">
        <f ca="1">AVERAGE(OFFSET($AM$3,0,0,'Données projet'!$E$10+1,1))-AVERAGE(OFFSET($H$3,0,0,'Données projet'!$E$10+1,1))</f>
        <v>187.82209112143374</v>
      </c>
      <c r="AO47" s="59">
        <f t="shared" si="36"/>
        <v>158.99136654880203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4.1025641025641022</v>
      </c>
      <c r="BD47" s="12">
        <f>IF('Données projet'!$A$88&gt;35,BD46+BC47-BL46,IF(A47&lt;'Données projet'!$A$88,$BA$205^A47,IF(A47='Données projet'!$A$88,'Données projet'!$B$88,BD46+BC47-BL46)))</f>
        <v>99.743589743589737</v>
      </c>
      <c r="BE47" s="13">
        <f>BD47*VLOOKUP('Données projet'!$B$11,Paramètres!$A$1:$I$89,3,0)*VLOOKUP('Données projet'!$B$11,Paramètres!$A$1:$I$89,5,0)</f>
        <v>104.252</v>
      </c>
      <c r="BF47" s="13">
        <f t="shared" si="37"/>
        <v>27.972509924429268</v>
      </c>
      <c r="BG47" s="20">
        <f t="shared" si="7"/>
        <v>230.2910214517143</v>
      </c>
      <c r="BH47" s="59">
        <f t="shared" si="8"/>
        <v>523.62435478504767</v>
      </c>
      <c r="BI47" s="59">
        <f ca="1">AVERAGE(OFFSET($BH$3,0,0,'Données projet'!$E$11+1,1))-AVERAGE(OFFSET($H$3,0,0,'Données projet'!$E$11+1,1))</f>
        <v>140.32771978791288</v>
      </c>
      <c r="BJ47" s="59">
        <f t="shared" si="38"/>
        <v>135.76866977947634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11.607030444554473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11.607030444554473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3.3603333333333336</v>
      </c>
      <c r="BY47" s="12">
        <f>IF('Données projet'!$A$114&gt;35,BY46+BX47-CG46,IF(A47&lt;'Données projet'!$A$114,$BV$205^A47,IF(A47='Données projet'!$A$114,'Données projet'!$B$114,BY46+BX47-CG46)))</f>
        <v>147.85466666666662</v>
      </c>
      <c r="BZ47" s="13">
        <f>BY47*VLOOKUP('Données projet'!$B$12,Paramètres!$A$1:$I$89,3,0)*VLOOKUP('Données projet'!$B$12,Paramètres!$A$1:$I$89,5,0)</f>
        <v>149.92463199999995</v>
      </c>
      <c r="CA47" s="13">
        <f t="shared" si="39"/>
        <v>38.561457471452059</v>
      </c>
      <c r="CB47" s="20">
        <f t="shared" si="10"/>
        <v>328.27993916277887</v>
      </c>
      <c r="CC47" s="59">
        <f t="shared" si="11"/>
        <v>621.61327249611213</v>
      </c>
      <c r="CD47" s="59">
        <f ca="1">AVERAGE(OFFSET($CC$3,0,0,'Données projet'!$E$12+1,1))-AVERAGE(OFFSET($H$3,0,0,'Données projet'!$E$12+1,1))</f>
        <v>372.05986520199804</v>
      </c>
      <c r="CE47" s="59">
        <f t="shared" si="40"/>
        <v>184.37981929432044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10.110000000000001</v>
      </c>
      <c r="CT47" s="12">
        <f>IF('Données projet'!$A$140&gt;35,CT46+CS47-DB46,IF(A47&lt;'Données projet'!$A$140,$CQ$205^A47,IF(A47='Données projet'!$A$140,'Données projet'!$B$140,CT46+CS47-DB46)))</f>
        <v>147.67000000000013</v>
      </c>
      <c r="CU47" s="17">
        <f>CT47*VLOOKUP('Données projet'!$B$13,Paramètres!$A$1:$I$89,3,0)*VLOOKUP('Données projet'!$B$13,Paramètres!$A$1:$I$89,5,0)</f>
        <v>133.61181600000012</v>
      </c>
      <c r="CV47" s="13">
        <f t="shared" si="41"/>
        <v>34.829608206917271</v>
      </c>
      <c r="CW47" s="20">
        <f t="shared" si="13"/>
        <v>293.36881382704775</v>
      </c>
      <c r="CX47" s="59">
        <f t="shared" si="14"/>
        <v>586.70214716038106</v>
      </c>
      <c r="CY47" s="59">
        <f ca="1">AVERAGE(OFFSET($CX$3,0,0,'Données projet'!$E$13+1,1))-AVERAGE(OFFSET($H$3,0,0,'Données projet'!$E$13+1,1))</f>
        <v>479.84731392413374</v>
      </c>
      <c r="CZ47" s="59">
        <f t="shared" si="42"/>
        <v>203.57601099841213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14.431782710262945</v>
      </c>
      <c r="DH47" s="21">
        <f>EXP(-LN(2)/2)*DH46+(1-EXP(-LN(2)/2))/(LN(2)/2)*DB47*DE47*VLOOKUP('Données projet'!$B$13,Paramètres!$A$1:$I$89,3,0)*0.475*44/12</f>
        <v>3.7998327310428874</v>
      </c>
      <c r="DI47" s="22">
        <f t="shared" si="15"/>
        <v>18.231615441305834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19.548750000000005</v>
      </c>
      <c r="N48" s="13">
        <f>IF('Données projet'!$A$36&gt;35,N47+M48-V47,IF(A48&lt;'Données projet'!$A$36,$K$205^A48,IF(A48='Données projet'!$A$36,'Données projet'!$B$36,N47+M48-V47)))</f>
        <v>480.3237499999999</v>
      </c>
      <c r="O48" s="13">
        <f>N48*VLOOKUP('Données projet'!$B$9,Paramètres!$A$1:$I$89,3,0)*VLOOKUP('Données projet'!$B$9,Paramètres!$A$1:$I$89,5,0)</f>
        <v>287.23360249999996</v>
      </c>
      <c r="P48" s="13">
        <f t="shared" si="33"/>
        <v>68.493400392198751</v>
      </c>
      <c r="Q48" s="20">
        <f t="shared" si="53"/>
        <v>619.55786337057941</v>
      </c>
      <c r="R48" s="59">
        <f t="shared" si="0"/>
        <v>912.89119670391278</v>
      </c>
      <c r="S48" s="59">
        <f ca="1">AVERAGE(OFFSET($R$3,0,0,'Données projet'!$E$9+1,1))-AVERAGE(OFFSET($H$3,0,0,'Données projet'!$E$9+1,1))</f>
        <v>322.7909000321435</v>
      </c>
      <c r="T48" s="59">
        <f t="shared" si="34"/>
        <v>403.23516981532316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47.055602421582698</v>
      </c>
      <c r="AA48" s="21">
        <f>EXP(-LN(2)/25)*AA47+(1-EXP(-LN(2)/25))/(LN(2)/25)*Calculateur!V48*Calculateur!X48*VLOOKUP('Données projet'!$B$9,Paramètres!$A$1:$I$89,3,0)*0.475*44/12</f>
        <v>21.059397194696128</v>
      </c>
      <c r="AB48" s="21">
        <f>EXP(-LN(2)/2)*AB47+(1-EXP(-LN(2)/2))/(LN(2)/2)*V48*Y48*VLOOKUP('Données projet'!$B$9,Paramètres!$A$1:$I$89,3,0)*0.475*44/12</f>
        <v>2.9244340930515937</v>
      </c>
      <c r="AC48" s="22">
        <f t="shared" si="3"/>
        <v>71.03943370933041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6.4429411764705877</v>
      </c>
      <c r="AI48" s="13">
        <f>IF('Données projet'!$A$62&gt;35,AI47+AH48-AQ47,IF(A48&lt;'Données projet'!$A$62,$AF$205^A48,IF(A48='Données projet'!$A$62,'Données projet'!$B$62,AI47+AH48-AQ47)))</f>
        <v>289.9323529411763</v>
      </c>
      <c r="AJ48" s="13">
        <f>AI48*VLOOKUP('Données projet'!$B$10,Paramètres!$A$1:$I$89,3,0)*VLOOKUP('Données projet'!$B$10,Paramètres!$A$1:$I$89,5,0)</f>
        <v>135.68834117647052</v>
      </c>
      <c r="AK48" s="13">
        <f t="shared" si="35"/>
        <v>35.307473933015544</v>
      </c>
      <c r="AL48" s="20">
        <f t="shared" si="4"/>
        <v>297.8177113156882</v>
      </c>
      <c r="AM48" s="59">
        <f t="shared" si="5"/>
        <v>591.15104464902151</v>
      </c>
      <c r="AN48" s="59">
        <f ca="1">AVERAGE(OFFSET($AM$3,0,0,'Données projet'!$E$10+1,1))-AVERAGE(OFFSET($H$3,0,0,'Données projet'!$E$10+1,1))</f>
        <v>187.82209112143374</v>
      </c>
      <c r="AO48" s="59">
        <f t="shared" si="36"/>
        <v>158.99136654880203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103.84615384615384</v>
      </c>
      <c r="BB48" s="12">
        <f>VLOOKUP(A48,'Données projet'!$A$87:$I$107,9,0)</f>
        <v>4.1025641025641022</v>
      </c>
      <c r="BC48" s="12">
        <f t="array" ref="BC48">INDEX(BB:BB,MIN(IF(ISNUMBER(BB48:BB244),ROW(BB48:BB244),"")))</f>
        <v>4.1025641025641022</v>
      </c>
      <c r="BD48" s="12">
        <f>IF('Données projet'!$A$88&gt;35,BD47+BC48-BL47,IF(A48&lt;'Données projet'!$A$88,$BA$205^A48,IF(A48='Données projet'!$A$88,'Données projet'!$B$88,BD47+BC48-BL47)))</f>
        <v>103.84615384615384</v>
      </c>
      <c r="BE48" s="13">
        <f>BD48*VLOOKUP('Données projet'!$B$11,Paramètres!$A$1:$I$89,3,0)*VLOOKUP('Données projet'!$B$11,Paramètres!$A$1:$I$89,5,0)</f>
        <v>108.54</v>
      </c>
      <c r="BF48" s="13">
        <f t="shared" si="37"/>
        <v>28.986730142355373</v>
      </c>
      <c r="BG48" s="20">
        <f t="shared" si="7"/>
        <v>239.52572166460229</v>
      </c>
      <c r="BH48" s="59">
        <f t="shared" si="8"/>
        <v>532.85905499793557</v>
      </c>
      <c r="BI48" s="59">
        <f ca="1">AVERAGE(OFFSET($BH$3,0,0,'Données projet'!$E$11+1,1))-AVERAGE(OFFSET($H$3,0,0,'Données projet'!$E$11+1,1))</f>
        <v>140.32771978791288</v>
      </c>
      <c r="BJ48" s="59">
        <f t="shared" si="38"/>
        <v>135.76866977947634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12.179487179487179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0.215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14.303339734332848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14.303339734332848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3.3603333333333336</v>
      </c>
      <c r="BY48" s="12">
        <f>IF('Données projet'!$A$114&gt;35,BY47+BX48-CG47,IF(A48&lt;'Données projet'!$A$114,$BV$205^A48,IF(A48='Données projet'!$A$114,'Données projet'!$B$114,BY47+BX48-CG47)))</f>
        <v>151.21499999999995</v>
      </c>
      <c r="BZ48" s="13">
        <f>BY48*VLOOKUP('Données projet'!$B$12,Paramètres!$A$1:$I$89,3,0)*VLOOKUP('Données projet'!$B$12,Paramètres!$A$1:$I$89,5,0)</f>
        <v>153.33200999999997</v>
      </c>
      <c r="CA48" s="13">
        <f t="shared" si="39"/>
        <v>39.334825910514574</v>
      </c>
      <c r="CB48" s="20">
        <f t="shared" si="10"/>
        <v>335.5614058774795</v>
      </c>
      <c r="CC48" s="59">
        <f t="shared" si="11"/>
        <v>628.89473921081276</v>
      </c>
      <c r="CD48" s="59">
        <f ca="1">AVERAGE(OFFSET($CC$3,0,0,'Données projet'!$E$12+1,1))-AVERAGE(OFFSET($H$3,0,0,'Données projet'!$E$12+1,1))</f>
        <v>372.05986520199804</v>
      </c>
      <c r="CE48" s="59">
        <f t="shared" si="40"/>
        <v>184.37981929432044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10.110000000000001</v>
      </c>
      <c r="CT48" s="12">
        <f>IF('Données projet'!$A$140&gt;35,CT47+CS48-DB47,IF(A48&lt;'Données projet'!$A$140,$CQ$205^A48,IF(A48='Données projet'!$A$140,'Données projet'!$B$140,CT47+CS48-DB47)))</f>
        <v>157.78000000000014</v>
      </c>
      <c r="CU48" s="17">
        <f>CT48*VLOOKUP('Données projet'!$B$13,Paramètres!$A$1:$I$89,3,0)*VLOOKUP('Données projet'!$B$13,Paramètres!$A$1:$I$89,5,0)</f>
        <v>142.75934400000011</v>
      </c>
      <c r="CV48" s="13">
        <f t="shared" si="41"/>
        <v>36.928412609012774</v>
      </c>
      <c r="CW48" s="20">
        <f t="shared" si="13"/>
        <v>312.95617609403075</v>
      </c>
      <c r="CX48" s="59">
        <f t="shared" si="14"/>
        <v>606.28950942736401</v>
      </c>
      <c r="CY48" s="59">
        <f ca="1">AVERAGE(OFFSET($CX$3,0,0,'Données projet'!$E$13+1,1))-AVERAGE(OFFSET($H$3,0,0,'Données projet'!$E$13+1,1))</f>
        <v>479.84731392413374</v>
      </c>
      <c r="CZ48" s="59">
        <f t="shared" si="42"/>
        <v>203.57601099841213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14.037144853116336</v>
      </c>
      <c r="DH48" s="21">
        <f>EXP(-LN(2)/2)*DH47+(1-EXP(-LN(2)/2))/(LN(2)/2)*DB48*DE48*VLOOKUP('Données projet'!$B$13,Paramètres!$A$1:$I$89,3,0)*0.475*44/12</f>
        <v>2.6868874914950243</v>
      </c>
      <c r="DI48" s="22">
        <f t="shared" si="15"/>
        <v>16.724032344611359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19.548750000000005</v>
      </c>
      <c r="N49" s="13">
        <f>IF('Données projet'!$A$36&gt;35,N48+M49-V48,IF(A49&lt;'Données projet'!$A$36,$K$205^A49,IF(A49='Données projet'!$A$36,'Données projet'!$B$36,N48+M49-V48)))</f>
        <v>499.87249999999989</v>
      </c>
      <c r="O49" s="13">
        <f>N49*VLOOKUP('Données projet'!$B$9,Paramètres!$A$1:$I$89,3,0)*VLOOKUP('Données projet'!$B$9,Paramètres!$A$1:$I$89,5,0)</f>
        <v>298.92375499999997</v>
      </c>
      <c r="P49" s="13">
        <f t="shared" si="33"/>
        <v>70.950794013628567</v>
      </c>
      <c r="Q49" s="20">
        <f t="shared" si="53"/>
        <v>644.19817286540308</v>
      </c>
      <c r="R49" s="59">
        <f t="shared" si="0"/>
        <v>937.53150619873645</v>
      </c>
      <c r="S49" s="59">
        <f ca="1">AVERAGE(OFFSET($R$3,0,0,'Données projet'!$E$9+1,1))-AVERAGE(OFFSET($H$3,0,0,'Données projet'!$E$9+1,1))</f>
        <v>322.7909000321435</v>
      </c>
      <c r="T49" s="59">
        <f t="shared" si="34"/>
        <v>403.23516981532316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46.132870759178942</v>
      </c>
      <c r="AA49" s="21">
        <f>EXP(-LN(2)/25)*AA48+(1-EXP(-LN(2)/25))/(LN(2)/25)*Calculateur!V49*Calculateur!X49*VLOOKUP('Données projet'!$B$9,Paramètres!$A$1:$I$89,3,0)*0.475*44/12</f>
        <v>20.483526870941596</v>
      </c>
      <c r="AB49" s="21">
        <f>EXP(-LN(2)/2)*AB48+(1-EXP(-LN(2)/2))/(LN(2)/2)*V49*Y49*VLOOKUP('Données projet'!$B$9,Paramètres!$A$1:$I$89,3,0)*0.475*44/12</f>
        <v>2.0678871783299129</v>
      </c>
      <c r="AC49" s="22">
        <f t="shared" si="3"/>
        <v>68.684284808450442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6.4429411764705877</v>
      </c>
      <c r="AI49" s="13">
        <f>IF('Données projet'!$A$62&gt;35,AI48+AH49-AQ48,IF(A49&lt;'Données projet'!$A$62,$AF$205^A49,IF(A49='Données projet'!$A$62,'Données projet'!$B$62,AI48+AH49-AQ48)))</f>
        <v>296.37529411764689</v>
      </c>
      <c r="AJ49" s="13">
        <f>AI49*VLOOKUP('Données projet'!$B$10,Paramètres!$A$1:$I$89,3,0)*VLOOKUP('Données projet'!$B$10,Paramètres!$A$1:$I$89,5,0)</f>
        <v>138.70363764705874</v>
      </c>
      <c r="AK49" s="13">
        <f t="shared" si="35"/>
        <v>35.999866483331765</v>
      </c>
      <c r="AL49" s="20">
        <f t="shared" si="4"/>
        <v>304.27526969376351</v>
      </c>
      <c r="AM49" s="59">
        <f t="shared" si="5"/>
        <v>597.60860302709682</v>
      </c>
      <c r="AN49" s="59">
        <f ca="1">AVERAGE(OFFSET($AM$3,0,0,'Données projet'!$E$10+1,1))-AVERAGE(OFFSET($H$3,0,0,'Données projet'!$E$10+1,1))</f>
        <v>187.82209112143374</v>
      </c>
      <c r="AO49" s="59">
        <f t="shared" si="36"/>
        <v>158.99136654880203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3.8461538461538454</v>
      </c>
      <c r="BD49" s="12">
        <f>IF('Données projet'!$A$88&gt;35,BD48+BC49-BL48,IF(A49&lt;'Données projet'!$A$88,$BA$205^A49,IF(A49='Données projet'!$A$88,'Données projet'!$B$88,BD48+BC49-BL48)))</f>
        <v>95.512820512820497</v>
      </c>
      <c r="BE49" s="13">
        <f>BD49*VLOOKUP('Données projet'!$B$11,Paramètres!$A$1:$I$89,3,0)*VLOOKUP('Données projet'!$B$11,Paramètres!$A$1:$I$89,5,0)</f>
        <v>99.83</v>
      </c>
      <c r="BF49" s="13">
        <f t="shared" si="37"/>
        <v>26.92149338297099</v>
      </c>
      <c r="BG49" s="20">
        <f t="shared" si="7"/>
        <v>220.75885097534115</v>
      </c>
      <c r="BH49" s="59">
        <f t="shared" si="8"/>
        <v>514.0921843086744</v>
      </c>
      <c r="BI49" s="59">
        <f ca="1">AVERAGE(OFFSET($BH$3,0,0,'Données projet'!$E$11+1,1))-AVERAGE(OFFSET($H$3,0,0,'Données projet'!$E$11+1,1))</f>
        <v>140.32771978791288</v>
      </c>
      <c r="BJ49" s="59">
        <f t="shared" si="38"/>
        <v>135.76866977947634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13.912214157117571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13.912214157117571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3.3603333333333336</v>
      </c>
      <c r="BY49" s="12">
        <f>IF('Données projet'!$A$114&gt;35,BY48+BX49-CG48,IF(A49&lt;'Données projet'!$A$114,$BV$205^A49,IF(A49='Données projet'!$A$114,'Données projet'!$B$114,BY48+BX49-CG48)))</f>
        <v>154.57533333333328</v>
      </c>
      <c r="BZ49" s="13">
        <f>BY49*VLOOKUP('Données projet'!$B$12,Paramètres!$A$1:$I$89,3,0)*VLOOKUP('Données projet'!$B$12,Paramètres!$A$1:$I$89,5,0)</f>
        <v>156.73938799999993</v>
      </c>
      <c r="CA49" s="13">
        <f t="shared" si="39"/>
        <v>40.106196314415328</v>
      </c>
      <c r="CB49" s="20">
        <f t="shared" si="10"/>
        <v>342.83939268093991</v>
      </c>
      <c r="CC49" s="59">
        <f t="shared" si="11"/>
        <v>636.17272601427317</v>
      </c>
      <c r="CD49" s="59">
        <f ca="1">AVERAGE(OFFSET($CC$3,0,0,'Données projet'!$E$12+1,1))-AVERAGE(OFFSET($H$3,0,0,'Données projet'!$E$12+1,1))</f>
        <v>372.05986520199804</v>
      </c>
      <c r="CE49" s="59">
        <f t="shared" si="40"/>
        <v>184.37981929432044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10.110000000000001</v>
      </c>
      <c r="CT49" s="12">
        <f>IF('Données projet'!$A$140&gt;35,CT48+CS49-DB48,IF(A49&lt;'Données projet'!$A$140,$CQ$205^A49,IF(A49='Données projet'!$A$140,'Données projet'!$B$140,CT48+CS49-DB48)))</f>
        <v>167.89000000000016</v>
      </c>
      <c r="CU49" s="17">
        <f>CT49*VLOOKUP('Données projet'!$B$13,Paramètres!$A$1:$I$89,3,0)*VLOOKUP('Données projet'!$B$13,Paramètres!$A$1:$I$89,5,0)</f>
        <v>151.90687200000013</v>
      </c>
      <c r="CV49" s="13">
        <f t="shared" si="41"/>
        <v>39.011610015763097</v>
      </c>
      <c r="CW49" s="20">
        <f t="shared" si="13"/>
        <v>332.51635617745427</v>
      </c>
      <c r="CX49" s="59">
        <f t="shared" si="14"/>
        <v>625.84968951078758</v>
      </c>
      <c r="CY49" s="59">
        <f ca="1">AVERAGE(OFFSET($CX$3,0,0,'Données projet'!$E$13+1,1))-AVERAGE(OFFSET($H$3,0,0,'Données projet'!$E$13+1,1))</f>
        <v>479.84731392413374</v>
      </c>
      <c r="CZ49" s="59">
        <f t="shared" si="42"/>
        <v>203.57601099841213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13.653298388926505</v>
      </c>
      <c r="DH49" s="21">
        <f>EXP(-LN(2)/2)*DH48+(1-EXP(-LN(2)/2))/(LN(2)/2)*DB49*DE49*VLOOKUP('Données projet'!$B$13,Paramètres!$A$1:$I$89,3,0)*0.475*44/12</f>
        <v>1.8999163655214437</v>
      </c>
      <c r="DI49" s="22">
        <f t="shared" si="15"/>
        <v>15.553214754447948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19.548750000000005</v>
      </c>
      <c r="N50" s="13">
        <f>IF('Données projet'!$A$36&gt;35,N49+M50-V49,IF(A50&lt;'Données projet'!$A$36,$K$205^A50,IF(A50='Données projet'!$A$36,'Données projet'!$B$36,N49+M50-V49)))</f>
        <v>519.42124999999987</v>
      </c>
      <c r="O50" s="13">
        <f>N50*VLOOKUP('Données projet'!$B$9,Paramètres!$A$1:$I$89,3,0)*VLOOKUP('Données projet'!$B$9,Paramètres!$A$1:$I$89,5,0)</f>
        <v>310.61390749999993</v>
      </c>
      <c r="P50" s="13">
        <f t="shared" si="33"/>
        <v>73.397023726049056</v>
      </c>
      <c r="Q50" s="20">
        <f t="shared" si="53"/>
        <v>668.81903855203529</v>
      </c>
      <c r="R50" s="59">
        <f t="shared" si="0"/>
        <v>962.15237188536867</v>
      </c>
      <c r="S50" s="59">
        <f ca="1">AVERAGE(OFFSET($R$3,0,0,'Données projet'!$E$9+1,1))-AVERAGE(OFFSET($H$3,0,0,'Données projet'!$E$9+1,1))</f>
        <v>322.7909000321435</v>
      </c>
      <c r="T50" s="59">
        <f t="shared" si="34"/>
        <v>403.23516981532316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45.228233301864179</v>
      </c>
      <c r="AA50" s="21">
        <f>EXP(-LN(2)/25)*AA49+(1-EXP(-LN(2)/25))/(LN(2)/25)*Calculateur!V50*Calculateur!X50*VLOOKUP('Données projet'!$B$9,Paramètres!$A$1:$I$89,3,0)*0.475*44/12</f>
        <v>19.923403751473835</v>
      </c>
      <c r="AB50" s="21">
        <f>EXP(-LN(2)/2)*AB49+(1-EXP(-LN(2)/2))/(LN(2)/2)*V50*Y50*VLOOKUP('Données projet'!$B$9,Paramètres!$A$1:$I$89,3,0)*0.475*44/12</f>
        <v>1.4622170465257969</v>
      </c>
      <c r="AC50" s="22">
        <f t="shared" si="3"/>
        <v>66.613854099863815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6.4429411764705877</v>
      </c>
      <c r="AI50" s="13">
        <f>IF('Données projet'!$A$62&gt;35,AI49+AH50-AQ49,IF(A50&lt;'Données projet'!$A$62,$AF$205^A50,IF(A50='Données projet'!$A$62,'Données projet'!$B$62,AI49+AH50-AQ49)))</f>
        <v>302.81823529411747</v>
      </c>
      <c r="AJ50" s="13">
        <f>AI50*VLOOKUP('Données projet'!$B$10,Paramètres!$A$1:$I$89,3,0)*VLOOKUP('Données projet'!$B$10,Paramètres!$A$1:$I$89,5,0)</f>
        <v>141.71893411764697</v>
      </c>
      <c r="AK50" s="13">
        <f t="shared" si="35"/>
        <v>36.690509048624413</v>
      </c>
      <c r="AL50" s="20">
        <f t="shared" si="4"/>
        <v>310.72978018125599</v>
      </c>
      <c r="AM50" s="59">
        <f t="shared" si="5"/>
        <v>604.0631135145893</v>
      </c>
      <c r="AN50" s="59">
        <f ca="1">AVERAGE(OFFSET($AM$3,0,0,'Données projet'!$E$10+1,1))-AVERAGE(OFFSET($H$3,0,0,'Données projet'!$E$10+1,1))</f>
        <v>187.82209112143374</v>
      </c>
      <c r="AO50" s="59">
        <f t="shared" si="36"/>
        <v>158.99136654880203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3.8461538461538454</v>
      </c>
      <c r="BD50" s="12">
        <f>IF('Données projet'!$A$88&gt;35,BD49+BC50-BL49,IF(A50&lt;'Données projet'!$A$88,$BA$205^A50,IF(A50='Données projet'!$A$88,'Données projet'!$B$88,BD49+BC50-BL49)))</f>
        <v>99.358974358974336</v>
      </c>
      <c r="BE50" s="13">
        <f>BD50*VLOOKUP('Données projet'!$B$11,Paramètres!$A$1:$I$89,3,0)*VLOOKUP('Données projet'!$B$11,Paramètres!$A$1:$I$89,5,0)</f>
        <v>103.84999999999998</v>
      </c>
      <c r="BF50" s="13">
        <f t="shared" si="37"/>
        <v>27.877180626240445</v>
      </c>
      <c r="BG50" s="20">
        <f t="shared" si="7"/>
        <v>229.42483959070205</v>
      </c>
      <c r="BH50" s="59">
        <f t="shared" si="8"/>
        <v>522.75817292403531</v>
      </c>
      <c r="BI50" s="59">
        <f ca="1">AVERAGE(OFFSET($BH$3,0,0,'Données projet'!$E$11+1,1))-AVERAGE(OFFSET($H$3,0,0,'Données projet'!$E$11+1,1))</f>
        <v>140.32771978791288</v>
      </c>
      <c r="BJ50" s="59">
        <f t="shared" si="38"/>
        <v>135.76866977947634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13.531783929379646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13.531783929379646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3.3603333333333336</v>
      </c>
      <c r="BY50" s="12">
        <f>IF('Données projet'!$A$114&gt;35,BY49+BX50-CG49,IF(A50&lt;'Données projet'!$A$114,$BV$205^A50,IF(A50='Données projet'!$A$114,'Données projet'!$B$114,BY49+BX50-CG49)))</f>
        <v>157.93566666666661</v>
      </c>
      <c r="BZ50" s="13">
        <f>BY50*VLOOKUP('Données projet'!$B$12,Paramètres!$A$1:$I$89,3,0)*VLOOKUP('Données projet'!$B$12,Paramètres!$A$1:$I$89,5,0)</f>
        <v>160.14676599999996</v>
      </c>
      <c r="CA50" s="13">
        <f t="shared" si="39"/>
        <v>40.875617121004808</v>
      </c>
      <c r="CB50" s="20">
        <f t="shared" si="10"/>
        <v>350.11398393574996</v>
      </c>
      <c r="CC50" s="59">
        <f t="shared" si="11"/>
        <v>643.44731726908321</v>
      </c>
      <c r="CD50" s="59">
        <f ca="1">AVERAGE(OFFSET($CC$3,0,0,'Données projet'!$E$12+1,1))-AVERAGE(OFFSET($H$3,0,0,'Données projet'!$E$12+1,1))</f>
        <v>372.05986520199804</v>
      </c>
      <c r="CE50" s="59">
        <f t="shared" si="40"/>
        <v>184.37981929432044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10.110000000000001</v>
      </c>
      <c r="CT50" s="12">
        <f>IF('Données projet'!$A$140&gt;35,CT49+CS50-DB49,IF(A50&lt;'Données projet'!$A$140,$CQ$205^A50,IF(A50='Données projet'!$A$140,'Données projet'!$B$140,CT49+CS50-DB49)))</f>
        <v>178.00000000000017</v>
      </c>
      <c r="CU50" s="17">
        <f>CT50*VLOOKUP('Données projet'!$B$13,Paramètres!$A$1:$I$89,3,0)*VLOOKUP('Données projet'!$B$13,Paramètres!$A$1:$I$89,5,0)</f>
        <v>161.05440000000016</v>
      </c>
      <c r="CV50" s="13">
        <f t="shared" si="41"/>
        <v>41.080247278685491</v>
      </c>
      <c r="CW50" s="20">
        <f t="shared" si="13"/>
        <v>352.05117734371078</v>
      </c>
      <c r="CX50" s="59">
        <f t="shared" si="14"/>
        <v>645.38451067704409</v>
      </c>
      <c r="CY50" s="59">
        <f ca="1">AVERAGE(OFFSET($CX$3,0,0,'Données projet'!$E$13+1,1))-AVERAGE(OFFSET($H$3,0,0,'Données projet'!$E$13+1,1))</f>
        <v>479.84731392413374</v>
      </c>
      <c r="CZ50" s="59">
        <f t="shared" si="42"/>
        <v>203.57601099841213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13.279948226485553</v>
      </c>
      <c r="DH50" s="21">
        <f>EXP(-LN(2)/2)*DH49+(1-EXP(-LN(2)/2))/(LN(2)/2)*DB50*DE50*VLOOKUP('Données projet'!$B$13,Paramètres!$A$1:$I$89,3,0)*0.475*44/12</f>
        <v>1.3434437457475121</v>
      </c>
      <c r="DI50" s="22">
        <f t="shared" si="15"/>
        <v>14.623391972233065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538.97</v>
      </c>
      <c r="L51" s="12">
        <f>VLOOKUP(A51,'Données projet'!$A$35:$I$55,9,0)</f>
        <v>19.548750000000005</v>
      </c>
      <c r="M51" s="12">
        <f t="array" ref="M51">INDEX(L:L,MIN(IF(ISNUMBER(L51:L247),ROW(L51:L247),"")))</f>
        <v>19.548750000000005</v>
      </c>
      <c r="N51" s="13">
        <f>IF('Données projet'!$A$36&gt;35,N50+M51-V50,IF(A51&lt;'Données projet'!$A$36,$K$205^A51,IF(A51='Données projet'!$A$36,'Données projet'!$B$36,N50+M51-V50)))</f>
        <v>538.96999999999991</v>
      </c>
      <c r="O51" s="13">
        <f>N51*VLOOKUP('Données projet'!$B$9,Paramètres!$A$1:$I$89,3,0)*VLOOKUP('Données projet'!$B$9,Paramètres!$A$1:$I$89,5,0)</f>
        <v>322.30405999999999</v>
      </c>
      <c r="P51" s="13">
        <f t="shared" si="33"/>
        <v>75.832557796083151</v>
      </c>
      <c r="Q51" s="20">
        <f t="shared" si="53"/>
        <v>693.4212759948449</v>
      </c>
      <c r="R51" s="59">
        <f t="shared" si="0"/>
        <v>986.75460932817828</v>
      </c>
      <c r="S51" s="59">
        <f ca="1">AVERAGE(OFFSET($R$3,0,0,'Données projet'!$E$9+1,1))-AVERAGE(OFFSET($H$3,0,0,'Données projet'!$E$9+1,1))</f>
        <v>322.7909000321435</v>
      </c>
      <c r="T51" s="59">
        <f t="shared" si="34"/>
        <v>403.23516981532316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106.28000000000003</v>
      </c>
      <c r="W51" s="16">
        <f>IF(ISNA(VLOOKUP(A51,'Données projet'!$A$35:$I$55,5,0)),0%,VLOOKUP(A51,'Données projet'!$A$35:$I$55,5,0)*VLOOKUP('Données projet'!$B$9,Paramètres!$A$1:$I$89,7,0))</f>
        <v>0.27</v>
      </c>
      <c r="X51" s="16">
        <f>IF(ISNA(VLOOKUP(A51,'Données projet'!$A$35:$I$55,6,0)),0%,VLOOKUP(A51,'Données projet'!$A$35:$I$55,6,0)*VLOOKUP('Données projet'!$B$9,Paramètres!$A$1:$I$89,7,0))</f>
        <v>9.0000000000000011E-2</v>
      </c>
      <c r="Y51" s="16">
        <f>IF(ISNA(VLOOKUP(A51,'Données projet'!$A$35:$I$55,7,0)),0%,VLOOKUP(A51,'Données projet'!$A$35:$I$55,7,0))</f>
        <v>0.2</v>
      </c>
      <c r="Z51" s="21">
        <f>EXP(-LN(2)/35)*Z50+(1-EXP(-LN(2)/35))/(LN(2)/35)*V51*W51*VLOOKUP('Données projet'!$B$9,Paramètres!$A$1:$I$89,3,0)*0.475*44/12</f>
        <v>67.105139899844502</v>
      </c>
      <c r="AA51" s="21">
        <f>EXP(-LN(2)/25)*AA50+(1-EXP(-LN(2)/25))/(LN(2)/25)*Calculateur!V51*Calculateur!X51*VLOOKUP('Données projet'!$B$9,Paramètres!$A$1:$I$89,3,0)*0.475*44/12</f>
        <v>26.936655526120109</v>
      </c>
      <c r="AB51" s="21">
        <f>EXP(-LN(2)/2)*AB50+(1-EXP(-LN(2)/2))/(LN(2)/2)*V51*Y51*VLOOKUP('Données projet'!$B$9,Paramètres!$A$1:$I$89,3,0)*0.475*44/12</f>
        <v>15.425847959466049</v>
      </c>
      <c r="AC51" s="22">
        <f t="shared" si="3"/>
        <v>109.46764338543066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6.4429411764705877</v>
      </c>
      <c r="AI51" s="13">
        <f>IF('Données projet'!$A$62&gt;35,AI50+AH51-AQ50,IF(A51&lt;'Données projet'!$A$62,$AF$205^A51,IF(A51='Données projet'!$A$62,'Données projet'!$B$62,AI50+AH51-AQ50)))</f>
        <v>309.26117647058805</v>
      </c>
      <c r="AJ51" s="13">
        <f>AI51*VLOOKUP('Données projet'!$B$10,Paramètres!$A$1:$I$89,3,0)*VLOOKUP('Données projet'!$B$10,Paramètres!$A$1:$I$89,5,0)</f>
        <v>144.73423058823522</v>
      </c>
      <c r="AK51" s="13">
        <f t="shared" si="35"/>
        <v>37.379443151518736</v>
      </c>
      <c r="AL51" s="20">
        <f t="shared" si="4"/>
        <v>317.1813150967381</v>
      </c>
      <c r="AM51" s="59">
        <f t="shared" si="5"/>
        <v>610.51464843007147</v>
      </c>
      <c r="AN51" s="59">
        <f ca="1">AVERAGE(OFFSET($AM$3,0,0,'Données projet'!$E$10+1,1))-AVERAGE(OFFSET($H$3,0,0,'Données projet'!$E$10+1,1))</f>
        <v>187.82209112143374</v>
      </c>
      <c r="AO51" s="59">
        <f t="shared" si="36"/>
        <v>158.99136654880203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3.8461538461538454</v>
      </c>
      <c r="BD51" s="12">
        <f>IF('Données projet'!$A$88&gt;35,BD50+BC51-BL50,IF(A51&lt;'Données projet'!$A$88,$BA$205^A51,IF(A51='Données projet'!$A$88,'Données projet'!$B$88,BD50+BC51-BL50)))</f>
        <v>103.20512820512818</v>
      </c>
      <c r="BE51" s="13">
        <f>BD51*VLOOKUP('Données projet'!$B$11,Paramètres!$A$1:$I$89,3,0)*VLOOKUP('Données projet'!$B$11,Paramètres!$A$1:$I$89,5,0)</f>
        <v>107.86999999999998</v>
      </c>
      <c r="BF51" s="13">
        <f t="shared" si="37"/>
        <v>28.828570280930691</v>
      </c>
      <c r="BG51" s="20">
        <f t="shared" si="7"/>
        <v>238.08334323928753</v>
      </c>
      <c r="BH51" s="59">
        <f t="shared" si="8"/>
        <v>531.41667657262087</v>
      </c>
      <c r="BI51" s="59">
        <f ca="1">AVERAGE(OFFSET($BH$3,0,0,'Données projet'!$E$11+1,1))-AVERAGE(OFFSET($H$3,0,0,'Données projet'!$E$11+1,1))</f>
        <v>140.32771978791288</v>
      </c>
      <c r="BJ51" s="59">
        <f t="shared" si="38"/>
        <v>135.76866977947634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13.16175658622517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13.16175658622517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3.3603333333333336</v>
      </c>
      <c r="BY51" s="12">
        <f>IF('Données projet'!$A$114&gt;35,BY50+BX51-CG50,IF(A51&lt;'Données projet'!$A$114,$BV$205^A51,IF(A51='Données projet'!$A$114,'Données projet'!$B$114,BY50+BX51-CG50)))</f>
        <v>161.29599999999994</v>
      </c>
      <c r="BZ51" s="13">
        <f>BY51*VLOOKUP('Données projet'!$B$12,Paramètres!$A$1:$I$89,3,0)*VLOOKUP('Données projet'!$B$12,Paramètres!$A$1:$I$89,5,0)</f>
        <v>163.55414399999992</v>
      </c>
      <c r="CA51" s="13">
        <f t="shared" si="39"/>
        <v>41.64313458919235</v>
      </c>
      <c r="CB51" s="20">
        <f t="shared" si="10"/>
        <v>357.38526020950985</v>
      </c>
      <c r="CC51" s="59">
        <f t="shared" si="11"/>
        <v>650.71859354284311</v>
      </c>
      <c r="CD51" s="59">
        <f ca="1">AVERAGE(OFFSET($CC$3,0,0,'Données projet'!$E$12+1,1))-AVERAGE(OFFSET($H$3,0,0,'Données projet'!$E$12+1,1))</f>
        <v>372.05986520199804</v>
      </c>
      <c r="CE51" s="59">
        <f t="shared" si="40"/>
        <v>184.37981929432044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10.110000000000001</v>
      </c>
      <c r="CT51" s="12">
        <f>IF('Données projet'!$A$140&gt;35,CT50+CS51-DB50,IF(A51&lt;'Données projet'!$A$140,$CQ$205^A51,IF(A51='Données projet'!$A$140,'Données projet'!$B$140,CT50+CS51-DB50)))</f>
        <v>188.11000000000018</v>
      </c>
      <c r="CU51" s="17">
        <f>CT51*VLOOKUP('Données projet'!$B$13,Paramètres!$A$1:$I$89,3,0)*VLOOKUP('Données projet'!$B$13,Paramètres!$A$1:$I$89,5,0)</f>
        <v>170.20192800000018</v>
      </c>
      <c r="CV51" s="13">
        <f t="shared" si="41"/>
        <v>43.135245614983553</v>
      </c>
      <c r="CW51" s="20">
        <f t="shared" si="13"/>
        <v>371.56224404609662</v>
      </c>
      <c r="CX51" s="59">
        <f t="shared" si="14"/>
        <v>664.89557737942994</v>
      </c>
      <c r="CY51" s="59">
        <f ca="1">AVERAGE(OFFSET($CX$3,0,0,'Données projet'!$E$13+1,1))-AVERAGE(OFFSET($H$3,0,0,'Données projet'!$E$13+1,1))</f>
        <v>479.84731392413374</v>
      </c>
      <c r="CZ51" s="59">
        <f t="shared" si="42"/>
        <v>203.57601099841213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12.916807343870181</v>
      </c>
      <c r="DH51" s="21">
        <f>EXP(-LN(2)/2)*DH50+(1-EXP(-LN(2)/2))/(LN(2)/2)*DB51*DE51*VLOOKUP('Données projet'!$B$13,Paramètres!$A$1:$I$89,3,0)*0.475*44/12</f>
        <v>0.94995818276072186</v>
      </c>
      <c r="DI51" s="22">
        <f t="shared" si="15"/>
        <v>13.866765526630903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16.3825</v>
      </c>
      <c r="N52" s="13">
        <f>IF('Données projet'!$A$36&gt;35,N51+M52-V51,IF(A52&lt;'Données projet'!$A$36,$K$205^A52,IF(A52='Données projet'!$A$36,'Données projet'!$B$36,N51+M52-V51)))</f>
        <v>449.07249999999993</v>
      </c>
      <c r="O52" s="13">
        <f>N52*VLOOKUP('Données projet'!$B$9,Paramètres!$A$1:$I$89,3,0)*VLOOKUP('Données projet'!$B$9,Paramètres!$A$1:$I$89,5,0)</f>
        <v>268.54535499999997</v>
      </c>
      <c r="P52" s="13">
        <f t="shared" si="33"/>
        <v>64.540459912565723</v>
      </c>
      <c r="Q52" s="20">
        <f t="shared" si="53"/>
        <v>580.12446097271857</v>
      </c>
      <c r="R52" s="59">
        <f t="shared" si="0"/>
        <v>873.45779430605194</v>
      </c>
      <c r="S52" s="59">
        <f ca="1">AVERAGE(OFFSET($R$3,0,0,'Données projet'!$E$9+1,1))-AVERAGE(OFFSET($H$3,0,0,'Données projet'!$E$9+1,1))</f>
        <v>322.7909000321435</v>
      </c>
      <c r="T52" s="59">
        <f t="shared" si="34"/>
        <v>403.23516981532316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65.789249036502383</v>
      </c>
      <c r="AA52" s="21">
        <f>EXP(-LN(2)/25)*AA51+(1-EXP(-LN(2)/25))/(LN(2)/25)*Calculateur!V52*Calculateur!X52*VLOOKUP('Données projet'!$B$9,Paramètres!$A$1:$I$89,3,0)*0.475*44/12</f>
        <v>26.200071264221204</v>
      </c>
      <c r="AB52" s="21">
        <f>EXP(-LN(2)/2)*AB51+(1-EXP(-LN(2)/2))/(LN(2)/2)*V52*Y52*VLOOKUP('Données projet'!$B$9,Paramètres!$A$1:$I$89,3,0)*0.475*44/12</f>
        <v>10.907721697691111</v>
      </c>
      <c r="AC52" s="22">
        <f t="shared" si="3"/>
        <v>102.89704199841471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6.4429411764705877</v>
      </c>
      <c r="AI52" s="13">
        <f>IF('Données projet'!$A$62&gt;35,AI51+AH52-AQ51,IF(A52&lt;'Données projet'!$A$62,$AF$205^A52,IF(A52='Données projet'!$A$62,'Données projet'!$B$62,AI51+AH52-AQ51)))</f>
        <v>315.70411764705864</v>
      </c>
      <c r="AJ52" s="13">
        <f>AI52*VLOOKUP('Données projet'!$B$10,Paramètres!$A$1:$I$89,3,0)*VLOOKUP('Données projet'!$B$10,Paramètres!$A$1:$I$89,5,0)</f>
        <v>147.74952705882345</v>
      </c>
      <c r="AK52" s="13">
        <f t="shared" si="35"/>
        <v>38.06670848565912</v>
      </c>
      <c r="AL52" s="20">
        <f t="shared" si="4"/>
        <v>323.62994357330712</v>
      </c>
      <c r="AM52" s="59">
        <f t="shared" si="5"/>
        <v>616.96327690664043</v>
      </c>
      <c r="AN52" s="59">
        <f ca="1">AVERAGE(OFFSET($AM$3,0,0,'Données projet'!$E$10+1,1))-AVERAGE(OFFSET($H$3,0,0,'Données projet'!$E$10+1,1))</f>
        <v>187.82209112143374</v>
      </c>
      <c r="AO52" s="59">
        <f t="shared" si="36"/>
        <v>158.99136654880203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3.8461538461538454</v>
      </c>
      <c r="BD52" s="12">
        <f>IF('Données projet'!$A$88&gt;35,BD51+BC52-BL51,IF(A52&lt;'Données projet'!$A$88,$BA$205^A52,IF(A52='Données projet'!$A$88,'Données projet'!$B$88,BD51+BC52-BL51)))</f>
        <v>107.05128205128202</v>
      </c>
      <c r="BE52" s="13">
        <f>BD52*VLOOKUP('Données projet'!$B$11,Paramètres!$A$1:$I$89,3,0)*VLOOKUP('Données projet'!$B$11,Paramètres!$A$1:$I$89,5,0)</f>
        <v>111.88999999999997</v>
      </c>
      <c r="BF52" s="13">
        <f t="shared" si="37"/>
        <v>29.775840844916228</v>
      </c>
      <c r="BG52" s="20">
        <f t="shared" si="7"/>
        <v>246.73467280489569</v>
      </c>
      <c r="BH52" s="59">
        <f t="shared" si="8"/>
        <v>540.06800613822907</v>
      </c>
      <c r="BI52" s="59">
        <f ca="1">AVERAGE(OFFSET($BH$3,0,0,'Données projet'!$E$11+1,1))-AVERAGE(OFFSET($H$3,0,0,'Données projet'!$E$11+1,1))</f>
        <v>140.32771978791288</v>
      </c>
      <c r="BJ52" s="59">
        <f t="shared" si="38"/>
        <v>135.76866977947634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12.801847660228146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12.801847660228146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3.3603333333333336</v>
      </c>
      <c r="BY52" s="12">
        <f>IF('Données projet'!$A$114&gt;35,BY51+BX52-CG51,IF(A52&lt;'Données projet'!$A$114,$BV$205^A52,IF(A52='Données projet'!$A$114,'Données projet'!$B$114,BY51+BX52-CG51)))</f>
        <v>164.65633333333327</v>
      </c>
      <c r="BZ52" s="13">
        <f>BY52*VLOOKUP('Données projet'!$B$12,Paramètres!$A$1:$I$89,3,0)*VLOOKUP('Données projet'!$B$12,Paramètres!$A$1:$I$89,5,0)</f>
        <v>166.96152199999995</v>
      </c>
      <c r="CA52" s="13">
        <f t="shared" si="39"/>
        <v>42.408792940283384</v>
      </c>
      <c r="CB52" s="20">
        <f t="shared" si="10"/>
        <v>364.65329852099347</v>
      </c>
      <c r="CC52" s="59">
        <f t="shared" si="11"/>
        <v>657.98663185432679</v>
      </c>
      <c r="CD52" s="59">
        <f ca="1">AVERAGE(OFFSET($CC$3,0,0,'Données projet'!$E$12+1,1))-AVERAGE(OFFSET($H$3,0,0,'Données projet'!$E$12+1,1))</f>
        <v>372.05986520199804</v>
      </c>
      <c r="CE52" s="59">
        <f t="shared" si="40"/>
        <v>184.37981929432044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10.110000000000001</v>
      </c>
      <c r="CT52" s="12">
        <f>IF('Données projet'!$A$140&gt;35,CT51+CS52-DB51,IF(A52&lt;'Données projet'!$A$140,$CQ$205^A52,IF(A52='Données projet'!$A$140,'Données projet'!$B$140,CT51+CS52-DB51)))</f>
        <v>198.2200000000002</v>
      </c>
      <c r="CU52" s="17">
        <f>CT52*VLOOKUP('Données projet'!$B$13,Paramètres!$A$1:$I$89,3,0)*VLOOKUP('Données projet'!$B$13,Paramètres!$A$1:$I$89,5,0)</f>
        <v>179.34945600000017</v>
      </c>
      <c r="CV52" s="13">
        <f t="shared" si="41"/>
        <v>45.177421627371096</v>
      </c>
      <c r="CW52" s="20">
        <f t="shared" si="13"/>
        <v>391.0509785343383</v>
      </c>
      <c r="CX52" s="59">
        <f t="shared" si="14"/>
        <v>684.38431186767161</v>
      </c>
      <c r="CY52" s="59">
        <f ca="1">AVERAGE(OFFSET($CX$3,0,0,'Données projet'!$E$13+1,1))-AVERAGE(OFFSET($H$3,0,0,'Données projet'!$E$13+1,1))</f>
        <v>479.84731392413374</v>
      </c>
      <c r="CZ52" s="59">
        <f t="shared" si="42"/>
        <v>203.57601099841213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12.563596567786675</v>
      </c>
      <c r="DH52" s="21">
        <f>EXP(-LN(2)/2)*DH51+(1-EXP(-LN(2)/2))/(LN(2)/2)*DB52*DE52*VLOOKUP('Données projet'!$B$13,Paramètres!$A$1:$I$89,3,0)*0.475*44/12</f>
        <v>0.67172187287375607</v>
      </c>
      <c r="DI52" s="22">
        <f t="shared" si="15"/>
        <v>13.23531844066043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16.3825</v>
      </c>
      <c r="N53" s="13">
        <f>IF('Données projet'!$A$36&gt;35,N52+M53-V52,IF(A53&lt;'Données projet'!$A$36,$K$205^A53,IF(A53='Données projet'!$A$36,'Données projet'!$B$36,N52+M53-V52)))</f>
        <v>465.45499999999993</v>
      </c>
      <c r="O53" s="13">
        <f>N53*VLOOKUP('Données projet'!$B$9,Paramètres!$A$1:$I$89,3,0)*VLOOKUP('Données projet'!$B$9,Paramètres!$A$1:$I$89,5,0)</f>
        <v>278.34208999999998</v>
      </c>
      <c r="P53" s="13">
        <f t="shared" si="33"/>
        <v>66.616523833555178</v>
      </c>
      <c r="Q53" s="20">
        <f t="shared" si="53"/>
        <v>600.8029190934418</v>
      </c>
      <c r="R53" s="59">
        <f t="shared" si="0"/>
        <v>894.13625242677517</v>
      </c>
      <c r="S53" s="59">
        <f ca="1">AVERAGE(OFFSET($R$3,0,0,'Données projet'!$E$9+1,1))-AVERAGE(OFFSET($H$3,0,0,'Données projet'!$E$9+1,1))</f>
        <v>322.7909000321435</v>
      </c>
      <c r="T53" s="59">
        <f t="shared" si="34"/>
        <v>403.23516981532316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64.499161990376223</v>
      </c>
      <c r="AA53" s="21">
        <f>EXP(-LN(2)/25)*AA52+(1-EXP(-LN(2)/25))/(LN(2)/25)*Calculateur!V53*Calculateur!X53*VLOOKUP('Données projet'!$B$9,Paramètres!$A$1:$I$89,3,0)*0.475*44/12</f>
        <v>25.483628937699208</v>
      </c>
      <c r="AB53" s="21">
        <f>EXP(-LN(2)/2)*AB52+(1-EXP(-LN(2)/2))/(LN(2)/2)*V53*Y53*VLOOKUP('Données projet'!$B$9,Paramètres!$A$1:$I$89,3,0)*0.475*44/12</f>
        <v>7.7129239797330253</v>
      </c>
      <c r="AC53" s="22">
        <f t="shared" si="3"/>
        <v>97.695714907808451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6.4429411764705877</v>
      </c>
      <c r="AI53" s="13">
        <f>IF('Données projet'!$A$62&gt;35,AI52+AH53-AQ52,IF(A53&lt;'Données projet'!$A$62,$AF$205^A53,IF(A53='Données projet'!$A$62,'Données projet'!$B$62,AI52+AH53-AQ52)))</f>
        <v>322.14705882352922</v>
      </c>
      <c r="AJ53" s="13">
        <f>AI53*VLOOKUP('Données projet'!$B$10,Paramètres!$A$1:$I$89,3,0)*VLOOKUP('Données projet'!$B$10,Paramètres!$A$1:$I$89,5,0)</f>
        <v>150.76482352941167</v>
      </c>
      <c r="AK53" s="13">
        <f t="shared" si="35"/>
        <v>38.752343031926451</v>
      </c>
      <c r="AL53" s="20">
        <f t="shared" si="4"/>
        <v>330.0757317609972</v>
      </c>
      <c r="AM53" s="59">
        <f t="shared" si="5"/>
        <v>623.40906509433057</v>
      </c>
      <c r="AN53" s="59">
        <f ca="1">AVERAGE(OFFSET($AM$3,0,0,'Données projet'!$E$10+1,1))-AVERAGE(OFFSET($H$3,0,0,'Données projet'!$E$10+1,1))</f>
        <v>187.82209112143374</v>
      </c>
      <c r="AO53" s="59">
        <f t="shared" si="36"/>
        <v>158.99136654880203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110.89743589743588</v>
      </c>
      <c r="BB53" s="12">
        <f>VLOOKUP(A53,'Données projet'!$A$87:$I$107,9,0)</f>
        <v>3.8461538461538454</v>
      </c>
      <c r="BC53" s="12">
        <f t="array" ref="BC53">INDEX(BB:BB,MIN(IF(ISNUMBER(BB53:BB249),ROW(BB53:BB249),"")))</f>
        <v>3.8461538461538454</v>
      </c>
      <c r="BD53" s="12">
        <f>IF('Données projet'!$A$88&gt;35,BD52+BC53-BL52,IF(A53&lt;'Données projet'!$A$88,$BA$205^A53,IF(A53='Données projet'!$A$88,'Données projet'!$B$88,BD52+BC53-BL52)))</f>
        <v>110.89743589743586</v>
      </c>
      <c r="BE53" s="13">
        <f>BD53*VLOOKUP('Données projet'!$B$11,Paramètres!$A$1:$I$89,3,0)*VLOOKUP('Données projet'!$B$11,Paramètres!$A$1:$I$89,5,0)</f>
        <v>115.90999999999997</v>
      </c>
      <c r="BF53" s="13">
        <f t="shared" si="37"/>
        <v>30.719157262842881</v>
      </c>
      <c r="BG53" s="20">
        <f t="shared" si="7"/>
        <v>255.37911556611792</v>
      </c>
      <c r="BH53" s="59">
        <f t="shared" si="8"/>
        <v>548.71244889945126</v>
      </c>
      <c r="BI53" s="59">
        <f ca="1">AVERAGE(OFFSET($BH$3,0,0,'Données projet'!$E$11+1,1))-AVERAGE(OFFSET($H$3,0,0,'Données projet'!$E$11+1,1))</f>
        <v>140.32771978791288</v>
      </c>
      <c r="BJ53" s="59">
        <f t="shared" si="38"/>
        <v>135.76866977947634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11.538461538461538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0.215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15.306868602639014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15.306868602639014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3.3603333333333336</v>
      </c>
      <c r="BY53" s="12">
        <f>IF('Données projet'!$A$114&gt;35,BY52+BX53-CG52,IF(A53&lt;'Données projet'!$A$114,$BV$205^A53,IF(A53='Données projet'!$A$114,'Données projet'!$B$114,BY52+BX53-CG52)))</f>
        <v>168.01666666666659</v>
      </c>
      <c r="BZ53" s="13">
        <f>BY53*VLOOKUP('Données projet'!$B$12,Paramètres!$A$1:$I$89,3,0)*VLOOKUP('Données projet'!$B$12,Paramètres!$A$1:$I$89,5,0)</f>
        <v>170.36889999999994</v>
      </c>
      <c r="CA53" s="13">
        <f t="shared" si="39"/>
        <v>43.172634487453415</v>
      </c>
      <c r="CB53" s="20">
        <f t="shared" si="10"/>
        <v>371.91817256564792</v>
      </c>
      <c r="CC53" s="59">
        <f t="shared" si="11"/>
        <v>665.25150589898124</v>
      </c>
      <c r="CD53" s="59">
        <f ca="1">AVERAGE(OFFSET($CC$3,0,0,'Données projet'!$E$12+1,1))-AVERAGE(OFFSET($H$3,0,0,'Données projet'!$E$12+1,1))</f>
        <v>372.05986520199804</v>
      </c>
      <c r="CE53" s="59">
        <f t="shared" si="40"/>
        <v>184.37981929432044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208.33</v>
      </c>
      <c r="CR53" s="12">
        <f>VLOOKUP(A53,'Données projet'!$A$139:$I$159,9,0)</f>
        <v>10.110000000000001</v>
      </c>
      <c r="CS53" s="12">
        <f t="array" ref="CS53">INDEX(CR:CR,MIN(IF(ISNUMBER(CR53:CR249),ROW(CR53:CR249),"")))</f>
        <v>10.110000000000001</v>
      </c>
      <c r="CT53" s="12">
        <f>IF('Données projet'!$A$140&gt;35,CT52+CS53-DB52,IF(A53&lt;'Données projet'!$A$140,$CQ$205^A53,IF(A53='Données projet'!$A$140,'Données projet'!$B$140,CT52+CS53-DB52)))</f>
        <v>208.33000000000021</v>
      </c>
      <c r="CU53" s="17">
        <f>CT53*VLOOKUP('Données projet'!$B$13,Paramètres!$A$1:$I$89,3,0)*VLOOKUP('Données projet'!$B$13,Paramètres!$A$1:$I$89,5,0)</f>
        <v>188.4969840000002</v>
      </c>
      <c r="CV53" s="13">
        <f t="shared" si="41"/>
        <v>47.207503913482938</v>
      </c>
      <c r="CW53" s="20">
        <f t="shared" si="13"/>
        <v>410.51864978264985</v>
      </c>
      <c r="CX53" s="59">
        <f t="shared" si="14"/>
        <v>703.8519831159831</v>
      </c>
      <c r="CY53" s="59">
        <f ca="1">AVERAGE(OFFSET($CX$3,0,0,'Données projet'!$E$13+1,1))-AVERAGE(OFFSET($H$3,0,0,'Données projet'!$E$13+1,1))</f>
        <v>479.84731392413374</v>
      </c>
      <c r="CZ53" s="59">
        <f t="shared" si="42"/>
        <v>203.57601099841213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37.54000000000002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0.34400000000000003</v>
      </c>
      <c r="DE53" s="16">
        <f>IF(ISNA(VLOOKUP(A53,'Données projet'!$A$139:$I$159,7,0)),0%,VLOOKUP(A53,'Données projet'!$A$139:$I$159,7,0))</f>
        <v>0.2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25.085911282565853</v>
      </c>
      <c r="DH53" s="21">
        <f>EXP(-LN(2)/2)*DH52+(1-EXP(-LN(2)/2))/(LN(2)/2)*DB53*DE53*VLOOKUP('Données projet'!$B$13,Paramètres!$A$1:$I$89,3,0)*0.475*44/12</f>
        <v>6.8845823591112083</v>
      </c>
      <c r="DI53" s="22">
        <f t="shared" si="15"/>
        <v>31.970493641677059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16.3825</v>
      </c>
      <c r="N54" s="13">
        <f>IF('Données projet'!$A$36&gt;35,N53+M54-V53,IF(A54&lt;'Données projet'!$A$36,$K$205^A54,IF(A54='Données projet'!$A$36,'Données projet'!$B$36,N53+M54-V53)))</f>
        <v>481.83749999999992</v>
      </c>
      <c r="O54" s="13">
        <f>N54*VLOOKUP('Données projet'!$B$9,Paramètres!$A$1:$I$89,3,0)*VLOOKUP('Données projet'!$B$9,Paramètres!$A$1:$I$89,5,0)</f>
        <v>288.138825</v>
      </c>
      <c r="P54" s="13">
        <f t="shared" si="33"/>
        <v>68.684097873944822</v>
      </c>
      <c r="Q54" s="20">
        <f t="shared" si="53"/>
        <v>621.46659067212056</v>
      </c>
      <c r="R54" s="59">
        <f t="shared" si="0"/>
        <v>914.79992400545393</v>
      </c>
      <c r="S54" s="59">
        <f ca="1">AVERAGE(OFFSET($R$3,0,0,'Données projet'!$E$9+1,1))-AVERAGE(OFFSET($H$3,0,0,'Données projet'!$E$9+1,1))</f>
        <v>322.7909000321435</v>
      </c>
      <c r="T54" s="59">
        <f t="shared" si="34"/>
        <v>403.23516981532316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63.234372764349196</v>
      </c>
      <c r="AA54" s="21">
        <f>EXP(-LN(2)/25)*AA53+(1-EXP(-LN(2)/25))/(LN(2)/25)*Calculateur!V54*Calculateur!X54*VLOOKUP('Données projet'!$B$9,Paramètres!$A$1:$I$89,3,0)*0.475*44/12</f>
        <v>24.786777764272021</v>
      </c>
      <c r="AB54" s="21">
        <f>EXP(-LN(2)/2)*AB53+(1-EXP(-LN(2)/2))/(LN(2)/2)*V54*Y54*VLOOKUP('Données projet'!$B$9,Paramètres!$A$1:$I$89,3,0)*0.475*44/12</f>
        <v>5.4538608488455562</v>
      </c>
      <c r="AC54" s="22">
        <f t="shared" si="3"/>
        <v>93.475011377466771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328.59</v>
      </c>
      <c r="AG54" s="12">
        <f>VLOOKUP(A54,'Données projet'!$A$61:$I$81,9,0)</f>
        <v>6.4429411764705877</v>
      </c>
      <c r="AH54" s="12">
        <f t="array" ref="AH54">INDEX(AG:AG,MIN(IF(ISNUMBER(AG54:AG250),ROW(AG54:AG250),"")))</f>
        <v>6.4429411764705877</v>
      </c>
      <c r="AI54" s="13">
        <f>IF('Données projet'!$A$62&gt;35,AI53+AH54-AQ53,IF(A54&lt;'Données projet'!$A$62,$AF$205^A54,IF(A54='Données projet'!$A$62,'Données projet'!$B$62,AI53+AH54-AQ53)))</f>
        <v>328.5899999999998</v>
      </c>
      <c r="AJ54" s="13">
        <f>AI54*VLOOKUP('Données projet'!$B$10,Paramètres!$A$1:$I$89,3,0)*VLOOKUP('Données projet'!$B$10,Paramètres!$A$1:$I$89,5,0)</f>
        <v>153.78011999999993</v>
      </c>
      <c r="AK54" s="13">
        <f t="shared" si="35"/>
        <v>39.436383165095613</v>
      </c>
      <c r="AL54" s="20">
        <f t="shared" si="4"/>
        <v>336.51874301254134</v>
      </c>
      <c r="AM54" s="59">
        <f t="shared" si="5"/>
        <v>629.85207634587459</v>
      </c>
      <c r="AN54" s="59">
        <f ca="1">AVERAGE(OFFSET($AM$3,0,0,'Données projet'!$E$10+1,1))-AVERAGE(OFFSET($H$3,0,0,'Données projet'!$E$10+1,1))</f>
        <v>187.82209112143374</v>
      </c>
      <c r="AO54" s="59">
        <f t="shared" si="36"/>
        <v>158.99136654880203</v>
      </c>
      <c r="AP54" s="15">
        <f>IF(ISNA(VLOOKUP(A54,'Données projet'!$A$61:$I$81,3,0)),0,VLOOKUP(A54,'Données projet'!$A$61:$I$81,3,0))</f>
        <v>1</v>
      </c>
      <c r="AQ54" s="15">
        <f>IF(ISNA(VLOOKUP(A54,'Données projet'!$A$61:$I$81,4,0)),0,VLOOKUP(A54,'Données projet'!$A$61:$I$81,4,0))</f>
        <v>101.57999999999998</v>
      </c>
      <c r="AR54" s="16">
        <f>IF(ISNA(VLOOKUP(A54,'Données projet'!$A$61:$I$81,5,0)),0%,VLOOKUP(A54,'Données projet'!$A$61:$I$81,5,0)*VLOOKUP('Données projet'!$B$10,Paramètres!$A$1:$I$89,7,0))</f>
        <v>0.13750000000000001</v>
      </c>
      <c r="AS54" s="16">
        <f>IF(ISNA(VLOOKUP(A54,'Données projet'!$A$61:$I$81,6,0)),0%,VLOOKUP(A54,'Données projet'!$A$61:$I$81,6,0)*VLOOKUP('Données projet'!$B$10,Paramètres!$A$1:$I$89,7,0))</f>
        <v>0.20350000000000001</v>
      </c>
      <c r="AT54" s="16">
        <f>IF(ISNA(VLOOKUP(A54,'Données projet'!$A$61:$I$81,7,0)),0%,VLOOKUP(A54,'Données projet'!$A$61:$I$81,7,0))</f>
        <v>0.38</v>
      </c>
      <c r="AU54" s="21">
        <f>EXP(-LN(2)/35)*AU53+(1-EXP(-LN(2)/35))/(LN(2)/35)*AQ54*AR54*VLOOKUP('Données projet'!$B$10,Paramètres!$A$1:$I$89,3,0)*0.475*44/12</f>
        <v>8.6713180586313445</v>
      </c>
      <c r="AV54" s="21">
        <f>EXP(-LN(2)/25)*AV53+(1-EXP(-LN(2)/25))/(LN(2)/25)*Calculateur!AQ54*Calculateur!AS54*VLOOKUP('Données projet'!$B$10,Paramètres!$A$1:$I$89,3,0)*0.475*44/12</f>
        <v>12.783020147596885</v>
      </c>
      <c r="AW54" s="21">
        <f>EXP(-LN(2)/2)*AW53+(1-EXP(-LN(2)/2))/(LN(2)/2)*AQ54*AT54*VLOOKUP('Données projet'!$B$10,Paramètres!$A$1:$I$89,3,0)*0.475*44/12</f>
        <v>20.453761962242197</v>
      </c>
      <c r="AX54" s="21">
        <f t="shared" si="6"/>
        <v>41.908100168470426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3.3333333333333344</v>
      </c>
      <c r="BD54" s="12">
        <f>IF('Données projet'!$A$88&gt;35,BD53+BC54-BL53,IF(A54&lt;'Données projet'!$A$88,$BA$205^A54,IF(A54='Données projet'!$A$88,'Données projet'!$B$88,BD53+BC54-BL53)))</f>
        <v>102.69230769230765</v>
      </c>
      <c r="BE54" s="13">
        <f>BD54*VLOOKUP('Données projet'!$B$11,Paramètres!$A$1:$I$89,3,0)*VLOOKUP('Données projet'!$B$11,Paramètres!$A$1:$I$89,5,0)</f>
        <v>107.33399999999996</v>
      </c>
      <c r="BF54" s="13">
        <f t="shared" si="37"/>
        <v>28.701960070059993</v>
      </c>
      <c r="BG54" s="20">
        <f t="shared" si="7"/>
        <v>236.9292971220211</v>
      </c>
      <c r="BH54" s="59">
        <f t="shared" si="8"/>
        <v>530.26263045535438</v>
      </c>
      <c r="BI54" s="59">
        <f ca="1">AVERAGE(OFFSET($BH$3,0,0,'Données projet'!$E$11+1,1))-AVERAGE(OFFSET($H$3,0,0,'Données projet'!$E$11+1,1))</f>
        <v>140.32771978791288</v>
      </c>
      <c r="BJ54" s="59">
        <f t="shared" si="38"/>
        <v>135.76866977947634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14.888301475746614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14.888301475746614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3.3603333333333336</v>
      </c>
      <c r="BY54" s="12">
        <f>IF('Données projet'!$A$114&gt;35,BY53+BX54-CG53,IF(A54&lt;'Données projet'!$A$114,$BV$205^A54,IF(A54='Données projet'!$A$114,'Données projet'!$B$114,BY53+BX54-CG53)))</f>
        <v>171.37699999999992</v>
      </c>
      <c r="BZ54" s="13">
        <f>BY54*VLOOKUP('Données projet'!$B$12,Paramètres!$A$1:$I$89,3,0)*VLOOKUP('Données projet'!$B$12,Paramètres!$A$1:$I$89,5,0)</f>
        <v>173.77627799999993</v>
      </c>
      <c r="CA54" s="13">
        <f t="shared" si="39"/>
        <v>43.934699754571064</v>
      </c>
      <c r="CB54" s="20">
        <f t="shared" si="10"/>
        <v>379.17995292254449</v>
      </c>
      <c r="CC54" s="59">
        <f t="shared" si="11"/>
        <v>672.5132862558778</v>
      </c>
      <c r="CD54" s="59">
        <f ca="1">AVERAGE(OFFSET($CC$3,0,0,'Données projet'!$E$12+1,1))-AVERAGE(OFFSET($H$3,0,0,'Données projet'!$E$12+1,1))</f>
        <v>372.05986520199804</v>
      </c>
      <c r="CE54" s="59">
        <f t="shared" si="40"/>
        <v>184.37981929432044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10.36375</v>
      </c>
      <c r="CT54" s="12">
        <f>IF('Données projet'!$A$140&gt;35,CT53+CS54-DB53,IF(A54&lt;'Données projet'!$A$140,$CQ$205^A54,IF(A54='Données projet'!$A$140,'Données projet'!$B$140,CT53+CS54-DB53)))</f>
        <v>181.1537500000002</v>
      </c>
      <c r="CU54" s="17">
        <f>CT54*VLOOKUP('Données projet'!$B$13,Paramètres!$A$1:$I$89,3,0)*VLOOKUP('Données projet'!$B$13,Paramètres!$A$1:$I$89,5,0)</f>
        <v>163.90791300000018</v>
      </c>
      <c r="CV54" s="13">
        <f t="shared" si="41"/>
        <v>41.72271436472046</v>
      </c>
      <c r="CW54" s="20">
        <f t="shared" si="13"/>
        <v>358.14000932688845</v>
      </c>
      <c r="CX54" s="59">
        <f t="shared" si="14"/>
        <v>651.47334266022176</v>
      </c>
      <c r="CY54" s="59">
        <f ca="1">AVERAGE(OFFSET($CX$3,0,0,'Données projet'!$E$13+1,1))-AVERAGE(OFFSET($H$3,0,0,'Données projet'!$E$13+1,1))</f>
        <v>479.84731392413374</v>
      </c>
      <c r="CZ54" s="59">
        <f t="shared" si="42"/>
        <v>203.57601099841213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24.399935719333349</v>
      </c>
      <c r="DH54" s="21">
        <f>EXP(-LN(2)/2)*DH53+(1-EXP(-LN(2)/2))/(LN(2)/2)*DB54*DE54*VLOOKUP('Données projet'!$B$13,Paramètres!$A$1:$I$89,3,0)*0.475*44/12</f>
        <v>4.8681348717648145</v>
      </c>
      <c r="DI54" s="22">
        <f t="shared" si="15"/>
        <v>29.268070591098166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16.3825</v>
      </c>
      <c r="N55" s="13">
        <f>IF('Données projet'!$A$36&gt;35,N54+M55-V54,IF(A55&lt;'Données projet'!$A$36,$K$205^A55,IF(A55='Données projet'!$A$36,'Données projet'!$B$36,N54+M55-V54)))</f>
        <v>498.21999999999991</v>
      </c>
      <c r="O55" s="13">
        <f>N55*VLOOKUP('Données projet'!$B$9,Paramètres!$A$1:$I$89,3,0)*VLOOKUP('Données projet'!$B$9,Paramètres!$A$1:$I$89,5,0)</f>
        <v>297.93555999999995</v>
      </c>
      <c r="P55" s="13">
        <f t="shared" si="33"/>
        <v>70.74350377882952</v>
      </c>
      <c r="Q55" s="20">
        <f t="shared" si="53"/>
        <v>642.11603608146129</v>
      </c>
      <c r="R55" s="59">
        <f t="shared" si="0"/>
        <v>935.44936941479455</v>
      </c>
      <c r="S55" s="59">
        <f ca="1">AVERAGE(OFFSET($R$3,0,0,'Données projet'!$E$9+1,1))-AVERAGE(OFFSET($H$3,0,0,'Données projet'!$E$9+1,1))</f>
        <v>322.7909000321435</v>
      </c>
      <c r="T55" s="59">
        <f t="shared" si="34"/>
        <v>403.23516981532316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61.994385283599307</v>
      </c>
      <c r="AA55" s="21">
        <f>EXP(-LN(2)/25)*AA54+(1-EXP(-LN(2)/25))/(LN(2)/25)*Calculateur!V55*Calculateur!X55*VLOOKUP('Données projet'!$B$9,Paramètres!$A$1:$I$89,3,0)*0.475*44/12</f>
        <v>24.108982022828009</v>
      </c>
      <c r="AB55" s="21">
        <f>EXP(-LN(2)/2)*AB54+(1-EXP(-LN(2)/2))/(LN(2)/2)*V55*Y55*VLOOKUP('Données projet'!$B$9,Paramètres!$A$1:$I$89,3,0)*0.475*44/12</f>
        <v>3.8564619898665131</v>
      </c>
      <c r="AC55" s="22">
        <f t="shared" si="3"/>
        <v>89.959829296293833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12.346666666666669</v>
      </c>
      <c r="AI55" s="13">
        <f>IF('Données projet'!$A$62&gt;35,AI54+AH55-AQ54,IF(A55&lt;'Données projet'!$A$62,$AF$205^A55,IF(A55='Données projet'!$A$62,'Données projet'!$B$62,AI54+AH55-AQ54)))</f>
        <v>239.35666666666651</v>
      </c>
      <c r="AJ55" s="13">
        <f>AI55*VLOOKUP('Données projet'!$B$10,Paramètres!$A$1:$I$89,3,0)*VLOOKUP('Données projet'!$B$10,Paramètres!$A$1:$I$89,5,0)</f>
        <v>112.01891999999992</v>
      </c>
      <c r="AK55" s="13">
        <f t="shared" si="35"/>
        <v>29.806153198145591</v>
      </c>
      <c r="AL55" s="20">
        <f t="shared" si="4"/>
        <v>247.01200248677006</v>
      </c>
      <c r="AM55" s="59">
        <f t="shared" si="5"/>
        <v>540.3453358201034</v>
      </c>
      <c r="AN55" s="59">
        <f ca="1">AVERAGE(OFFSET($AM$3,0,0,'Données projet'!$E$10+1,1))-AVERAGE(OFFSET($H$3,0,0,'Données projet'!$E$10+1,1))</f>
        <v>187.82209112143374</v>
      </c>
      <c r="AO55" s="59">
        <f t="shared" si="36"/>
        <v>158.99136654880203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8.5012788004833553</v>
      </c>
      <c r="AV55" s="21">
        <f>EXP(-LN(2)/25)*AV54+(1-EXP(-LN(2)/25))/(LN(2)/25)*Calculateur!AQ55*Calculateur!AS55*VLOOKUP('Données projet'!$B$10,Paramètres!$A$1:$I$89,3,0)*0.475*44/12</f>
        <v>12.433467789431035</v>
      </c>
      <c r="AW55" s="21">
        <f>EXP(-LN(2)/2)*AW54+(1-EXP(-LN(2)/2))/(LN(2)/2)*AQ55*AT55*VLOOKUP('Données projet'!$B$10,Paramètres!$A$1:$I$89,3,0)*0.475*44/12</f>
        <v>14.462993784276923</v>
      </c>
      <c r="AX55" s="21">
        <f t="shared" si="6"/>
        <v>35.397740374191315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3.3333333333333344</v>
      </c>
      <c r="BD55" s="12">
        <f>IF('Données projet'!$A$88&gt;35,BD54+BC55-BL54,IF(A55&lt;'Données projet'!$A$88,$BA$205^A55,IF(A55='Données projet'!$A$88,'Données projet'!$B$88,BD54+BC55-BL54)))</f>
        <v>106.02564102564098</v>
      </c>
      <c r="BE55" s="13">
        <f>BD55*VLOOKUP('Données projet'!$B$11,Paramètres!$A$1:$I$89,3,0)*VLOOKUP('Données projet'!$B$11,Paramètres!$A$1:$I$89,5,0)</f>
        <v>110.81799999999996</v>
      </c>
      <c r="BF55" s="13">
        <f t="shared" si="37"/>
        <v>29.523628571023192</v>
      </c>
      <c r="BG55" s="20">
        <f t="shared" si="7"/>
        <v>244.42833642786528</v>
      </c>
      <c r="BH55" s="59">
        <f t="shared" si="8"/>
        <v>537.76166976119862</v>
      </c>
      <c r="BI55" s="59">
        <f ca="1">AVERAGE(OFFSET($BH$3,0,0,'Données projet'!$E$11+1,1))-AVERAGE(OFFSET($H$3,0,0,'Données projet'!$E$11+1,1))</f>
        <v>140.32771978791288</v>
      </c>
      <c r="BJ55" s="59">
        <f t="shared" si="38"/>
        <v>135.76866977947634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14.481180088950575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14.481180088950575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3.3603333333333336</v>
      </c>
      <c r="BY55" s="12">
        <f>IF('Données projet'!$A$114&gt;35,BY54+BX55-CG54,IF(A55&lt;'Données projet'!$A$114,$BV$205^A55,IF(A55='Données projet'!$A$114,'Données projet'!$B$114,BY54+BX55-CG54)))</f>
        <v>174.73733333333325</v>
      </c>
      <c r="BZ55" s="13">
        <f>BY55*VLOOKUP('Données projet'!$B$12,Paramètres!$A$1:$I$89,3,0)*VLOOKUP('Données projet'!$B$12,Paramètres!$A$1:$I$89,5,0)</f>
        <v>177.18365599999993</v>
      </c>
      <c r="CA55" s="13">
        <f t="shared" si="39"/>
        <v>44.695027585438865</v>
      </c>
      <c r="CB55" s="20">
        <f t="shared" si="10"/>
        <v>386.43870724463926</v>
      </c>
      <c r="CC55" s="59">
        <f t="shared" si="11"/>
        <v>679.77204057797258</v>
      </c>
      <c r="CD55" s="59">
        <f ca="1">AVERAGE(OFFSET($CC$3,0,0,'Données projet'!$E$12+1,1))-AVERAGE(OFFSET($H$3,0,0,'Données projet'!$E$12+1,1))</f>
        <v>372.05986520199804</v>
      </c>
      <c r="CE55" s="59">
        <f t="shared" si="40"/>
        <v>184.37981929432044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10.36375</v>
      </c>
      <c r="CT55" s="12">
        <f>IF('Données projet'!$A$140&gt;35,CT54+CS55-DB54,IF(A55&lt;'Données projet'!$A$140,$CQ$205^A55,IF(A55='Données projet'!$A$140,'Données projet'!$B$140,CT54+CS55-DB54)))</f>
        <v>191.51750000000021</v>
      </c>
      <c r="CU55" s="17">
        <f>CT55*VLOOKUP('Données projet'!$B$13,Paramètres!$A$1:$I$89,3,0)*VLOOKUP('Données projet'!$B$13,Paramètres!$A$1:$I$89,5,0)</f>
        <v>173.28503400000019</v>
      </c>
      <c r="CV55" s="13">
        <f t="shared" si="41"/>
        <v>43.82494037101592</v>
      </c>
      <c r="CW55" s="20">
        <f t="shared" si="13"/>
        <v>378.133205362853</v>
      </c>
      <c r="CX55" s="59">
        <f t="shared" si="14"/>
        <v>671.46653869618626</v>
      </c>
      <c r="CY55" s="59">
        <f ca="1">AVERAGE(OFFSET($CX$3,0,0,'Données projet'!$E$13+1,1))-AVERAGE(OFFSET($H$3,0,0,'Données projet'!$E$13+1,1))</f>
        <v>479.84731392413374</v>
      </c>
      <c r="CZ55" s="59">
        <f t="shared" si="42"/>
        <v>203.57601099841213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23.732718193951328</v>
      </c>
      <c r="DH55" s="21">
        <f>EXP(-LN(2)/2)*DH54+(1-EXP(-LN(2)/2))/(LN(2)/2)*DB55*DE55*VLOOKUP('Données projet'!$B$13,Paramètres!$A$1:$I$89,3,0)*0.475*44/12</f>
        <v>3.4422911795556046</v>
      </c>
      <c r="DI55" s="22">
        <f t="shared" si="15"/>
        <v>27.175009373506931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16.3825</v>
      </c>
      <c r="N56" s="13">
        <f>IF('Données projet'!$A$36&gt;35,N55+M56-V55,IF(A56&lt;'Données projet'!$A$36,$K$205^A56,IF(A56='Données projet'!$A$36,'Données projet'!$B$36,N55+M56-V55)))</f>
        <v>514.60249999999996</v>
      </c>
      <c r="O56" s="13">
        <f>N56*VLOOKUP('Données projet'!$B$9,Paramètres!$A$1:$I$89,3,0)*VLOOKUP('Données projet'!$B$9,Paramètres!$A$1:$I$89,5,0)</f>
        <v>307.73229500000002</v>
      </c>
      <c r="P56" s="13">
        <f t="shared" si="33"/>
        <v>72.795040933099529</v>
      </c>
      <c r="Q56" s="20">
        <f t="shared" si="53"/>
        <v>662.75177675014834</v>
      </c>
      <c r="R56" s="59">
        <f t="shared" si="0"/>
        <v>956.0851100834816</v>
      </c>
      <c r="S56" s="59">
        <f ca="1">AVERAGE(OFFSET($R$3,0,0,'Données projet'!$E$9+1,1))-AVERAGE(OFFSET($H$3,0,0,'Données projet'!$E$9+1,1))</f>
        <v>322.7909000321435</v>
      </c>
      <c r="T56" s="59">
        <f t="shared" si="34"/>
        <v>403.23516981532316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60.778713201029241</v>
      </c>
      <c r="AA56" s="21">
        <f>EXP(-LN(2)/25)*AA55+(1-EXP(-LN(2)/25))/(LN(2)/25)*Calculateur!V56*Calculateur!X56*VLOOKUP('Données projet'!$B$9,Paramètres!$A$1:$I$89,3,0)*0.475*44/12</f>
        <v>23.449720641577514</v>
      </c>
      <c r="AB56" s="21">
        <f>EXP(-LN(2)/2)*AB55+(1-EXP(-LN(2)/2))/(LN(2)/2)*V56*Y56*VLOOKUP('Données projet'!$B$9,Paramètres!$A$1:$I$89,3,0)*0.475*44/12</f>
        <v>2.7269304244227786</v>
      </c>
      <c r="AC56" s="22">
        <f t="shared" si="3"/>
        <v>86.955364267029537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12.346666666666669</v>
      </c>
      <c r="AI56" s="13">
        <f>IF('Données projet'!$A$62&gt;35,AI55+AH56-AQ55,IF(A56&lt;'Données projet'!$A$62,$AF$205^A56,IF(A56='Données projet'!$A$62,'Données projet'!$B$62,AI55+AH56-AQ55)))</f>
        <v>251.70333333333318</v>
      </c>
      <c r="AJ56" s="13">
        <f>AI56*VLOOKUP('Données projet'!$B$10,Paramètres!$A$1:$I$89,3,0)*VLOOKUP('Données projet'!$B$10,Paramètres!$A$1:$I$89,5,0)</f>
        <v>117.79715999999992</v>
      </c>
      <c r="AK56" s="13">
        <f t="shared" si="35"/>
        <v>31.16067034535946</v>
      </c>
      <c r="AL56" s="20">
        <f t="shared" si="4"/>
        <v>259.43488785150095</v>
      </c>
      <c r="AM56" s="59">
        <f t="shared" si="5"/>
        <v>552.76822118483426</v>
      </c>
      <c r="AN56" s="59">
        <f ca="1">AVERAGE(OFFSET($AM$3,0,0,'Données projet'!$E$10+1,1))-AVERAGE(OFFSET($H$3,0,0,'Données projet'!$E$10+1,1))</f>
        <v>187.82209112143374</v>
      </c>
      <c r="AO56" s="59">
        <f t="shared" si="36"/>
        <v>158.99136654880203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8.3345739084739421</v>
      </c>
      <c r="AV56" s="21">
        <f>EXP(-LN(2)/25)*AV55+(1-EXP(-LN(2)/25))/(LN(2)/25)*Calculateur!AQ56*Calculateur!AS56*VLOOKUP('Données projet'!$B$10,Paramètres!$A$1:$I$89,3,0)*0.475*44/12</f>
        <v>12.09347395888139</v>
      </c>
      <c r="AW56" s="21">
        <f>EXP(-LN(2)/2)*AW55+(1-EXP(-LN(2)/2))/(LN(2)/2)*AQ56*AT56*VLOOKUP('Données projet'!$B$10,Paramètres!$A$1:$I$89,3,0)*0.475*44/12</f>
        <v>10.2268809811211</v>
      </c>
      <c r="AX56" s="21">
        <f t="shared" si="6"/>
        <v>30.65492884847643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3.3333333333333344</v>
      </c>
      <c r="BD56" s="12">
        <f>IF('Données projet'!$A$88&gt;35,BD55+BC56-BL55,IF(A56&lt;'Données projet'!$A$88,$BA$205^A56,IF(A56='Données projet'!$A$88,'Données projet'!$B$88,BD55+BC56-BL55)))</f>
        <v>109.35897435897431</v>
      </c>
      <c r="BE56" s="13">
        <f>BD56*VLOOKUP('Données projet'!$B$11,Paramètres!$A$1:$I$89,3,0)*VLOOKUP('Données projet'!$B$11,Paramètres!$A$1:$I$89,5,0)</f>
        <v>114.30199999999996</v>
      </c>
      <c r="BF56" s="13">
        <f t="shared" si="37"/>
        <v>30.342295155235718</v>
      </c>
      <c r="BG56" s="20">
        <f t="shared" si="7"/>
        <v>251.9221473953688</v>
      </c>
      <c r="BH56" s="59">
        <f t="shared" si="8"/>
        <v>545.25548072870208</v>
      </c>
      <c r="BI56" s="59">
        <f ca="1">AVERAGE(OFFSET($BH$3,0,0,'Données projet'!$E$11+1,1))-AVERAGE(OFFSET($H$3,0,0,'Données projet'!$E$11+1,1))</f>
        <v>140.32771978791288</v>
      </c>
      <c r="BJ56" s="59">
        <f t="shared" si="38"/>
        <v>135.76866977947634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14.085191457886058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14.085191457886058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3.3603333333333336</v>
      </c>
      <c r="BY56" s="12">
        <f>IF('Données projet'!$A$114&gt;35,BY55+BX56-CG55,IF(A56&lt;'Données projet'!$A$114,$BV$205^A56,IF(A56='Données projet'!$A$114,'Données projet'!$B$114,BY55+BX56-CG55)))</f>
        <v>178.09766666666658</v>
      </c>
      <c r="BZ56" s="13">
        <f>BY56*VLOOKUP('Données projet'!$B$12,Paramètres!$A$1:$I$89,3,0)*VLOOKUP('Données projet'!$B$12,Paramètres!$A$1:$I$89,5,0)</f>
        <v>180.59103399999992</v>
      </c>
      <c r="CA56" s="13">
        <f t="shared" si="39"/>
        <v>45.453655244392749</v>
      </c>
      <c r="CB56" s="20">
        <f t="shared" si="10"/>
        <v>393.69450043398388</v>
      </c>
      <c r="CC56" s="59">
        <f t="shared" si="11"/>
        <v>687.02783376731713</v>
      </c>
      <c r="CD56" s="59">
        <f ca="1">AVERAGE(OFFSET($CC$3,0,0,'Données projet'!$E$12+1,1))-AVERAGE(OFFSET($H$3,0,0,'Données projet'!$E$12+1,1))</f>
        <v>372.05986520199804</v>
      </c>
      <c r="CE56" s="59">
        <f t="shared" si="40"/>
        <v>184.37981929432044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10.36375</v>
      </c>
      <c r="CT56" s="12">
        <f>IF('Données projet'!$A$140&gt;35,CT55+CS56-DB55,IF(A56&lt;'Données projet'!$A$140,$CQ$205^A56,IF(A56='Données projet'!$A$140,'Données projet'!$B$140,CT55+CS56-DB55)))</f>
        <v>201.88125000000022</v>
      </c>
      <c r="CU56" s="17">
        <f>CT56*VLOOKUP('Données projet'!$B$13,Paramètres!$A$1:$I$89,3,0)*VLOOKUP('Données projet'!$B$13,Paramètres!$A$1:$I$89,5,0)</f>
        <v>182.66215500000018</v>
      </c>
      <c r="CV56" s="13">
        <f t="shared" si="41"/>
        <v>45.913959577546748</v>
      </c>
      <c r="CW56" s="20">
        <f t="shared" si="13"/>
        <v>398.10339955589421</v>
      </c>
      <c r="CX56" s="59">
        <f t="shared" si="14"/>
        <v>691.43673288922753</v>
      </c>
      <c r="CY56" s="59">
        <f ca="1">AVERAGE(OFFSET($CX$3,0,0,'Données projet'!$E$13+1,1))-AVERAGE(OFFSET($H$3,0,0,'Données projet'!$E$13+1,1))</f>
        <v>479.84731392413374</v>
      </c>
      <c r="CZ56" s="59">
        <f t="shared" si="42"/>
        <v>203.57601099841213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23.08374576688832</v>
      </c>
      <c r="DH56" s="21">
        <f>EXP(-LN(2)/2)*DH55+(1-EXP(-LN(2)/2))/(LN(2)/2)*DB56*DE56*VLOOKUP('Données projet'!$B$13,Paramètres!$A$1:$I$89,3,0)*0.475*44/12</f>
        <v>2.4340674358824077</v>
      </c>
      <c r="DI56" s="22">
        <f t="shared" si="15"/>
        <v>25.517813202770729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16.3825</v>
      </c>
      <c r="N57" s="13">
        <f>IF('Données projet'!$A$36&gt;35,N56+M57-V56,IF(A57&lt;'Données projet'!$A$36,$K$205^A57,IF(A57='Données projet'!$A$36,'Données projet'!$B$36,N56+M57-V56)))</f>
        <v>530.98500000000001</v>
      </c>
      <c r="O57" s="13">
        <f>N57*VLOOKUP('Données projet'!$B$9,Paramètres!$A$1:$I$89,3,0)*VLOOKUP('Données projet'!$B$9,Paramètres!$A$1:$I$89,5,0)</f>
        <v>317.52903000000003</v>
      </c>
      <c r="P57" s="13">
        <f t="shared" si="33"/>
        <v>74.838988577247719</v>
      </c>
      <c r="Q57" s="20">
        <f t="shared" si="53"/>
        <v>683.37429902203985</v>
      </c>
      <c r="R57" s="59">
        <f t="shared" si="0"/>
        <v>976.70763235537311</v>
      </c>
      <c r="S57" s="59">
        <f ca="1">AVERAGE(OFFSET($R$3,0,0,'Données projet'!$E$9+1,1))-AVERAGE(OFFSET($H$3,0,0,'Données projet'!$E$9+1,1))</f>
        <v>322.7909000321435</v>
      </c>
      <c r="T57" s="59">
        <f t="shared" si="34"/>
        <v>403.23516981532316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59.586879706511617</v>
      </c>
      <c r="AA57" s="21">
        <f>EXP(-LN(2)/25)*AA56+(1-EXP(-LN(2)/25))/(LN(2)/25)*Calculateur!V57*Calculateur!X57*VLOOKUP('Données projet'!$B$9,Paramètres!$A$1:$I$89,3,0)*0.475*44/12</f>
        <v>22.808486797466362</v>
      </c>
      <c r="AB57" s="21">
        <f>EXP(-LN(2)/2)*AB56+(1-EXP(-LN(2)/2))/(LN(2)/2)*V57*Y57*VLOOKUP('Données projet'!$B$9,Paramètres!$A$1:$I$89,3,0)*0.475*44/12</f>
        <v>1.928230994933257</v>
      </c>
      <c r="AC57" s="22">
        <f t="shared" si="3"/>
        <v>84.323597498911241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12.346666666666669</v>
      </c>
      <c r="AI57" s="13">
        <f>IF('Données projet'!$A$62&gt;35,AI56+AH57-AQ56,IF(A57&lt;'Données projet'!$A$62,$AF$205^A57,IF(A57='Données projet'!$A$62,'Données projet'!$B$62,AI56+AH57-AQ56)))</f>
        <v>264.04999999999984</v>
      </c>
      <c r="AJ57" s="13">
        <f>AI57*VLOOKUP('Données projet'!$B$10,Paramètres!$A$1:$I$89,3,0)*VLOOKUP('Données projet'!$B$10,Paramètres!$A$1:$I$89,5,0)</f>
        <v>123.57539999999992</v>
      </c>
      <c r="AK57" s="13">
        <f t="shared" si="35"/>
        <v>32.507472368650312</v>
      </c>
      <c r="AL57" s="20">
        <f t="shared" si="4"/>
        <v>271.84433604206578</v>
      </c>
      <c r="AM57" s="59">
        <f t="shared" si="5"/>
        <v>565.17766937539909</v>
      </c>
      <c r="AN57" s="59">
        <f ca="1">AVERAGE(OFFSET($AM$3,0,0,'Données projet'!$E$10+1,1))-AVERAGE(OFFSET($H$3,0,0,'Données projet'!$E$10+1,1))</f>
        <v>187.82209112143374</v>
      </c>
      <c r="AO57" s="59">
        <f t="shared" si="36"/>
        <v>158.99136654880203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8.1711379977168903</v>
      </c>
      <c r="AV57" s="21">
        <f>EXP(-LN(2)/25)*AV56+(1-EXP(-LN(2)/25))/(LN(2)/25)*Calculateur!AQ57*Calculateur!AS57*VLOOKUP('Données projet'!$B$10,Paramètres!$A$1:$I$89,3,0)*0.475*44/12</f>
        <v>11.762777277507622</v>
      </c>
      <c r="AW57" s="21">
        <f>EXP(-LN(2)/2)*AW56+(1-EXP(-LN(2)/2))/(LN(2)/2)*AQ57*AT57*VLOOKUP('Données projet'!$B$10,Paramètres!$A$1:$I$89,3,0)*0.475*44/12</f>
        <v>7.2314968921384626</v>
      </c>
      <c r="AX57" s="21">
        <f t="shared" si="6"/>
        <v>27.165412167362977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3.3333333333333344</v>
      </c>
      <c r="BD57" s="12">
        <f>IF('Données projet'!$A$88&gt;35,BD56+BC57-BL56,IF(A57&lt;'Données projet'!$A$88,$BA$205^A57,IF(A57='Données projet'!$A$88,'Données projet'!$B$88,BD56+BC57-BL56)))</f>
        <v>112.69230769230764</v>
      </c>
      <c r="BE57" s="13">
        <f>BD57*VLOOKUP('Données projet'!$B$11,Paramètres!$A$1:$I$89,3,0)*VLOOKUP('Données projet'!$B$11,Paramètres!$A$1:$I$89,5,0)</f>
        <v>117.78599999999996</v>
      </c>
      <c r="BF57" s="13">
        <f t="shared" si="37"/>
        <v>31.158061824774272</v>
      </c>
      <c r="BG57" s="20">
        <f t="shared" si="7"/>
        <v>259.41090767814842</v>
      </c>
      <c r="BH57" s="59">
        <f t="shared" si="8"/>
        <v>552.74424101148179</v>
      </c>
      <c r="BI57" s="59">
        <f ca="1">AVERAGE(OFFSET($BH$3,0,0,'Données projet'!$E$11+1,1))-AVERAGE(OFFSET($H$3,0,0,'Données projet'!$E$11+1,1))</f>
        <v>140.32771978791288</v>
      </c>
      <c r="BJ57" s="59">
        <f t="shared" si="38"/>
        <v>135.76866977947634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13.700031156762137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13.700031156762137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3.3603333333333336</v>
      </c>
      <c r="BY57" s="12">
        <f>IF('Données projet'!$A$114&gt;35,BY56+BX57-CG56,IF(A57&lt;'Données projet'!$A$114,$BV$205^A57,IF(A57='Données projet'!$A$114,'Données projet'!$B$114,BY56+BX57-CG56)))</f>
        <v>181.45799999999991</v>
      </c>
      <c r="BZ57" s="13">
        <f>BY57*VLOOKUP('Données projet'!$B$12,Paramètres!$A$1:$I$89,3,0)*VLOOKUP('Données projet'!$B$12,Paramètres!$A$1:$I$89,5,0)</f>
        <v>183.99841199999992</v>
      </c>
      <c r="CA57" s="13">
        <f t="shared" si="39"/>
        <v>46.210618509095013</v>
      </c>
      <c r="CB57" s="20">
        <f t="shared" si="10"/>
        <v>400.94739480334033</v>
      </c>
      <c r="CC57" s="59">
        <f t="shared" si="11"/>
        <v>694.28072813667359</v>
      </c>
      <c r="CD57" s="59">
        <f ca="1">AVERAGE(OFFSET($CC$3,0,0,'Données projet'!$E$12+1,1))-AVERAGE(OFFSET($H$3,0,0,'Données projet'!$E$12+1,1))</f>
        <v>372.05986520199804</v>
      </c>
      <c r="CE57" s="59">
        <f t="shared" si="40"/>
        <v>184.37981929432044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10.36375</v>
      </c>
      <c r="CT57" s="12">
        <f>IF('Données projet'!$A$140&gt;35,CT56+CS57-DB56,IF(A57&lt;'Données projet'!$A$140,$CQ$205^A57,IF(A57='Données projet'!$A$140,'Données projet'!$B$140,CT56+CS57-DB56)))</f>
        <v>212.24500000000023</v>
      </c>
      <c r="CU57" s="17">
        <f>CT57*VLOOKUP('Données projet'!$B$13,Paramètres!$A$1:$I$89,3,0)*VLOOKUP('Données projet'!$B$13,Paramètres!$A$1:$I$89,5,0)</f>
        <v>192.0392760000002</v>
      </c>
      <c r="CV57" s="13">
        <f t="shared" si="41"/>
        <v>47.990527307113453</v>
      </c>
      <c r="CW57" s="20">
        <f t="shared" si="13"/>
        <v>418.05190742655623</v>
      </c>
      <c r="CX57" s="59">
        <f t="shared" si="14"/>
        <v>711.38524075988948</v>
      </c>
      <c r="CY57" s="59">
        <f ca="1">AVERAGE(OFFSET($CX$3,0,0,'Données projet'!$E$13+1,1))-AVERAGE(OFFSET($H$3,0,0,'Données projet'!$E$13+1,1))</f>
        <v>479.84731392413374</v>
      </c>
      <c r="CZ57" s="59">
        <f t="shared" si="42"/>
        <v>203.57601099841213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22.452519524971329</v>
      </c>
      <c r="DH57" s="21">
        <f>EXP(-LN(2)/2)*DH56+(1-EXP(-LN(2)/2))/(LN(2)/2)*DB57*DE57*VLOOKUP('Données projet'!$B$13,Paramètres!$A$1:$I$89,3,0)*0.475*44/12</f>
        <v>1.7211455897778025</v>
      </c>
      <c r="DI57" s="22">
        <f t="shared" si="15"/>
        <v>24.173665114749131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16.3825</v>
      </c>
      <c r="N58" s="13">
        <f>IF('Données projet'!$A$36&gt;35,N57+M58-V57,IF(A58&lt;'Données projet'!$A$36,$K$205^A58,IF(A58='Données projet'!$A$36,'Données projet'!$B$36,N57+M58-V57)))</f>
        <v>547.36750000000006</v>
      </c>
      <c r="O58" s="13">
        <f>N58*VLOOKUP('Données projet'!$B$9,Paramètres!$A$1:$I$89,3,0)*VLOOKUP('Données projet'!$B$9,Paramètres!$A$1:$I$89,5,0)</f>
        <v>327.32576500000005</v>
      </c>
      <c r="P58" s="13">
        <f t="shared" si="33"/>
        <v>76.875607742037758</v>
      </c>
      <c r="Q58" s="20">
        <f t="shared" si="53"/>
        <v>703.9840575257158</v>
      </c>
      <c r="R58" s="59">
        <f t="shared" si="0"/>
        <v>997.31739085904906</v>
      </c>
      <c r="S58" s="59">
        <f ca="1">AVERAGE(OFFSET($R$3,0,0,'Données projet'!$E$9+1,1))-AVERAGE(OFFSET($H$3,0,0,'Données projet'!$E$9+1,1))</f>
        <v>322.7909000321435</v>
      </c>
      <c r="T58" s="59">
        <f t="shared" si="34"/>
        <v>403.23516981532316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58.418417339874836</v>
      </c>
      <c r="AA58" s="21">
        <f>EXP(-LN(2)/25)*AA57+(1-EXP(-LN(2)/25))/(LN(2)/25)*Calculateur!V58*Calculateur!X58*VLOOKUP('Données projet'!$B$9,Paramètres!$A$1:$I$89,3,0)*0.475*44/12</f>
        <v>22.184787526543452</v>
      </c>
      <c r="AB58" s="21">
        <f>EXP(-LN(2)/2)*AB57+(1-EXP(-LN(2)/2))/(LN(2)/2)*V58*Y58*VLOOKUP('Données projet'!$B$9,Paramètres!$A$1:$I$89,3,0)*0.475*44/12</f>
        <v>1.3634652122113895</v>
      </c>
      <c r="AC58" s="22">
        <f t="shared" si="3"/>
        <v>81.966670078629676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12.346666666666669</v>
      </c>
      <c r="AI58" s="13">
        <f>IF('Données projet'!$A$62&gt;35,AI57+AH58-AQ57,IF(A58&lt;'Données projet'!$A$62,$AF$205^A58,IF(A58='Données projet'!$A$62,'Données projet'!$B$62,AI57+AH58-AQ57)))</f>
        <v>276.39666666666653</v>
      </c>
      <c r="AJ58" s="13">
        <f>AI58*VLOOKUP('Données projet'!$B$10,Paramètres!$A$1:$I$89,3,0)*VLOOKUP('Données projet'!$B$10,Paramètres!$A$1:$I$89,5,0)</f>
        <v>129.35363999999993</v>
      </c>
      <c r="AK58" s="13">
        <f t="shared" si="35"/>
        <v>33.846961214906273</v>
      </c>
      <c r="AL58" s="20">
        <f t="shared" si="4"/>
        <v>284.24104711596163</v>
      </c>
      <c r="AM58" s="59">
        <f t="shared" si="5"/>
        <v>577.57438044929495</v>
      </c>
      <c r="AN58" s="59">
        <f ca="1">AVERAGE(OFFSET($AM$3,0,0,'Données projet'!$E$10+1,1))-AVERAGE(OFFSET($H$3,0,0,'Données projet'!$E$10+1,1))</f>
        <v>187.82209112143374</v>
      </c>
      <c r="AO58" s="59">
        <f t="shared" si="36"/>
        <v>158.99136654880203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8.0109069654837217</v>
      </c>
      <c r="AV58" s="21">
        <f>EXP(-LN(2)/25)*AV57+(1-EXP(-LN(2)/25))/(LN(2)/25)*Calculateur!AQ58*Calculateur!AS58*VLOOKUP('Données projet'!$B$10,Paramètres!$A$1:$I$89,3,0)*0.475*44/12</f>
        <v>11.441123514276603</v>
      </c>
      <c r="AW58" s="21">
        <f>EXP(-LN(2)/2)*AW57+(1-EXP(-LN(2)/2))/(LN(2)/2)*AQ58*AT58*VLOOKUP('Données projet'!$B$10,Paramètres!$A$1:$I$89,3,0)*0.475*44/12</f>
        <v>5.1134404905605511</v>
      </c>
      <c r="AX58" s="21">
        <f t="shared" si="6"/>
        <v>24.565470970320874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116.02564102564102</v>
      </c>
      <c r="BB58" s="12">
        <f>VLOOKUP(A58,'Données projet'!$A$87:$I$107,9,0)</f>
        <v>3.3333333333333344</v>
      </c>
      <c r="BC58" s="12">
        <f t="array" ref="BC58">INDEX(BB:BB,MIN(IF(ISNUMBER(BB58:BB254),ROW(BB58:BB254),"")))</f>
        <v>3.3333333333333344</v>
      </c>
      <c r="BD58" s="12">
        <f>IF('Données projet'!$A$88&gt;35,BD57+BC58-BL57,IF(A58&lt;'Données projet'!$A$88,$BA$205^A58,IF(A58='Données projet'!$A$88,'Données projet'!$B$88,BD57+BC58-BL57)))</f>
        <v>116.02564102564097</v>
      </c>
      <c r="BE58" s="13">
        <f>BD58*VLOOKUP('Données projet'!$B$11,Paramètres!$A$1:$I$89,3,0)*VLOOKUP('Données projet'!$B$11,Paramètres!$A$1:$I$89,5,0)</f>
        <v>121.26999999999994</v>
      </c>
      <c r="BF58" s="13">
        <f t="shared" si="37"/>
        <v>31.971024204432702</v>
      </c>
      <c r="BG58" s="20">
        <f t="shared" si="7"/>
        <v>266.89478382272017</v>
      </c>
      <c r="BH58" s="59">
        <f t="shared" si="8"/>
        <v>560.22811715605349</v>
      </c>
      <c r="BI58" s="59">
        <f ca="1">AVERAGE(OFFSET($BH$3,0,0,'Données projet'!$E$11+1,1))-AVERAGE(OFFSET($H$3,0,0,'Données projet'!$E$11+1,1))</f>
        <v>140.32771978791288</v>
      </c>
      <c r="BJ58" s="59">
        <f t="shared" si="38"/>
        <v>135.76866977947634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10.897435897435898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0.215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16.021875216454657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16.021875216454657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3.3603333333333336</v>
      </c>
      <c r="BY58" s="12">
        <f>IF('Données projet'!$A$114&gt;35,BY57+BX58-CG57,IF(A58&lt;'Données projet'!$A$114,$BV$205^A58,IF(A58='Données projet'!$A$114,'Données projet'!$B$114,BY57+BX58-CG57)))</f>
        <v>184.81833333333324</v>
      </c>
      <c r="BZ58" s="13">
        <f>BY58*VLOOKUP('Données projet'!$B$12,Paramètres!$A$1:$I$89,3,0)*VLOOKUP('Données projet'!$B$12,Paramètres!$A$1:$I$89,5,0)</f>
        <v>187.40578999999991</v>
      </c>
      <c r="CA58" s="13">
        <f t="shared" si="39"/>
        <v>46.96595175625901</v>
      </c>
      <c r="CB58" s="20">
        <f t="shared" si="10"/>
        <v>408.19745022548432</v>
      </c>
      <c r="CC58" s="59">
        <f t="shared" si="11"/>
        <v>701.53078355881757</v>
      </c>
      <c r="CD58" s="59">
        <f ca="1">AVERAGE(OFFSET($CC$3,0,0,'Données projet'!$E$12+1,1))-AVERAGE(OFFSET($H$3,0,0,'Données projet'!$E$12+1,1))</f>
        <v>372.05986520199804</v>
      </c>
      <c r="CE58" s="59">
        <f t="shared" si="40"/>
        <v>184.37981929432044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10.36375</v>
      </c>
      <c r="CT58" s="12">
        <f>IF('Données projet'!$A$140&gt;35,CT57+CS58-DB57,IF(A58&lt;'Données projet'!$A$140,$CQ$205^A58,IF(A58='Données projet'!$A$140,'Données projet'!$B$140,CT57+CS58-DB57)))</f>
        <v>222.60875000000024</v>
      </c>
      <c r="CU58" s="17">
        <f>CT58*VLOOKUP('Données projet'!$B$13,Paramètres!$A$1:$I$89,3,0)*VLOOKUP('Données projet'!$B$13,Paramètres!$A$1:$I$89,5,0)</f>
        <v>201.41639700000019</v>
      </c>
      <c r="CV58" s="13">
        <f t="shared" si="41"/>
        <v>50.055320951535919</v>
      </c>
      <c r="CW58" s="20">
        <f t="shared" si="13"/>
        <v>437.97990876559203</v>
      </c>
      <c r="CX58" s="59">
        <f t="shared" si="14"/>
        <v>731.31324209892534</v>
      </c>
      <c r="CY58" s="59">
        <f ca="1">AVERAGE(OFFSET($CX$3,0,0,'Données projet'!$E$13+1,1))-AVERAGE(OFFSET($H$3,0,0,'Données projet'!$E$13+1,1))</f>
        <v>479.84731392413374</v>
      </c>
      <c r="CZ58" s="59">
        <f t="shared" si="42"/>
        <v>203.57601099841213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21.838554197834302</v>
      </c>
      <c r="DH58" s="21">
        <f>EXP(-LN(2)/2)*DH57+(1-EXP(-LN(2)/2))/(LN(2)/2)*DB58*DE58*VLOOKUP('Données projet'!$B$13,Paramètres!$A$1:$I$89,3,0)*0.475*44/12</f>
        <v>1.2170337179412041</v>
      </c>
      <c r="DI58" s="22">
        <f t="shared" si="15"/>
        <v>23.055587915775504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563.75</v>
      </c>
      <c r="L59" s="12">
        <f>VLOOKUP(A59,'Données projet'!$A$35:$I$55,9,0)</f>
        <v>16.3825</v>
      </c>
      <c r="M59" s="12">
        <f t="array" ref="M59">INDEX(L:L,MIN(IF(ISNUMBER(L59:L255),ROW(L59:L255),"")))</f>
        <v>16.3825</v>
      </c>
      <c r="N59" s="13">
        <f>IF('Données projet'!$A$36&gt;35,N58+M59-V58,IF(A59&lt;'Données projet'!$A$36,$K$205^A59,IF(A59='Données projet'!$A$36,'Données projet'!$B$36,N58+M59-V58)))</f>
        <v>563.75000000000011</v>
      </c>
      <c r="O59" s="13">
        <f>N59*VLOOKUP('Données projet'!$B$9,Paramètres!$A$1:$I$89,3,0)*VLOOKUP('Données projet'!$B$9,Paramètres!$A$1:$I$89,5,0)</f>
        <v>337.12250000000006</v>
      </c>
      <c r="P59" s="13">
        <f t="shared" si="33"/>
        <v>78.90514294504834</v>
      </c>
      <c r="Q59" s="20">
        <f t="shared" si="53"/>
        <v>724.58147812929258</v>
      </c>
      <c r="R59" s="59">
        <f t="shared" si="0"/>
        <v>1017.9148114626259</v>
      </c>
      <c r="S59" s="59">
        <f ca="1">AVERAGE(OFFSET($R$3,0,0,'Données projet'!$E$9+1,1))-AVERAGE(OFFSET($H$3,0,0,'Données projet'!$E$9+1,1))</f>
        <v>322.7909000321435</v>
      </c>
      <c r="T59" s="59">
        <f t="shared" si="34"/>
        <v>403.23516981532316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563.75</v>
      </c>
      <c r="W59" s="16">
        <f>IF(ISNA(VLOOKUP(A59,'Données projet'!$A$35:$I$55,5,0)),0%,VLOOKUP(A59,'Données projet'!$A$35:$I$55,5,0)*VLOOKUP('Données projet'!$B$9,Paramètres!$A$1:$I$89,7,0))</f>
        <v>0.27</v>
      </c>
      <c r="X59" s="16">
        <f>IF(ISNA(VLOOKUP(A59,'Données projet'!$A$35:$I$55,6,0)),0%,VLOOKUP(A59,'Données projet'!$A$35:$I$55,6,0)*VLOOKUP('Données projet'!$B$9,Paramètres!$A$1:$I$89,7,0))</f>
        <v>9.0000000000000011E-2</v>
      </c>
      <c r="Y59" s="16">
        <f>IF(ISNA(VLOOKUP(A59,'Données projet'!$A$35:$I$55,7,0)),0%,VLOOKUP(A59,'Données projet'!$A$35:$I$55,7,0))</f>
        <v>0.2</v>
      </c>
      <c r="Z59" s="21">
        <f>EXP(-LN(2)/35)*Z58+(1-EXP(-LN(2)/35))/(LN(2)/35)*V59*W59*VLOOKUP('Données projet'!$B$9,Paramètres!$A$1:$I$89,3,0)*0.475*44/12</f>
        <v>178.02084372736357</v>
      </c>
      <c r="AA59" s="21">
        <f>EXP(-LN(2)/25)*AA58+(1-EXP(-LN(2)/25))/(LN(2)/25)*Calculateur!V59*Calculateur!X59*VLOOKUP('Données projet'!$B$9,Paramètres!$A$1:$I$89,3,0)*0.475*44/12</f>
        <v>61.668991721657953</v>
      </c>
      <c r="AB59" s="21">
        <f>EXP(-LN(2)/2)*AB58+(1-EXP(-LN(2)/2))/(LN(2)/2)*V59*Y59*VLOOKUP('Données projet'!$B$9,Paramètres!$A$1:$I$89,3,0)*0.475*44/12</f>
        <v>77.304312042039825</v>
      </c>
      <c r="AC59" s="22">
        <f t="shared" si="3"/>
        <v>316.99414749106137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12.346666666666669</v>
      </c>
      <c r="AI59" s="13">
        <f>IF('Données projet'!$A$62&gt;35,AI58+AH59-AQ58,IF(A59&lt;'Données projet'!$A$62,$AF$205^A59,IF(A59='Données projet'!$A$62,'Données projet'!$B$62,AI58+AH59-AQ58)))</f>
        <v>288.74333333333323</v>
      </c>
      <c r="AJ59" s="13">
        <f>AI59*VLOOKUP('Données projet'!$B$10,Paramètres!$A$1:$I$89,3,0)*VLOOKUP('Données projet'!$B$10,Paramètres!$A$1:$I$89,5,0)</f>
        <v>135.13187999999994</v>
      </c>
      <c r="AK59" s="13">
        <f t="shared" si="35"/>
        <v>35.179500890822183</v>
      </c>
      <c r="AL59" s="20">
        <f t="shared" si="4"/>
        <v>296.6256550515152</v>
      </c>
      <c r="AM59" s="59">
        <f t="shared" si="5"/>
        <v>589.95898838484845</v>
      </c>
      <c r="AN59" s="59">
        <f ca="1">AVERAGE(OFFSET($AM$3,0,0,'Données projet'!$E$10+1,1))-AVERAGE(OFFSET($H$3,0,0,'Données projet'!$E$10+1,1))</f>
        <v>187.82209112143374</v>
      </c>
      <c r="AO59" s="59">
        <f t="shared" si="36"/>
        <v>158.99136654880203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7.8538179660613654</v>
      </c>
      <c r="AV59" s="21">
        <f>EXP(-LN(2)/25)*AV58+(1-EXP(-LN(2)/25))/(LN(2)/25)*Calculateur!AQ59*Calculateur!AS59*VLOOKUP('Données projet'!$B$10,Paramètres!$A$1:$I$89,3,0)*0.475*44/12</f>
        <v>11.128265390116173</v>
      </c>
      <c r="AW59" s="21">
        <f>EXP(-LN(2)/2)*AW58+(1-EXP(-LN(2)/2))/(LN(2)/2)*AQ59*AT59*VLOOKUP('Données projet'!$B$10,Paramètres!$A$1:$I$89,3,0)*0.475*44/12</f>
        <v>3.6157484460692322</v>
      </c>
      <c r="AX59" s="21">
        <f t="shared" si="6"/>
        <v>22.597831802246773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3.2051282051282071</v>
      </c>
      <c r="BD59" s="12">
        <f>IF('Données projet'!$A$88&gt;35,BD58+BC59-BL58,IF(A59&lt;'Données projet'!$A$88,$BA$205^A59,IF(A59='Données projet'!$A$88,'Données projet'!$B$88,BD58+BC59-BL58)))</f>
        <v>108.33333333333327</v>
      </c>
      <c r="BE59" s="13">
        <f>BD59*VLOOKUP('Données projet'!$B$11,Paramètres!$A$1:$I$89,3,0)*VLOOKUP('Données projet'!$B$11,Paramètres!$A$1:$I$89,5,0)</f>
        <v>113.22999999999995</v>
      </c>
      <c r="BF59" s="13">
        <f t="shared" si="37"/>
        <v>30.090711216212426</v>
      </c>
      <c r="BG59" s="20">
        <f t="shared" si="7"/>
        <v>249.61690536823653</v>
      </c>
      <c r="BH59" s="59">
        <f t="shared" si="8"/>
        <v>542.95023870156979</v>
      </c>
      <c r="BI59" s="59">
        <f ca="1">AVERAGE(OFFSET($BH$3,0,0,'Données projet'!$E$11+1,1))-AVERAGE(OFFSET($H$3,0,0,'Données projet'!$E$11+1,1))</f>
        <v>140.32771978791288</v>
      </c>
      <c r="BJ59" s="59">
        <f t="shared" si="38"/>
        <v>135.76866977947634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15.583756196106904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15.583756196106904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3.3603333333333336</v>
      </c>
      <c r="BY59" s="12">
        <f>IF('Données projet'!$A$114&gt;35,BY58+BX59-CG58,IF(A59&lt;'Données projet'!$A$114,$BV$205^A59,IF(A59='Données projet'!$A$114,'Données projet'!$B$114,BY58+BX59-CG58)))</f>
        <v>188.17866666666657</v>
      </c>
      <c r="BZ59" s="13">
        <f>BY59*VLOOKUP('Données projet'!$B$12,Paramètres!$A$1:$I$89,3,0)*VLOOKUP('Données projet'!$B$12,Paramètres!$A$1:$I$89,5,0)</f>
        <v>190.81316799999991</v>
      </c>
      <c r="CA59" s="13">
        <f t="shared" si="39"/>
        <v>47.719688040962872</v>
      </c>
      <c r="CB59" s="20">
        <f t="shared" si="10"/>
        <v>415.44472427134343</v>
      </c>
      <c r="CC59" s="59">
        <f t="shared" si="11"/>
        <v>708.77805760467675</v>
      </c>
      <c r="CD59" s="59">
        <f ca="1">AVERAGE(OFFSET($CC$3,0,0,'Données projet'!$E$12+1,1))-AVERAGE(OFFSET($H$3,0,0,'Données projet'!$E$12+1,1))</f>
        <v>372.05986520199804</v>
      </c>
      <c r="CE59" s="59">
        <f t="shared" si="40"/>
        <v>184.37981929432044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10.36375</v>
      </c>
      <c r="CT59" s="12">
        <f>IF('Données projet'!$A$140&gt;35,CT58+CS59-DB58,IF(A59&lt;'Données projet'!$A$140,$CQ$205^A59,IF(A59='Données projet'!$A$140,'Données projet'!$B$140,CT58+CS59-DB58)))</f>
        <v>232.97250000000025</v>
      </c>
      <c r="CU59" s="17">
        <f>CT59*VLOOKUP('Données projet'!$B$13,Paramètres!$A$1:$I$89,3,0)*VLOOKUP('Données projet'!$B$13,Paramètres!$A$1:$I$89,5,0)</f>
        <v>210.7935180000002</v>
      </c>
      <c r="CV59" s="13">
        <f t="shared" si="41"/>
        <v>52.108951264882847</v>
      </c>
      <c r="CW59" s="20">
        <f t="shared" si="13"/>
        <v>457.88846730300457</v>
      </c>
      <c r="CX59" s="59">
        <f t="shared" si="14"/>
        <v>751.22180063633789</v>
      </c>
      <c r="CY59" s="59">
        <f ca="1">AVERAGE(OFFSET($CX$3,0,0,'Données projet'!$E$13+1,1))-AVERAGE(OFFSET($H$3,0,0,'Données projet'!$E$13+1,1))</f>
        <v>479.84731392413374</v>
      </c>
      <c r="CZ59" s="59">
        <f t="shared" si="42"/>
        <v>203.57601099841213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21.241377784854869</v>
      </c>
      <c r="DH59" s="21">
        <f>EXP(-LN(2)/2)*DH58+(1-EXP(-LN(2)/2))/(LN(2)/2)*DB59*DE59*VLOOKUP('Données projet'!$B$13,Paramètres!$A$1:$I$89,3,0)*0.475*44/12</f>
        <v>0.86057279488890148</v>
      </c>
      <c r="DI59" s="22">
        <f t="shared" si="15"/>
        <v>22.101950579743772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1.1368683772161603E-13</v>
      </c>
      <c r="O60" s="13">
        <f>N60*VLOOKUP('Données projet'!$B$9,Paramètres!$A$1:$I$89,3,0)*VLOOKUP('Données projet'!$B$9,Paramètres!$A$1:$I$89,5,0)</f>
        <v>6.7984728957526396E-14</v>
      </c>
      <c r="P60" s="13">
        <f t="shared" si="33"/>
        <v>1.0682447123141398E-12</v>
      </c>
      <c r="Q60" s="20">
        <f t="shared" si="53"/>
        <v>1.978932943548152E-12</v>
      </c>
      <c r="R60" s="59">
        <f t="shared" si="0"/>
        <v>293.3333333333353</v>
      </c>
      <c r="S60" s="59">
        <f ca="1">AVERAGE(OFFSET($R$3,0,0,'Données projet'!$E$9+1,1))-AVERAGE(OFFSET($H$3,0,0,'Données projet'!$E$9+1,1))</f>
        <v>322.7909000321435</v>
      </c>
      <c r="T60" s="59">
        <f t="shared" si="34"/>
        <v>403.23516981532316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174.52996356386305</v>
      </c>
      <c r="AA60" s="21">
        <f>EXP(-LN(2)/25)*AA59+(1-EXP(-LN(2)/25))/(LN(2)/25)*Calculateur!V60*Calculateur!X60*VLOOKUP('Données projet'!$B$9,Paramètres!$A$1:$I$89,3,0)*0.475*44/12</f>
        <v>59.982649899997888</v>
      </c>
      <c r="AB60" s="21">
        <f>EXP(-LN(2)/2)*AB59+(1-EXP(-LN(2)/2))/(LN(2)/2)*V60*Y60*VLOOKUP('Données projet'!$B$9,Paramètres!$A$1:$I$89,3,0)*0.475*44/12</f>
        <v>54.662403259887249</v>
      </c>
      <c r="AC60" s="22">
        <f t="shared" si="3"/>
        <v>289.17501672374817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12.346666666666669</v>
      </c>
      <c r="AI60" s="13">
        <f>IF('Données projet'!$A$62&gt;35,AI59+AH60-AQ59,IF(A60&lt;'Données projet'!$A$62,$AF$205^A60,IF(A60='Données projet'!$A$62,'Données projet'!$B$62,AI59+AH60-AQ59)))</f>
        <v>301.08999999999992</v>
      </c>
      <c r="AJ60" s="13">
        <f>AI60*VLOOKUP('Données projet'!$B$10,Paramètres!$A$1:$I$89,3,0)*VLOOKUP('Données projet'!$B$10,Paramètres!$A$1:$I$89,5,0)</f>
        <v>140.91011999999995</v>
      </c>
      <c r="AK60" s="13">
        <f t="shared" si="35"/>
        <v>36.505422512536292</v>
      </c>
      <c r="AL60" s="20">
        <f t="shared" si="4"/>
        <v>308.99873654266725</v>
      </c>
      <c r="AM60" s="59">
        <f t="shared" si="5"/>
        <v>602.33206987600056</v>
      </c>
      <c r="AN60" s="59">
        <f ca="1">AVERAGE(OFFSET($AM$3,0,0,'Données projet'!$E$10+1,1))-AVERAGE(OFFSET($H$3,0,0,'Données projet'!$E$10+1,1))</f>
        <v>187.82209112143374</v>
      </c>
      <c r="AO60" s="59">
        <f t="shared" si="36"/>
        <v>158.99136654880203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7.6998093861028529</v>
      </c>
      <c r="AV60" s="21">
        <f>EXP(-LN(2)/25)*AV59+(1-EXP(-LN(2)/25))/(LN(2)/25)*Calculateur!AQ60*Calculateur!AS60*VLOOKUP('Données projet'!$B$10,Paramètres!$A$1:$I$89,3,0)*0.475*44/12</f>
        <v>10.823962387813403</v>
      </c>
      <c r="AW60" s="21">
        <f>EXP(-LN(2)/2)*AW59+(1-EXP(-LN(2)/2))/(LN(2)/2)*AQ60*AT60*VLOOKUP('Données projet'!$B$10,Paramètres!$A$1:$I$89,3,0)*0.475*44/12</f>
        <v>2.556720245280276</v>
      </c>
      <c r="AX60" s="21">
        <f t="shared" si="6"/>
        <v>21.08049201919653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3.2051282051282071</v>
      </c>
      <c r="BD60" s="12">
        <f>IF('Données projet'!$A$88&gt;35,BD59+BC60-BL59,IF(A60&lt;'Données projet'!$A$88,$BA$205^A60,IF(A60='Données projet'!$A$88,'Données projet'!$B$88,BD59+BC60-BL59)))</f>
        <v>111.53846153846148</v>
      </c>
      <c r="BE60" s="13">
        <f>BD60*VLOOKUP('Données projet'!$B$11,Paramètres!$A$1:$I$89,3,0)*VLOOKUP('Données projet'!$B$11,Paramètres!$A$1:$I$89,5,0)</f>
        <v>116.57999999999996</v>
      </c>
      <c r="BF60" s="13">
        <f t="shared" si="37"/>
        <v>30.876003132466991</v>
      </c>
      <c r="BG60" s="20">
        <f t="shared" si="7"/>
        <v>256.81920545571325</v>
      </c>
      <c r="BH60" s="59">
        <f t="shared" si="8"/>
        <v>550.1525387890465</v>
      </c>
      <c r="BI60" s="59">
        <f ca="1">AVERAGE(OFFSET($BH$3,0,0,'Données projet'!$E$11+1,1))-AVERAGE(OFFSET($H$3,0,0,'Données projet'!$E$11+1,1))</f>
        <v>140.32771978791288</v>
      </c>
      <c r="BJ60" s="59">
        <f t="shared" si="38"/>
        <v>135.76866977947634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15.157617563410239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15.157617563410239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3.3603333333333336</v>
      </c>
      <c r="BY60" s="12">
        <f>IF('Données projet'!$A$114&gt;35,BY59+BX60-CG59,IF(A60&lt;'Données projet'!$A$114,$BV$205^A60,IF(A60='Données projet'!$A$114,'Données projet'!$B$114,BY59+BX60-CG59)))</f>
        <v>191.5389999999999</v>
      </c>
      <c r="BZ60" s="13">
        <f>BY60*VLOOKUP('Données projet'!$B$12,Paramètres!$A$1:$I$89,3,0)*VLOOKUP('Données projet'!$B$12,Paramètres!$A$1:$I$89,5,0)</f>
        <v>194.22054599999993</v>
      </c>
      <c r="CA60" s="13">
        <f t="shared" si="39"/>
        <v>48.471859170137883</v>
      </c>
      <c r="CB60" s="20">
        <f t="shared" si="10"/>
        <v>422.68927233798996</v>
      </c>
      <c r="CC60" s="59">
        <f t="shared" si="11"/>
        <v>716.02260567132328</v>
      </c>
      <c r="CD60" s="59">
        <f ca="1">AVERAGE(OFFSET($CC$3,0,0,'Données projet'!$E$12+1,1))-AVERAGE(OFFSET($H$3,0,0,'Données projet'!$E$12+1,1))</f>
        <v>372.05986520199804</v>
      </c>
      <c r="CE60" s="59">
        <f t="shared" si="40"/>
        <v>184.37981929432044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10.36375</v>
      </c>
      <c r="CT60" s="12">
        <f>IF('Données projet'!$A$140&gt;35,CT59+CS60-DB59,IF(A60&lt;'Données projet'!$A$140,$CQ$205^A60,IF(A60='Données projet'!$A$140,'Données projet'!$B$140,CT59+CS60-DB59)))</f>
        <v>243.33625000000026</v>
      </c>
      <c r="CU60" s="17">
        <f>CT60*VLOOKUP('Données projet'!$B$13,Paramètres!$A$1:$I$89,3,0)*VLOOKUP('Données projet'!$B$13,Paramètres!$A$1:$I$89,5,0)</f>
        <v>220.17063900000025</v>
      </c>
      <c r="CV60" s="13">
        <f t="shared" si="41"/>
        <v>54.151971590437505</v>
      </c>
      <c r="CW60" s="20">
        <f t="shared" si="13"/>
        <v>477.7785467783458</v>
      </c>
      <c r="CX60" s="59">
        <f t="shared" si="14"/>
        <v>771.11188011167906</v>
      </c>
      <c r="CY60" s="59">
        <f ca="1">AVERAGE(OFFSET($CX$3,0,0,'Données projet'!$E$13+1,1))-AVERAGE(OFFSET($H$3,0,0,'Données projet'!$E$13+1,1))</f>
        <v>479.84731392413374</v>
      </c>
      <c r="CZ60" s="59">
        <f t="shared" si="42"/>
        <v>203.57601099841213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20.660531192292503</v>
      </c>
      <c r="DH60" s="21">
        <f>EXP(-LN(2)/2)*DH59+(1-EXP(-LN(2)/2))/(LN(2)/2)*DB60*DE60*VLOOKUP('Données projet'!$B$13,Paramètres!$A$1:$I$89,3,0)*0.475*44/12</f>
        <v>0.60851685897060215</v>
      </c>
      <c r="DI60" s="22">
        <f t="shared" si="15"/>
        <v>21.269048051263105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1.1368683772161603E-13</v>
      </c>
      <c r="O61" s="13">
        <f>N61*VLOOKUP('Données projet'!$B$9,Paramètres!$A$1:$I$89,3,0)*VLOOKUP('Données projet'!$B$9,Paramètres!$A$1:$I$89,5,0)</f>
        <v>6.7984728957526396E-14</v>
      </c>
      <c r="P61" s="13">
        <f t="shared" si="33"/>
        <v>1.0682447123141398E-12</v>
      </c>
      <c r="Q61" s="20">
        <f t="shared" si="53"/>
        <v>1.978932943548152E-12</v>
      </c>
      <c r="R61" s="59">
        <f t="shared" si="0"/>
        <v>293.3333333333353</v>
      </c>
      <c r="S61" s="59">
        <f ca="1">AVERAGE(OFFSET($R$3,0,0,'Données projet'!$E$9+1,1))-AVERAGE(OFFSET($H$3,0,0,'Données projet'!$E$9+1,1))</f>
        <v>322.7909000321435</v>
      </c>
      <c r="T61" s="59">
        <f t="shared" si="34"/>
        <v>403.23516981532316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171.10753743114213</v>
      </c>
      <c r="AA61" s="21">
        <f>EXP(-LN(2)/25)*AA60+(1-EXP(-LN(2)/25))/(LN(2)/25)*Calculateur!V61*Calculateur!X61*VLOOKUP('Données projet'!$B$9,Paramètres!$A$1:$I$89,3,0)*0.475*44/12</f>
        <v>58.342421184131979</v>
      </c>
      <c r="AB61" s="21">
        <f>EXP(-LN(2)/2)*AB60+(1-EXP(-LN(2)/2))/(LN(2)/2)*V61*Y61*VLOOKUP('Données projet'!$B$9,Paramètres!$A$1:$I$89,3,0)*0.475*44/12</f>
        <v>38.65215602101992</v>
      </c>
      <c r="AC61" s="22">
        <f t="shared" si="3"/>
        <v>268.102114636294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12.346666666666669</v>
      </c>
      <c r="AI61" s="13">
        <f>IF('Données projet'!$A$62&gt;35,AI60+AH61-AQ60,IF(A61&lt;'Données projet'!$A$62,$AF$205^A61,IF(A61='Données projet'!$A$62,'Données projet'!$B$62,AI60+AH61-AQ60)))</f>
        <v>313.43666666666661</v>
      </c>
      <c r="AJ61" s="13">
        <f>AI61*VLOOKUP('Données projet'!$B$10,Paramètres!$A$1:$I$89,3,0)*VLOOKUP('Données projet'!$B$10,Paramètres!$A$1:$I$89,5,0)</f>
        <v>146.68835999999999</v>
      </c>
      <c r="AK61" s="13">
        <f t="shared" si="35"/>
        <v>37.82502850366479</v>
      </c>
      <c r="AL61" s="20">
        <f t="shared" si="4"/>
        <v>321.36081831054946</v>
      </c>
      <c r="AM61" s="59">
        <f t="shared" si="5"/>
        <v>614.69415164388283</v>
      </c>
      <c r="AN61" s="59">
        <f ca="1">AVERAGE(OFFSET($AM$3,0,0,'Données projet'!$E$10+1,1))-AVERAGE(OFFSET($H$3,0,0,'Données projet'!$E$10+1,1))</f>
        <v>187.82209112143374</v>
      </c>
      <c r="AO61" s="59">
        <f t="shared" si="36"/>
        <v>158.99136654880203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7.5488208204613683</v>
      </c>
      <c r="AV61" s="21">
        <f>EXP(-LN(2)/25)*AV60+(1-EXP(-LN(2)/25))/(LN(2)/25)*Calculateur!AQ61*Calculateur!AS61*VLOOKUP('Données projet'!$B$10,Paramètres!$A$1:$I$89,3,0)*0.475*44/12</f>
        <v>10.527980567111202</v>
      </c>
      <c r="AW61" s="21">
        <f>EXP(-LN(2)/2)*AW60+(1-EXP(-LN(2)/2))/(LN(2)/2)*AQ61*AT61*VLOOKUP('Données projet'!$B$10,Paramètres!$A$1:$I$89,3,0)*0.475*44/12</f>
        <v>1.8078742230346163</v>
      </c>
      <c r="AX61" s="21">
        <f t="shared" si="6"/>
        <v>19.884675610607186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3.2051282051282071</v>
      </c>
      <c r="BD61" s="12">
        <f>IF('Données projet'!$A$88&gt;35,BD60+BC61-BL60,IF(A61&lt;'Données projet'!$A$88,$BA$205^A61,IF(A61='Données projet'!$A$88,'Données projet'!$B$88,BD60+BC61-BL60)))</f>
        <v>114.74358974358968</v>
      </c>
      <c r="BE61" s="13">
        <f>BD61*VLOOKUP('Données projet'!$B$11,Paramètres!$A$1:$I$89,3,0)*VLOOKUP('Données projet'!$B$11,Paramètres!$A$1:$I$89,5,0)</f>
        <v>119.92999999999995</v>
      </c>
      <c r="BF61" s="13">
        <f t="shared" si="37"/>
        <v>31.65867238925356</v>
      </c>
      <c r="BG61" s="20">
        <f t="shared" si="7"/>
        <v>264.01693774461648</v>
      </c>
      <c r="BH61" s="59">
        <f t="shared" si="8"/>
        <v>557.35027107794986</v>
      </c>
      <c r="BI61" s="59">
        <f ca="1">AVERAGE(OFFSET($BH$3,0,0,'Données projet'!$E$11+1,1))-AVERAGE(OFFSET($H$3,0,0,'Données projet'!$E$11+1,1))</f>
        <v>140.32771978791288</v>
      </c>
      <c r="BJ61" s="59">
        <f t="shared" si="38"/>
        <v>135.76866977947634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14.743131714034321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14.743131714034321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3.3603333333333336</v>
      </c>
      <c r="BY61" s="12">
        <f>IF('Données projet'!$A$114&gt;35,BY60+BX61-CG60,IF(A61&lt;'Données projet'!$A$114,$BV$205^A61,IF(A61='Données projet'!$A$114,'Données projet'!$B$114,BY60+BX61-CG60)))</f>
        <v>194.89933333333323</v>
      </c>
      <c r="BZ61" s="13">
        <f>BY61*VLOOKUP('Données projet'!$B$12,Paramètres!$A$1:$I$89,3,0)*VLOOKUP('Données projet'!$B$12,Paramètres!$A$1:$I$89,5,0)</f>
        <v>197.62792399999992</v>
      </c>
      <c r="CA61" s="13">
        <f t="shared" si="39"/>
        <v>49.222495770753348</v>
      </c>
      <c r="CB61" s="20">
        <f t="shared" si="10"/>
        <v>429.93114776739526</v>
      </c>
      <c r="CC61" s="59">
        <f t="shared" si="11"/>
        <v>723.26448110072852</v>
      </c>
      <c r="CD61" s="59">
        <f ca="1">AVERAGE(OFFSET($CC$3,0,0,'Données projet'!$E$12+1,1))-AVERAGE(OFFSET($H$3,0,0,'Données projet'!$E$12+1,1))</f>
        <v>372.05986520199804</v>
      </c>
      <c r="CE61" s="59">
        <f t="shared" si="40"/>
        <v>184.37981929432044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253.7</v>
      </c>
      <c r="CR61" s="12">
        <f>VLOOKUP(A61,'Données projet'!$A$139:$I$159,9,0)</f>
        <v>10.36375</v>
      </c>
      <c r="CS61" s="12">
        <f t="array" ref="CS61">INDEX(CR:CR,MIN(IF(ISNUMBER(CR61:CR257),ROW(CR61:CR257),"")))</f>
        <v>10.36375</v>
      </c>
      <c r="CT61" s="12">
        <f>IF('Données projet'!$A$140&gt;35,CT60+CS61-DB60,IF(A61&lt;'Données projet'!$A$140,$CQ$205^A61,IF(A61='Données projet'!$A$140,'Données projet'!$B$140,CT60+CS61-DB60)))</f>
        <v>253.70000000000027</v>
      </c>
      <c r="CU61" s="17">
        <f>CT61*VLOOKUP('Données projet'!$B$13,Paramètres!$A$1:$I$89,3,0)*VLOOKUP('Données projet'!$B$13,Paramètres!$A$1:$I$89,5,0)</f>
        <v>229.54776000000027</v>
      </c>
      <c r="CV61" s="13">
        <f t="shared" si="41"/>
        <v>56.184885471425758</v>
      </c>
      <c r="CW61" s="20">
        <f t="shared" si="13"/>
        <v>497.651024196067</v>
      </c>
      <c r="CX61" s="59">
        <f t="shared" si="14"/>
        <v>790.98435752940031</v>
      </c>
      <c r="CY61" s="59">
        <f ca="1">AVERAGE(OFFSET($CX$3,0,0,'Données projet'!$E$13+1,1))-AVERAGE(OFFSET($H$3,0,0,'Données projet'!$E$13+1,1))</f>
        <v>479.84731392413374</v>
      </c>
      <c r="CZ61" s="59">
        <f t="shared" si="42"/>
        <v>203.57601099841213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47.789999999999992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0.34400000000000003</v>
      </c>
      <c r="DE61" s="16">
        <f>IF(ISNA(VLOOKUP(A61,'Données projet'!$A$139:$I$159,7,0)),0%,VLOOKUP(A61,'Données projet'!$A$139:$I$159,7,0))</f>
        <v>0.2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36.474357978367649</v>
      </c>
      <c r="DH61" s="21">
        <f>EXP(-LN(2)/2)*DH60+(1-EXP(-LN(2)/2))/(LN(2)/2)*DB61*DE61*VLOOKUP('Données projet'!$B$13,Paramètres!$A$1:$I$89,3,0)*0.475*44/12</f>
        <v>8.589981127461952</v>
      </c>
      <c r="DI61" s="22">
        <f t="shared" si="15"/>
        <v>45.064339105829603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1.1368683772161603E-13</v>
      </c>
      <c r="O62" s="13">
        <f>N62*VLOOKUP('Données projet'!$B$9,Paramètres!$A$1:$I$89,3,0)*VLOOKUP('Données projet'!$B$9,Paramètres!$A$1:$I$89,5,0)</f>
        <v>6.7984728957526396E-14</v>
      </c>
      <c r="P62" s="13">
        <f t="shared" si="33"/>
        <v>1.0682447123141398E-12</v>
      </c>
      <c r="Q62" s="20">
        <f t="shared" si="53"/>
        <v>1.978932943548152E-12</v>
      </c>
      <c r="R62" s="59">
        <f t="shared" si="0"/>
        <v>293.3333333333353</v>
      </c>
      <c r="S62" s="59">
        <f ca="1">AVERAGE(OFFSET($R$3,0,0,'Données projet'!$E$9+1,1))-AVERAGE(OFFSET($H$3,0,0,'Données projet'!$E$9+1,1))</f>
        <v>322.7909000321435</v>
      </c>
      <c r="T62" s="59">
        <f t="shared" si="34"/>
        <v>403.23516981532316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167.75222298741005</v>
      </c>
      <c r="AA62" s="21">
        <f>EXP(-LN(2)/25)*AA61+(1-EXP(-LN(2)/25))/(LN(2)/25)*Calculateur!V62*Calculateur!X62*VLOOKUP('Données projet'!$B$9,Paramètres!$A$1:$I$89,3,0)*0.475*44/12</f>
        <v>56.747044608757307</v>
      </c>
      <c r="AB62" s="21">
        <f>EXP(-LN(2)/2)*AB61+(1-EXP(-LN(2)/2))/(LN(2)/2)*V62*Y62*VLOOKUP('Données projet'!$B$9,Paramètres!$A$1:$I$89,3,0)*0.475*44/12</f>
        <v>27.331201629943628</v>
      </c>
      <c r="AC62" s="22">
        <f t="shared" si="3"/>
        <v>251.83046922611098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12.346666666666669</v>
      </c>
      <c r="AI62" s="13">
        <f>IF('Données projet'!$A$62&gt;35,AI61+AH62-AQ61,IF(A62&lt;'Données projet'!$A$62,$AF$205^A62,IF(A62='Données projet'!$A$62,'Données projet'!$B$62,AI61+AH62-AQ61)))</f>
        <v>325.7833333333333</v>
      </c>
      <c r="AJ62" s="13">
        <f>AI62*VLOOKUP('Données projet'!$B$10,Paramètres!$A$1:$I$89,3,0)*VLOOKUP('Données projet'!$B$10,Paramètres!$A$1:$I$89,5,0)</f>
        <v>152.46659999999997</v>
      </c>
      <c r="AK62" s="13">
        <f t="shared" si="35"/>
        <v>39.138596113258984</v>
      </c>
      <c r="AL62" s="20">
        <f t="shared" si="4"/>
        <v>333.71238323059265</v>
      </c>
      <c r="AM62" s="59">
        <f t="shared" si="5"/>
        <v>627.04571656392591</v>
      </c>
      <c r="AN62" s="59">
        <f ca="1">AVERAGE(OFFSET($AM$3,0,0,'Données projet'!$E$10+1,1))-AVERAGE(OFFSET($H$3,0,0,'Données projet'!$E$10+1,1))</f>
        <v>187.82209112143374</v>
      </c>
      <c r="AO62" s="59">
        <f t="shared" si="36"/>
        <v>158.99136654880203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7.4007930484981816</v>
      </c>
      <c r="AV62" s="21">
        <f>EXP(-LN(2)/25)*AV61+(1-EXP(-LN(2)/25))/(LN(2)/25)*Calculateur!AQ62*Calculateur!AS62*VLOOKUP('Données projet'!$B$10,Paramètres!$A$1:$I$89,3,0)*0.475*44/12</f>
        <v>10.240092384861111</v>
      </c>
      <c r="AW62" s="21">
        <f>EXP(-LN(2)/2)*AW61+(1-EXP(-LN(2)/2))/(LN(2)/2)*AQ62*AT62*VLOOKUP('Données projet'!$B$10,Paramètres!$A$1:$I$89,3,0)*0.475*44/12</f>
        <v>1.2783601226401382</v>
      </c>
      <c r="AX62" s="21">
        <f t="shared" si="6"/>
        <v>18.919245555999431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3.2051282051282071</v>
      </c>
      <c r="BD62" s="12">
        <f>IF('Données projet'!$A$88&gt;35,BD61+BC62-BL61,IF(A62&lt;'Données projet'!$A$88,$BA$205^A62,IF(A62='Données projet'!$A$88,'Données projet'!$B$88,BD61+BC62-BL61)))</f>
        <v>117.94871794871788</v>
      </c>
      <c r="BE62" s="13">
        <f>BD62*VLOOKUP('Données projet'!$B$11,Paramètres!$A$1:$I$89,3,0)*VLOOKUP('Données projet'!$B$11,Paramètres!$A$1:$I$89,5,0)</f>
        <v>123.27999999999996</v>
      </c>
      <c r="BF62" s="13">
        <f t="shared" si="37"/>
        <v>32.438800661224256</v>
      </c>
      <c r="BG62" s="20">
        <f t="shared" si="7"/>
        <v>271.21024448496547</v>
      </c>
      <c r="BH62" s="59">
        <f t="shared" si="8"/>
        <v>564.54357781829879</v>
      </c>
      <c r="BI62" s="59">
        <f ca="1">AVERAGE(OFFSET($BH$3,0,0,'Données projet'!$E$11+1,1))-AVERAGE(OFFSET($H$3,0,0,'Données projet'!$E$11+1,1))</f>
        <v>140.32771978791288</v>
      </c>
      <c r="BJ62" s="59">
        <f t="shared" si="38"/>
        <v>135.76866977947634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14.339980002006453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14.339980002006453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3.3603333333333336</v>
      </c>
      <c r="BY62" s="12">
        <f>IF('Données projet'!$A$114&gt;35,BY61+BX62-CG61,IF(A62&lt;'Données projet'!$A$114,$BV$205^A62,IF(A62='Données projet'!$A$114,'Données projet'!$B$114,BY61+BX62-CG61)))</f>
        <v>198.25966666666656</v>
      </c>
      <c r="BZ62" s="13">
        <f>BY62*VLOOKUP('Données projet'!$B$12,Paramètres!$A$1:$I$89,3,0)*VLOOKUP('Données projet'!$B$12,Paramètres!$A$1:$I$89,5,0)</f>
        <v>201.03530199999992</v>
      </c>
      <c r="CA62" s="13">
        <f t="shared" si="39"/>
        <v>49.971627353166163</v>
      </c>
      <c r="CB62" s="20">
        <f t="shared" si="10"/>
        <v>437.17040195676424</v>
      </c>
      <c r="CC62" s="59">
        <f t="shared" si="11"/>
        <v>730.50373529009755</v>
      </c>
      <c r="CD62" s="59">
        <f ca="1">AVERAGE(OFFSET($CC$3,0,0,'Données projet'!$E$12+1,1))-AVERAGE(OFFSET($H$3,0,0,'Données projet'!$E$12+1,1))</f>
        <v>372.05986520199804</v>
      </c>
      <c r="CE62" s="59">
        <f t="shared" si="40"/>
        <v>184.37981929432044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10.107499999999998</v>
      </c>
      <c r="CT62" s="12">
        <f>IF('Données projet'!$A$140&gt;35,CT61+CS62-DB61,IF(A62&lt;'Données projet'!$A$140,$CQ$205^A62,IF(A62='Données projet'!$A$140,'Données projet'!$B$140,CT61+CS62-DB61)))</f>
        <v>216.0175000000003</v>
      </c>
      <c r="CU62" s="17">
        <f>CT62*VLOOKUP('Données projet'!$B$13,Paramètres!$A$1:$I$89,3,0)*VLOOKUP('Données projet'!$B$13,Paramètres!$A$1:$I$89,5,0)</f>
        <v>195.45263400000027</v>
      </c>
      <c r="CV62" s="13">
        <f t="shared" si="41"/>
        <v>48.743460533300031</v>
      </c>
      <c r="CW62" s="20">
        <f t="shared" si="13"/>
        <v>425.3081979788314</v>
      </c>
      <c r="CX62" s="59">
        <f t="shared" si="14"/>
        <v>718.64153131216472</v>
      </c>
      <c r="CY62" s="59">
        <f ca="1">AVERAGE(OFFSET($CX$3,0,0,'Données projet'!$E$13+1,1))-AVERAGE(OFFSET($H$3,0,0,'Données projet'!$E$13+1,1))</f>
        <v>479.84731392413374</v>
      </c>
      <c r="CZ62" s="59">
        <f t="shared" si="42"/>
        <v>203.57601099841213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35.476964741346066</v>
      </c>
      <c r="DH62" s="21">
        <f>EXP(-LN(2)/2)*DH61+(1-EXP(-LN(2)/2))/(LN(2)/2)*DB62*DE62*VLOOKUP('Données projet'!$B$13,Paramètres!$A$1:$I$89,3,0)*0.475*44/12</f>
        <v>6.0740339054928114</v>
      </c>
      <c r="DI62" s="22">
        <f t="shared" si="15"/>
        <v>41.550998646838877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1.1368683772161603E-13</v>
      </c>
      <c r="O63" s="13">
        <f>N63*VLOOKUP('Données projet'!$B$9,Paramètres!$A$1:$I$89,3,0)*VLOOKUP('Données projet'!$B$9,Paramètres!$A$1:$I$89,5,0)</f>
        <v>6.7984728957526396E-14</v>
      </c>
      <c r="P63" s="13">
        <f t="shared" si="33"/>
        <v>1.0682447123141398E-12</v>
      </c>
      <c r="Q63" s="20">
        <f t="shared" si="53"/>
        <v>1.978932943548152E-12</v>
      </c>
      <c r="R63" s="59">
        <f t="shared" si="0"/>
        <v>293.3333333333353</v>
      </c>
      <c r="S63" s="59">
        <f ca="1">AVERAGE(OFFSET($R$3,0,0,'Données projet'!$E$9+1,1))-AVERAGE(OFFSET($H$3,0,0,'Données projet'!$E$9+1,1))</f>
        <v>322.7909000321435</v>
      </c>
      <c r="T63" s="59">
        <f t="shared" si="34"/>
        <v>403.23516981532316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164.46270421337982</v>
      </c>
      <c r="AA63" s="21">
        <f>EXP(-LN(2)/25)*AA62+(1-EXP(-LN(2)/25))/(LN(2)/25)*Calculateur!V63*Calculateur!X63*VLOOKUP('Données projet'!$B$9,Paramètres!$A$1:$I$89,3,0)*0.475*44/12</f>
        <v>55.195293689733461</v>
      </c>
      <c r="AB63" s="21">
        <f>EXP(-LN(2)/2)*AB62+(1-EXP(-LN(2)/2))/(LN(2)/2)*V63*Y63*VLOOKUP('Données projet'!$B$9,Paramètres!$A$1:$I$89,3,0)*0.475*44/12</f>
        <v>19.32607801050996</v>
      </c>
      <c r="AC63" s="22">
        <f t="shared" si="3"/>
        <v>238.98407591362326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12.346666666666669</v>
      </c>
      <c r="AI63" s="13">
        <f>IF('Données projet'!$A$62&gt;35,AI62+AH63-AQ62,IF(A63&lt;'Données projet'!$A$62,$AF$205^A63,IF(A63='Données projet'!$A$62,'Données projet'!$B$62,AI62+AH63-AQ62)))</f>
        <v>338.13</v>
      </c>
      <c r="AJ63" s="13">
        <f>AI63*VLOOKUP('Données projet'!$B$10,Paramètres!$A$1:$I$89,3,0)*VLOOKUP('Données projet'!$B$10,Paramètres!$A$1:$I$89,5,0)</f>
        <v>158.24484000000001</v>
      </c>
      <c r="AK63" s="13">
        <f t="shared" si="35"/>
        <v>40.446380385466902</v>
      </c>
      <c r="AL63" s="20">
        <f t="shared" si="4"/>
        <v>346.05387550468822</v>
      </c>
      <c r="AM63" s="59">
        <f t="shared" si="5"/>
        <v>639.38720883802148</v>
      </c>
      <c r="AN63" s="59">
        <f ca="1">AVERAGE(OFFSET($AM$3,0,0,'Données projet'!$E$10+1,1))-AVERAGE(OFFSET($H$3,0,0,'Données projet'!$E$10+1,1))</f>
        <v>187.82209112143374</v>
      </c>
      <c r="AO63" s="59">
        <f t="shared" si="36"/>
        <v>158.99136654880203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7.2556680108551674</v>
      </c>
      <c r="AV63" s="21">
        <f>EXP(-LN(2)/25)*AV62+(1-EXP(-LN(2)/25))/(LN(2)/25)*Calculateur!AQ63*Calculateur!AS63*VLOOKUP('Données projet'!$B$10,Paramètres!$A$1:$I$89,3,0)*0.475*44/12</f>
        <v>9.9600765200940291</v>
      </c>
      <c r="AW63" s="21">
        <f>EXP(-LN(2)/2)*AW62+(1-EXP(-LN(2)/2))/(LN(2)/2)*AQ63*AT63*VLOOKUP('Données projet'!$B$10,Paramètres!$A$1:$I$89,3,0)*0.475*44/12</f>
        <v>0.90393711151730838</v>
      </c>
      <c r="AX63" s="21">
        <f t="shared" si="6"/>
        <v>18.119681642466503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121.15384615384616</v>
      </c>
      <c r="BB63" s="12">
        <f>VLOOKUP(A63,'Données projet'!$A$87:$I$107,9,0)</f>
        <v>3.2051282051282071</v>
      </c>
      <c r="BC63" s="12">
        <f t="array" ref="BC63">INDEX(BB:BB,MIN(IF(ISNUMBER(BB63:BB259),ROW(BB63:BB259),"")))</f>
        <v>3.2051282051282071</v>
      </c>
      <c r="BD63" s="12">
        <f>IF('Données projet'!$A$88&gt;35,BD62+BC63-BL62,IF(A63&lt;'Données projet'!$A$88,$BA$205^A63,IF(A63='Données projet'!$A$88,'Données projet'!$B$88,BD62+BC63-BL62)))</f>
        <v>121.15384615384609</v>
      </c>
      <c r="BE63" s="13">
        <f>BD63*VLOOKUP('Données projet'!$B$11,Paramètres!$A$1:$I$89,3,0)*VLOOKUP('Données projet'!$B$11,Paramètres!$A$1:$I$89,5,0)</f>
        <v>126.62999999999995</v>
      </c>
      <c r="BF63" s="13">
        <f t="shared" si="37"/>
        <v>33.216464931527199</v>
      </c>
      <c r="BG63" s="20">
        <f t="shared" si="7"/>
        <v>278.39925975574312</v>
      </c>
      <c r="BH63" s="59">
        <f t="shared" si="8"/>
        <v>571.73259308907643</v>
      </c>
      <c r="BI63" s="59">
        <f ca="1">AVERAGE(OFFSET($BH$3,0,0,'Données projet'!$E$11+1,1))-AVERAGE(OFFSET($H$3,0,0,'Données projet'!$E$11+1,1))</f>
        <v>140.32771978791288</v>
      </c>
      <c r="BJ63" s="59">
        <f t="shared" si="38"/>
        <v>135.76866977947634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10.256410256410255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0.215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16.485708619100112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16.485708619100112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201.62</v>
      </c>
      <c r="BW63" s="12">
        <f>VLOOKUP(A63,'Données projet'!$A$113:$I$133,9,0)</f>
        <v>3.3603333333333336</v>
      </c>
      <c r="BX63" s="12">
        <f t="array" ref="BX63">INDEX(BW:BW,MIN(IF(ISNUMBER(BW63:BW259),ROW(BW63:BW259),"")))</f>
        <v>3.3603333333333336</v>
      </c>
      <c r="BY63" s="12">
        <f>IF('Données projet'!$A$114&gt;35,BY62+BX63-CG62,IF(A63&lt;'Données projet'!$A$114,$BV$205^A63,IF(A63='Données projet'!$A$114,'Données projet'!$B$114,BY62+BX63-CG62)))</f>
        <v>201.61999999999989</v>
      </c>
      <c r="BZ63" s="13">
        <f>BY63*VLOOKUP('Données projet'!$B$12,Paramètres!$A$1:$I$89,3,0)*VLOOKUP('Données projet'!$B$12,Paramètres!$A$1:$I$89,5,0)</f>
        <v>204.44267999999991</v>
      </c>
      <c r="CA63" s="13">
        <f t="shared" si="39"/>
        <v>50.719282370054088</v>
      </c>
      <c r="CB63" s="20">
        <f t="shared" si="10"/>
        <v>444.40708446117736</v>
      </c>
      <c r="CC63" s="59">
        <f t="shared" si="11"/>
        <v>737.74041779451068</v>
      </c>
      <c r="CD63" s="59">
        <f ca="1">AVERAGE(OFFSET($CC$3,0,0,'Données projet'!$E$12+1,1))-AVERAGE(OFFSET($H$3,0,0,'Données projet'!$E$12+1,1))</f>
        <v>372.05986520199804</v>
      </c>
      <c r="CE63" s="59">
        <f t="shared" si="40"/>
        <v>184.37981929432044</v>
      </c>
      <c r="CF63" s="15">
        <f>IF(ISNA(VLOOKUP(A63,'Données projet'!$A$113:$I$133,3,0)),0,VLOOKUP(A63,'Données projet'!$A$113:$I$133,3,0))</f>
        <v>1</v>
      </c>
      <c r="CG63" s="15">
        <f>IF(ISNA(VLOOKUP(A63,'Données projet'!$A$113:$I$133,4,0)),0,VLOOKUP(A63,'Données projet'!$A$113:$I$133,4,0))</f>
        <v>72.87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0.34400000000000003</v>
      </c>
      <c r="CJ63" s="16">
        <f>IF(ISNA(VLOOKUP(A63,'Données projet'!$A$113:$I$133,7,0)),0%,VLOOKUP(A63,'Données projet'!$A$113:$I$133,7,0))</f>
        <v>0.2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27.988454603390398</v>
      </c>
      <c r="CM63" s="21">
        <f>EXP(-LN(2)/2)*CM62+(1-EXP(-LN(2)/2))/(LN(2)/2)*CG63*CJ63*VLOOKUP('Données projet'!$B$12,Paramètres!$A$1:$I$89,3,0)*0.475*44/12</f>
        <v>13.943474711007354</v>
      </c>
      <c r="CN63" s="22">
        <f t="shared" si="12"/>
        <v>41.931929314397749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10.107499999999998</v>
      </c>
      <c r="CT63" s="12">
        <f>IF('Données projet'!$A$140&gt;35,CT62+CS63-DB62,IF(A63&lt;'Données projet'!$A$140,$CQ$205^A63,IF(A63='Données projet'!$A$140,'Données projet'!$B$140,CT62+CS63-DB62)))</f>
        <v>226.12500000000028</v>
      </c>
      <c r="CU63" s="17">
        <f>CT63*VLOOKUP('Données projet'!$B$13,Paramètres!$A$1:$I$89,3,0)*VLOOKUP('Données projet'!$B$13,Paramètres!$A$1:$I$89,5,0)</f>
        <v>204.59790000000024</v>
      </c>
      <c r="CV63" s="13">
        <f t="shared" si="41"/>
        <v>50.753306398717811</v>
      </c>
      <c r="CW63" s="20">
        <f t="shared" si="13"/>
        <v>444.73668447776726</v>
      </c>
      <c r="CX63" s="59">
        <f t="shared" si="14"/>
        <v>738.07001781110057</v>
      </c>
      <c r="CY63" s="59">
        <f ca="1">AVERAGE(OFFSET($CX$3,0,0,'Données projet'!$E$13+1,1))-AVERAGE(OFFSET($H$3,0,0,'Données projet'!$E$13+1,1))</f>
        <v>479.84731392413374</v>
      </c>
      <c r="CZ63" s="59">
        <f t="shared" si="42"/>
        <v>203.57601099841213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34.506845274841467</v>
      </c>
      <c r="DH63" s="21">
        <f>EXP(-LN(2)/2)*DH62+(1-EXP(-LN(2)/2))/(LN(2)/2)*DB63*DE63*VLOOKUP('Données projet'!$B$13,Paramètres!$A$1:$I$89,3,0)*0.475*44/12</f>
        <v>4.294990563730976</v>
      </c>
      <c r="DI63" s="22">
        <f t="shared" si="15"/>
        <v>38.801835838572444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1.1368683772161603E-13</v>
      </c>
      <c r="O64" s="13">
        <f>N64*VLOOKUP('Données projet'!$B$9,Paramètres!$A$1:$I$89,3,0)*VLOOKUP('Données projet'!$B$9,Paramètres!$A$1:$I$89,5,0)</f>
        <v>6.7984728957526396E-14</v>
      </c>
      <c r="P64" s="13">
        <f t="shared" si="33"/>
        <v>1.0682447123141398E-12</v>
      </c>
      <c r="Q64" s="20">
        <f t="shared" si="53"/>
        <v>1.978932943548152E-12</v>
      </c>
      <c r="R64" s="59">
        <f t="shared" si="0"/>
        <v>293.3333333333353</v>
      </c>
      <c r="S64" s="59">
        <f ca="1">AVERAGE(OFFSET($R$3,0,0,'Données projet'!$E$9+1,1))-AVERAGE(OFFSET($H$3,0,0,'Données projet'!$E$9+1,1))</f>
        <v>322.7909000321435</v>
      </c>
      <c r="T64" s="59">
        <f t="shared" si="34"/>
        <v>403.23516981532316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161.23769089609999</v>
      </c>
      <c r="AA64" s="21">
        <f>EXP(-LN(2)/25)*AA63+(1-EXP(-LN(2)/25))/(LN(2)/25)*Calculateur!V64*Calculateur!X64*VLOOKUP('Données projet'!$B$9,Paramètres!$A$1:$I$89,3,0)*0.475*44/12</f>
        <v>53.685975481193353</v>
      </c>
      <c r="AB64" s="21">
        <f>EXP(-LN(2)/2)*AB63+(1-EXP(-LN(2)/2))/(LN(2)/2)*V64*Y64*VLOOKUP('Données projet'!$B$9,Paramètres!$A$1:$I$89,3,0)*0.475*44/12</f>
        <v>13.665600814971814</v>
      </c>
      <c r="AC64" s="22">
        <f t="shared" si="3"/>
        <v>228.58926719226514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12.346666666666669</v>
      </c>
      <c r="AI64" s="13">
        <f>IF('Données projet'!$A$62&gt;35,AI63+AH64-AQ63,IF(A64&lt;'Données projet'!$A$62,$AF$205^A64,IF(A64='Données projet'!$A$62,'Données projet'!$B$62,AI63+AH64-AQ63)))</f>
        <v>350.47666666666669</v>
      </c>
      <c r="AJ64" s="13">
        <f>AI64*VLOOKUP('Données projet'!$B$10,Paramètres!$A$1:$I$89,3,0)*VLOOKUP('Données projet'!$B$10,Paramètres!$A$1:$I$89,5,0)</f>
        <v>164.02307999999999</v>
      </c>
      <c r="AK64" s="13">
        <f t="shared" si="35"/>
        <v>41.748616683259272</v>
      </c>
      <c r="AL64" s="20">
        <f t="shared" si="4"/>
        <v>358.3857050566765</v>
      </c>
      <c r="AM64" s="59">
        <f t="shared" si="5"/>
        <v>651.71903839000981</v>
      </c>
      <c r="AN64" s="59">
        <f ca="1">AVERAGE(OFFSET($AM$3,0,0,'Données projet'!$E$10+1,1))-AVERAGE(OFFSET($H$3,0,0,'Données projet'!$E$10+1,1))</f>
        <v>187.82209112143374</v>
      </c>
      <c r="AO64" s="59">
        <f t="shared" si="36"/>
        <v>158.99136654880203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7.1133887866828003</v>
      </c>
      <c r="AV64" s="21">
        <f>EXP(-LN(2)/25)*AV63+(1-EXP(-LN(2)/25))/(LN(2)/25)*Calculateur!AQ64*Calculateur!AS64*VLOOKUP('Données projet'!$B$10,Paramètres!$A$1:$I$89,3,0)*0.475*44/12</f>
        <v>9.687717703874398</v>
      </c>
      <c r="AW64" s="21">
        <f>EXP(-LN(2)/2)*AW63+(1-EXP(-LN(2)/2))/(LN(2)/2)*AQ64*AT64*VLOOKUP('Données projet'!$B$10,Paramètres!$A$1:$I$89,3,0)*0.475*44/12</f>
        <v>0.63918006132006921</v>
      </c>
      <c r="AX64" s="21">
        <f t="shared" si="6"/>
        <v>17.440286551877268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2.8205128205128176</v>
      </c>
      <c r="BD64" s="12">
        <f>IF('Données projet'!$A$88&gt;35,BD63+BC64-BL63,IF(A64&lt;'Données projet'!$A$88,$BA$205^A64,IF(A64='Données projet'!$A$88,'Données projet'!$B$88,BD63+BC64-BL63)))</f>
        <v>113.71794871794864</v>
      </c>
      <c r="BE64" s="13">
        <f>BD64*VLOOKUP('Données projet'!$B$11,Paramètres!$A$1:$I$89,3,0)*VLOOKUP('Données projet'!$B$11,Paramètres!$A$1:$I$89,5,0)</f>
        <v>118.85799999999992</v>
      </c>
      <c r="BF64" s="13">
        <f t="shared" si="37"/>
        <v>31.408498497995616</v>
      </c>
      <c r="BG64" s="20">
        <f t="shared" si="7"/>
        <v>261.71415155067552</v>
      </c>
      <c r="BH64" s="59">
        <f t="shared" si="8"/>
        <v>555.04748488400878</v>
      </c>
      <c r="BI64" s="59">
        <f ca="1">AVERAGE(OFFSET($BH$3,0,0,'Données projet'!$E$11+1,1))-AVERAGE(OFFSET($H$3,0,0,'Données projet'!$E$11+1,1))</f>
        <v>140.32771978791288</v>
      </c>
      <c r="BJ64" s="59">
        <f t="shared" si="38"/>
        <v>135.76866977947634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16.03490604996508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16.03490604996508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6.8933333333333326</v>
      </c>
      <c r="BY64" s="12">
        <f>IF('Données projet'!$A$114&gt;35,BY63+BX64-CG63,IF(A64&lt;'Données projet'!$A$114,$BV$205^A64,IF(A64='Données projet'!$A$114,'Données projet'!$B$114,BY63+BX64-CG63)))</f>
        <v>135.64333333333323</v>
      </c>
      <c r="BZ64" s="13">
        <f>BY64*VLOOKUP('Données projet'!$B$12,Paramètres!$A$1:$I$89,3,0)*VLOOKUP('Données projet'!$B$12,Paramètres!$A$1:$I$89,5,0)</f>
        <v>137.54233999999991</v>
      </c>
      <c r="CA64" s="13">
        <f t="shared" si="39"/>
        <v>35.733411083522441</v>
      </c>
      <c r="CB64" s="20">
        <f t="shared" si="10"/>
        <v>301.78859980380139</v>
      </c>
      <c r="CC64" s="59">
        <f t="shared" si="11"/>
        <v>595.12193313713465</v>
      </c>
      <c r="CD64" s="59">
        <f ca="1">AVERAGE(OFFSET($CC$3,0,0,'Données projet'!$E$12+1,1))-AVERAGE(OFFSET($H$3,0,0,'Données projet'!$E$12+1,1))</f>
        <v>372.05986520199804</v>
      </c>
      <c r="CE64" s="59">
        <f t="shared" si="40"/>
        <v>184.37981929432044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27.223108840411829</v>
      </c>
      <c r="CM64" s="21">
        <f>EXP(-LN(2)/2)*CM63+(1-EXP(-LN(2)/2))/(LN(2)/2)*CG64*CJ64*VLOOKUP('Données projet'!$B$12,Paramètres!$A$1:$I$89,3,0)*0.475*44/12</f>
        <v>9.8595255214564368</v>
      </c>
      <c r="CN64" s="22">
        <f t="shared" si="12"/>
        <v>37.082634361868266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10.107499999999998</v>
      </c>
      <c r="CT64" s="12">
        <f>IF('Données projet'!$A$140&gt;35,CT63+CS64-DB63,IF(A64&lt;'Données projet'!$A$140,$CQ$205^A64,IF(A64='Données projet'!$A$140,'Données projet'!$B$140,CT63+CS64-DB63)))</f>
        <v>236.23250000000027</v>
      </c>
      <c r="CU64" s="17">
        <f>CT64*VLOOKUP('Données projet'!$B$13,Paramètres!$A$1:$I$89,3,0)*VLOOKUP('Données projet'!$B$13,Paramètres!$A$1:$I$89,5,0)</f>
        <v>213.74316600000023</v>
      </c>
      <c r="CV64" s="13">
        <f t="shared" si="41"/>
        <v>52.752718660626023</v>
      </c>
      <c r="CW64" s="20">
        <f t="shared" si="13"/>
        <v>464.14699911725734</v>
      </c>
      <c r="CX64" s="59">
        <f t="shared" si="14"/>
        <v>757.48033245059059</v>
      </c>
      <c r="CY64" s="59">
        <f ca="1">AVERAGE(OFFSET($CX$3,0,0,'Données projet'!$E$13+1,1))-AVERAGE(OFFSET($H$3,0,0,'Données projet'!$E$13+1,1))</f>
        <v>479.84731392413374</v>
      </c>
      <c r="CZ64" s="59">
        <f t="shared" si="42"/>
        <v>203.57601099841213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33.5632537761648</v>
      </c>
      <c r="DH64" s="21">
        <f>EXP(-LN(2)/2)*DH63+(1-EXP(-LN(2)/2))/(LN(2)/2)*DB64*DE64*VLOOKUP('Données projet'!$B$13,Paramètres!$A$1:$I$89,3,0)*0.475*44/12</f>
        <v>3.0370169527464057</v>
      </c>
      <c r="DI64" s="22">
        <f t="shared" si="15"/>
        <v>36.600270728911205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1.1368683772161603E-13</v>
      </c>
      <c r="O65" s="13">
        <f>N65*VLOOKUP('Données projet'!$B$9,Paramètres!$A$1:$I$89,3,0)*VLOOKUP('Données projet'!$B$9,Paramètres!$A$1:$I$89,5,0)</f>
        <v>6.7984728957526396E-14</v>
      </c>
      <c r="P65" s="13">
        <f t="shared" si="33"/>
        <v>1.0682447123141398E-12</v>
      </c>
      <c r="Q65" s="20">
        <f t="shared" si="53"/>
        <v>1.978932943548152E-12</v>
      </c>
      <c r="R65" s="59">
        <f t="shared" si="0"/>
        <v>293.3333333333353</v>
      </c>
      <c r="S65" s="59">
        <f ca="1">AVERAGE(OFFSET($R$3,0,0,'Données projet'!$E$9+1,1))-AVERAGE(OFFSET($H$3,0,0,'Données projet'!$E$9+1,1))</f>
        <v>322.7909000321435</v>
      </c>
      <c r="T65" s="59">
        <f t="shared" si="34"/>
        <v>403.23516981532316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158.07591812290812</v>
      </c>
      <c r="AA65" s="21">
        <f>EXP(-LN(2)/25)*AA64+(1-EXP(-LN(2)/25))/(LN(2)/25)*Calculateur!V65*Calculateur!X65*VLOOKUP('Données projet'!$B$9,Paramètres!$A$1:$I$89,3,0)*0.475*44/12</f>
        <v>52.21792965843737</v>
      </c>
      <c r="AB65" s="21">
        <f>EXP(-LN(2)/2)*AB64+(1-EXP(-LN(2)/2))/(LN(2)/2)*V65*Y65*VLOOKUP('Données projet'!$B$9,Paramètres!$A$1:$I$89,3,0)*0.475*44/12</f>
        <v>9.6630390052549799</v>
      </c>
      <c r="AC65" s="22">
        <f t="shared" si="3"/>
        <v>219.95688678660048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12.346666666666669</v>
      </c>
      <c r="AI65" s="13">
        <f>IF('Données projet'!$A$62&gt;35,AI64+AH65-AQ64,IF(A65&lt;'Données projet'!$A$62,$AF$205^A65,IF(A65='Données projet'!$A$62,'Données projet'!$B$62,AI64+AH65-AQ64)))</f>
        <v>362.82333333333338</v>
      </c>
      <c r="AJ65" s="13">
        <f>AI65*VLOOKUP('Données projet'!$B$10,Paramètres!$A$1:$I$89,3,0)*VLOOKUP('Données projet'!$B$10,Paramètres!$A$1:$I$89,5,0)</f>
        <v>169.80132</v>
      </c>
      <c r="AK65" s="13">
        <f t="shared" si="35"/>
        <v>43.045522846538063</v>
      </c>
      <c r="AL65" s="20">
        <f t="shared" si="4"/>
        <v>370.70825129105378</v>
      </c>
      <c r="AM65" s="59">
        <f t="shared" si="5"/>
        <v>664.04158462438704</v>
      </c>
      <c r="AN65" s="59">
        <f ca="1">AVERAGE(OFFSET($AM$3,0,0,'Données projet'!$E$10+1,1))-AVERAGE(OFFSET($H$3,0,0,'Données projet'!$E$10+1,1))</f>
        <v>187.82209112143374</v>
      </c>
      <c r="AO65" s="59">
        <f t="shared" si="36"/>
        <v>158.99136654880203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6.9738995713146954</v>
      </c>
      <c r="AV65" s="21">
        <f>EXP(-LN(2)/25)*AV64+(1-EXP(-LN(2)/25))/(LN(2)/25)*Calculateur!AQ65*Calculateur!AS65*VLOOKUP('Données projet'!$B$10,Paramètres!$A$1:$I$89,3,0)*0.475*44/12</f>
        <v>9.4228065538070194</v>
      </c>
      <c r="AW65" s="21">
        <f>EXP(-LN(2)/2)*AW64+(1-EXP(-LN(2)/2))/(LN(2)/2)*AQ65*AT65*VLOOKUP('Données projet'!$B$10,Paramètres!$A$1:$I$89,3,0)*0.475*44/12</f>
        <v>0.45196855575865424</v>
      </c>
      <c r="AX65" s="21">
        <f t="shared" si="6"/>
        <v>16.848674680880368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2.8205128205128176</v>
      </c>
      <c r="BD65" s="12">
        <f>IF('Données projet'!$A$88&gt;35,BD64+BC65-BL64,IF(A65&lt;'Données projet'!$A$88,$BA$205^A65,IF(A65='Données projet'!$A$88,'Données projet'!$B$88,BD64+BC65-BL64)))</f>
        <v>116.53846153846146</v>
      </c>
      <c r="BE65" s="13">
        <f>BD65*VLOOKUP('Données projet'!$B$11,Paramètres!$A$1:$I$89,3,0)*VLOOKUP('Données projet'!$B$11,Paramètres!$A$1:$I$89,5,0)</f>
        <v>121.80599999999993</v>
      </c>
      <c r="BF65" s="13">
        <f t="shared" si="37"/>
        <v>32.09585223561038</v>
      </c>
      <c r="BG65" s="20">
        <f t="shared" si="7"/>
        <v>268.04572597702128</v>
      </c>
      <c r="BH65" s="59">
        <f t="shared" si="8"/>
        <v>561.37905931035459</v>
      </c>
      <c r="BI65" s="59">
        <f ca="1">AVERAGE(OFFSET($BH$3,0,0,'Données projet'!$E$11+1,1))-AVERAGE(OFFSET($H$3,0,0,'Données projet'!$E$11+1,1))</f>
        <v>140.32771978791288</v>
      </c>
      <c r="BJ65" s="59">
        <f t="shared" si="38"/>
        <v>135.76866977947634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15.596430700789725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15.596430700789725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6.8933333333333326</v>
      </c>
      <c r="BY65" s="12">
        <f>IF('Données projet'!$A$114&gt;35,BY64+BX65-CG64,IF(A65&lt;'Données projet'!$A$114,$BV$205^A65,IF(A65='Données projet'!$A$114,'Données projet'!$B$114,BY64+BX65-CG64)))</f>
        <v>142.53666666666658</v>
      </c>
      <c r="BZ65" s="13">
        <f>BY65*VLOOKUP('Données projet'!$B$12,Paramètres!$A$1:$I$89,3,0)*VLOOKUP('Données projet'!$B$12,Paramètres!$A$1:$I$89,5,0)</f>
        <v>144.5321799999999</v>
      </c>
      <c r="CA65" s="13">
        <f t="shared" si="39"/>
        <v>37.333331285279648</v>
      </c>
      <c r="CB65" s="20">
        <f t="shared" si="10"/>
        <v>316.74909882186188</v>
      </c>
      <c r="CC65" s="59">
        <f t="shared" si="11"/>
        <v>610.08243215519519</v>
      </c>
      <c r="CD65" s="59">
        <f ca="1">AVERAGE(OFFSET($CC$3,0,0,'Données projet'!$E$12+1,1))-AVERAGE(OFFSET($H$3,0,0,'Données projet'!$E$12+1,1))</f>
        <v>372.05986520199804</v>
      </c>
      <c r="CE65" s="59">
        <f t="shared" si="40"/>
        <v>184.37981929432044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26.478691497569692</v>
      </c>
      <c r="CM65" s="21">
        <f>EXP(-LN(2)/2)*CM64+(1-EXP(-LN(2)/2))/(LN(2)/2)*CG65*CJ65*VLOOKUP('Données projet'!$B$12,Paramètres!$A$1:$I$89,3,0)*0.475*44/12</f>
        <v>6.9717373555036781</v>
      </c>
      <c r="CN65" s="22">
        <f t="shared" si="12"/>
        <v>33.450428853073369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10.107499999999998</v>
      </c>
      <c r="CT65" s="12">
        <f>IF('Données projet'!$A$140&gt;35,CT64+CS65-DB64,IF(A65&lt;'Données projet'!$A$140,$CQ$205^A65,IF(A65='Données projet'!$A$140,'Données projet'!$B$140,CT64+CS65-DB64)))</f>
        <v>246.34000000000026</v>
      </c>
      <c r="CU65" s="17">
        <f>CT65*VLOOKUP('Données projet'!$B$13,Paramètres!$A$1:$I$89,3,0)*VLOOKUP('Données projet'!$B$13,Paramètres!$A$1:$I$89,5,0)</f>
        <v>222.88843200000022</v>
      </c>
      <c r="CV65" s="13">
        <f t="shared" si="41"/>
        <v>54.74219476708182</v>
      </c>
      <c r="CW65" s="20">
        <f t="shared" si="13"/>
        <v>483.54000828600118</v>
      </c>
      <c r="CX65" s="59">
        <f t="shared" si="14"/>
        <v>776.8733416193345</v>
      </c>
      <c r="CY65" s="59">
        <f ca="1">AVERAGE(OFFSET($CX$3,0,0,'Données projet'!$E$13+1,1))-AVERAGE(OFFSET($H$3,0,0,'Données projet'!$E$13+1,1))</f>
        <v>479.84731392413374</v>
      </c>
      <c r="CZ65" s="59">
        <f t="shared" si="42"/>
        <v>203.57601099841213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32.64546483664077</v>
      </c>
      <c r="DH65" s="21">
        <f>EXP(-LN(2)/2)*DH64+(1-EXP(-LN(2)/2))/(LN(2)/2)*DB65*DE65*VLOOKUP('Données projet'!$B$13,Paramètres!$A$1:$I$89,3,0)*0.475*44/12</f>
        <v>2.147495281865488</v>
      </c>
      <c r="DI65" s="22">
        <f t="shared" si="15"/>
        <v>34.792960118506258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1.1368683772161603E-13</v>
      </c>
      <c r="O66" s="13">
        <f>N66*VLOOKUP('Données projet'!$B$9,Paramètres!$A$1:$I$89,3,0)*VLOOKUP('Données projet'!$B$9,Paramètres!$A$1:$I$89,5,0)</f>
        <v>6.7984728957526396E-14</v>
      </c>
      <c r="P66" s="13">
        <f t="shared" si="33"/>
        <v>1.0682447123141398E-12</v>
      </c>
      <c r="Q66" s="20">
        <f t="shared" si="53"/>
        <v>1.978932943548152E-12</v>
      </c>
      <c r="R66" s="59">
        <f t="shared" si="0"/>
        <v>293.3333333333353</v>
      </c>
      <c r="S66" s="59">
        <f ca="1">AVERAGE(OFFSET($R$3,0,0,'Données projet'!$E$9+1,1))-AVERAGE(OFFSET($H$3,0,0,'Données projet'!$E$9+1,1))</f>
        <v>322.7909000321435</v>
      </c>
      <c r="T66" s="59">
        <f t="shared" si="34"/>
        <v>403.23516981532316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154.97614578530758</v>
      </c>
      <c r="AA66" s="21">
        <f>EXP(-LN(2)/25)*AA65+(1-EXP(-LN(2)/25))/(LN(2)/25)*Calculateur!V66*Calculateur!X66*VLOOKUP('Données projet'!$B$9,Paramètres!$A$1:$I$89,3,0)*0.475*44/12</f>
        <v>50.790027625905829</v>
      </c>
      <c r="AB66" s="21">
        <f>EXP(-LN(2)/2)*AB65+(1-EXP(-LN(2)/2))/(LN(2)/2)*V66*Y66*VLOOKUP('Données projet'!$B$9,Paramètres!$A$1:$I$89,3,0)*0.475*44/12</f>
        <v>6.832800407485907</v>
      </c>
      <c r="AC66" s="22">
        <f t="shared" si="3"/>
        <v>212.59897381869931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375.17</v>
      </c>
      <c r="AG66" s="12">
        <f>VLOOKUP(A66,'Données projet'!$A$61:$I$81,9,0)</f>
        <v>12.346666666666669</v>
      </c>
      <c r="AH66" s="12">
        <f t="array" ref="AH66">INDEX(AG:AG,MIN(IF(ISNUMBER(AG66:AG262),ROW(AG66:AG262),"")))</f>
        <v>12.346666666666669</v>
      </c>
      <c r="AI66" s="13">
        <f>IF('Données projet'!$A$62&gt;35,AI65+AH66-AQ65,IF(A66&lt;'Données projet'!$A$62,$AF$205^A66,IF(A66='Données projet'!$A$62,'Données projet'!$B$62,AI65+AH66-AQ65)))</f>
        <v>375.17000000000007</v>
      </c>
      <c r="AJ66" s="13">
        <f>AI66*VLOOKUP('Données projet'!$B$10,Paramètres!$A$1:$I$89,3,0)*VLOOKUP('Données projet'!$B$10,Paramètres!$A$1:$I$89,5,0)</f>
        <v>175.57956000000001</v>
      </c>
      <c r="AK66" s="13">
        <f t="shared" si="35"/>
        <v>44.337301048235936</v>
      </c>
      <c r="AL66" s="20">
        <f t="shared" si="4"/>
        <v>383.02186632567759</v>
      </c>
      <c r="AM66" s="59">
        <f t="shared" si="5"/>
        <v>676.35519965901085</v>
      </c>
      <c r="AN66" s="59">
        <f ca="1">AVERAGE(OFFSET($AM$3,0,0,'Données projet'!$E$10+1,1))-AVERAGE(OFFSET($H$3,0,0,'Données projet'!$E$10+1,1))</f>
        <v>187.82209112143374</v>
      </c>
      <c r="AO66" s="59">
        <f t="shared" si="36"/>
        <v>158.99136654880203</v>
      </c>
      <c r="AP66" s="15">
        <f>IF(ISNA(VLOOKUP(A66,'Données projet'!$A$61:$I$81,3,0)),0,VLOOKUP(A66,'Données projet'!$A$61:$I$81,3,0))</f>
        <v>2</v>
      </c>
      <c r="AQ66" s="15">
        <f>IF(ISNA(VLOOKUP(A66,'Données projet'!$A$61:$I$81,4,0)),0,VLOOKUP(A66,'Données projet'!$A$61:$I$81,4,0))</f>
        <v>115.59000000000003</v>
      </c>
      <c r="AR66" s="16">
        <f>IF(ISNA(VLOOKUP(A66,'Données projet'!$A$61:$I$81,5,0)),0%,VLOOKUP(A66,'Données projet'!$A$61:$I$81,5,0)*VLOOKUP('Données projet'!$B$10,Paramètres!$A$1:$I$89,7,0))</f>
        <v>0.33</v>
      </c>
      <c r="AS66" s="16">
        <f>IF(ISNA(VLOOKUP(A66,'Données projet'!$A$61:$I$81,6,0)),0%,VLOOKUP(A66,'Données projet'!$A$61:$I$81,6,0)*VLOOKUP('Données projet'!$B$10,Paramètres!$A$1:$I$89,7,0))</f>
        <v>0.11000000000000001</v>
      </c>
      <c r="AT66" s="16">
        <f>IF(ISNA(VLOOKUP(A66,'Données projet'!$A$61:$I$81,7,0)),0%,VLOOKUP(A66,'Données projet'!$A$61:$I$81,7,0))</f>
        <v>0.2</v>
      </c>
      <c r="AU66" s="21">
        <f>EXP(-LN(2)/35)*AU65+(1-EXP(-LN(2)/35))/(LN(2)/35)*AQ66*AR66*VLOOKUP('Données projet'!$B$10,Paramètres!$A$1:$I$89,3,0)*0.475*44/12</f>
        <v>30.51860234421331</v>
      </c>
      <c r="AV66" s="21">
        <f>EXP(-LN(2)/25)*AV65+(1-EXP(-LN(2)/25))/(LN(2)/25)*Calculateur!AQ66*Calculateur!AS66*VLOOKUP('Données projet'!$B$10,Paramètres!$A$1:$I$89,3,0)*0.475*44/12</f>
        <v>17.027877336903668</v>
      </c>
      <c r="AW66" s="21">
        <f>EXP(-LN(2)/2)*AW65+(1-EXP(-LN(2)/2))/(LN(2)/2)*AQ66*AT66*VLOOKUP('Données projet'!$B$10,Paramètres!$A$1:$I$89,3,0)*0.475*44/12</f>
        <v>12.569464877633518</v>
      </c>
      <c r="AX66" s="21">
        <f t="shared" si="6"/>
        <v>60.115944558750499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2.8205128205128176</v>
      </c>
      <c r="BD66" s="12">
        <f>IF('Données projet'!$A$88&gt;35,BD65+BC66-BL65,IF(A66&lt;'Données projet'!$A$88,$BA$205^A66,IF(A66='Données projet'!$A$88,'Données projet'!$B$88,BD65+BC66-BL65)))</f>
        <v>119.35897435897428</v>
      </c>
      <c r="BE66" s="13">
        <f>BD66*VLOOKUP('Données projet'!$B$11,Paramètres!$A$1:$I$89,3,0)*VLOOKUP('Données projet'!$B$11,Paramètres!$A$1:$I$89,5,0)</f>
        <v>124.75399999999992</v>
      </c>
      <c r="BF66" s="13">
        <f t="shared" si="37"/>
        <v>32.781272112057259</v>
      </c>
      <c r="BG66" s="20">
        <f t="shared" si="7"/>
        <v>274.37393226183292</v>
      </c>
      <c r="BH66" s="59">
        <f t="shared" si="8"/>
        <v>567.70726559516629</v>
      </c>
      <c r="BI66" s="59">
        <f ca="1">AVERAGE(OFFSET($BH$3,0,0,'Données projet'!$E$11+1,1))-AVERAGE(OFFSET($H$3,0,0,'Données projet'!$E$11+1,1))</f>
        <v>140.32771978791288</v>
      </c>
      <c r="BJ66" s="59">
        <f t="shared" si="38"/>
        <v>135.76866977947634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15.169945483095985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15.169945483095985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6.8933333333333326</v>
      </c>
      <c r="BY66" s="12">
        <f>IF('Données projet'!$A$114&gt;35,BY65+BX66-CG65,IF(A66&lt;'Données projet'!$A$114,$BV$205^A66,IF(A66='Données projet'!$A$114,'Données projet'!$B$114,BY65+BX66-CG65)))</f>
        <v>149.42999999999992</v>
      </c>
      <c r="BZ66" s="13">
        <f>BY66*VLOOKUP('Données projet'!$B$12,Paramètres!$A$1:$I$89,3,0)*VLOOKUP('Données projet'!$B$12,Paramètres!$A$1:$I$89,5,0)</f>
        <v>151.52201999999994</v>
      </c>
      <c r="CA66" s="13">
        <f t="shared" si="39"/>
        <v>38.924266634641384</v>
      </c>
      <c r="CB66" s="20">
        <f t="shared" si="10"/>
        <v>331.6939492220003</v>
      </c>
      <c r="CC66" s="59">
        <f t="shared" si="11"/>
        <v>625.02728255533361</v>
      </c>
      <c r="CD66" s="59">
        <f ca="1">AVERAGE(OFFSET($CC$3,0,0,'Données projet'!$E$12+1,1))-AVERAGE(OFFSET($H$3,0,0,'Données projet'!$E$12+1,1))</f>
        <v>372.05986520199804</v>
      </c>
      <c r="CE66" s="59">
        <f t="shared" si="40"/>
        <v>184.37981929432044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25.754630286114779</v>
      </c>
      <c r="CM66" s="21">
        <f>EXP(-LN(2)/2)*CM65+(1-EXP(-LN(2)/2))/(LN(2)/2)*CG66*CJ66*VLOOKUP('Données projet'!$B$12,Paramètres!$A$1:$I$89,3,0)*0.475*44/12</f>
        <v>4.9297627607282193</v>
      </c>
      <c r="CN66" s="22">
        <f t="shared" si="12"/>
        <v>30.684393046842999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10.107499999999998</v>
      </c>
      <c r="CT66" s="12">
        <f>IF('Données projet'!$A$140&gt;35,CT65+CS66-DB65,IF(A66&lt;'Données projet'!$A$140,$CQ$205^A66,IF(A66='Données projet'!$A$140,'Données projet'!$B$140,CT65+CS66-DB65)))</f>
        <v>256.44750000000028</v>
      </c>
      <c r="CU66" s="17">
        <f>CT66*VLOOKUP('Données projet'!$B$13,Paramètres!$A$1:$I$89,3,0)*VLOOKUP('Données projet'!$B$13,Paramètres!$A$1:$I$89,5,0)</f>
        <v>232.03369800000024</v>
      </c>
      <c r="CV66" s="13">
        <f t="shared" si="41"/>
        <v>56.722189034958802</v>
      </c>
      <c r="CW66" s="20">
        <f t="shared" si="13"/>
        <v>502.91650325255364</v>
      </c>
      <c r="CX66" s="59">
        <f t="shared" si="14"/>
        <v>796.2498365858869</v>
      </c>
      <c r="CY66" s="59">
        <f ca="1">AVERAGE(OFFSET($CX$3,0,0,'Données projet'!$E$13+1,1))-AVERAGE(OFFSET($H$3,0,0,'Données projet'!$E$13+1,1))</f>
        <v>479.84731392413374</v>
      </c>
      <c r="CZ66" s="59">
        <f t="shared" si="42"/>
        <v>203.57601099841213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31.752772883932444</v>
      </c>
      <c r="DH66" s="21">
        <f>EXP(-LN(2)/2)*DH65+(1-EXP(-LN(2)/2))/(LN(2)/2)*DB66*DE66*VLOOKUP('Données projet'!$B$13,Paramètres!$A$1:$I$89,3,0)*0.475*44/12</f>
        <v>1.5185084763732029</v>
      </c>
      <c r="DI66" s="22">
        <f t="shared" si="15"/>
        <v>33.27128136030565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1.1368683772161603E-13</v>
      </c>
      <c r="O67" s="13">
        <f>N67*VLOOKUP('Données projet'!$B$9,Paramètres!$A$1:$I$89,3,0)*VLOOKUP('Données projet'!$B$9,Paramètres!$A$1:$I$89,5,0)</f>
        <v>6.7984728957526396E-14</v>
      </c>
      <c r="P67" s="13">
        <f t="shared" si="33"/>
        <v>1.0682447123141398E-12</v>
      </c>
      <c r="Q67" s="20">
        <f t="shared" ref="Q67:Q98" si="54">(O67+P67)*0.475*44/12</f>
        <v>1.978932943548152E-12</v>
      </c>
      <c r="R67" s="59">
        <f t="shared" ref="R67:R130" si="55">Q67+(I67+J67)*44/12</f>
        <v>293.3333333333353</v>
      </c>
      <c r="S67" s="59">
        <f ca="1">AVERAGE(OFFSET($R$3,0,0,'Données projet'!$E$9+1,1))-AVERAGE(OFFSET($H$3,0,0,'Données projet'!$E$9+1,1))</f>
        <v>322.7909000321435</v>
      </c>
      <c r="T67" s="59">
        <f t="shared" si="34"/>
        <v>403.23516981532316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151.93715809257296</v>
      </c>
      <c r="AA67" s="21">
        <f>EXP(-LN(2)/25)*AA66+(1-EXP(-LN(2)/25))/(LN(2)/25)*Calculateur!V67*Calculateur!X67*VLOOKUP('Données projet'!$B$9,Paramètres!$A$1:$I$89,3,0)*0.475*44/12</f>
        <v>49.401171649543961</v>
      </c>
      <c r="AB67" s="21">
        <f>EXP(-LN(2)/2)*AB66+(1-EXP(-LN(2)/2))/(LN(2)/2)*V67*Y67*VLOOKUP('Données projet'!$B$9,Paramètres!$A$1:$I$89,3,0)*0.475*44/12</f>
        <v>4.83151950262749</v>
      </c>
      <c r="AC67" s="22">
        <f t="shared" si="3"/>
        <v>206.1698492447444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11.327500000000001</v>
      </c>
      <c r="AI67" s="13">
        <f>IF('Données projet'!$A$62&gt;35,AI66+AH67-AQ66,IF(A67&lt;'Données projet'!$A$62,$AF$205^A67,IF(A67='Données projet'!$A$62,'Données projet'!$B$62,AI66+AH67-AQ66)))</f>
        <v>270.90750000000003</v>
      </c>
      <c r="AJ67" s="13">
        <f>AI67*VLOOKUP('Données projet'!$B$10,Paramètres!$A$1:$I$89,3,0)*VLOOKUP('Données projet'!$B$10,Paramètres!$A$1:$I$89,5,0)</f>
        <v>126.78471000000002</v>
      </c>
      <c r="AK67" s="13">
        <f t="shared" si="35"/>
        <v>33.252320782096213</v>
      </c>
      <c r="AL67" s="20">
        <f t="shared" si="4"/>
        <v>278.73116194548425</v>
      </c>
      <c r="AM67" s="59">
        <f t="shared" si="5"/>
        <v>572.0644952788175</v>
      </c>
      <c r="AN67" s="59">
        <f ca="1">AVERAGE(OFFSET($AM$3,0,0,'Données projet'!$E$10+1,1))-AVERAGE(OFFSET($H$3,0,0,'Données projet'!$E$10+1,1))</f>
        <v>187.82209112143374</v>
      </c>
      <c r="AO67" s="59">
        <f t="shared" si="36"/>
        <v>158.99136654880203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29.920151166752685</v>
      </c>
      <c r="AV67" s="21">
        <f>EXP(-LN(2)/25)*AV66+(1-EXP(-LN(2)/25))/(LN(2)/25)*Calculateur!AQ67*Calculateur!AS67*VLOOKUP('Données projet'!$B$10,Paramètres!$A$1:$I$89,3,0)*0.475*44/12</f>
        <v>16.562249135668885</v>
      </c>
      <c r="AW67" s="21">
        <f>EXP(-LN(2)/2)*AW66+(1-EXP(-LN(2)/2))/(LN(2)/2)*AQ67*AT67*VLOOKUP('Données projet'!$B$10,Paramètres!$A$1:$I$89,3,0)*0.475*44/12</f>
        <v>8.8879538508607983</v>
      </c>
      <c r="AX67" s="21">
        <f t="shared" si="6"/>
        <v>55.370354153282364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2.8205128205128176</v>
      </c>
      <c r="BD67" s="12">
        <f>IF('Données projet'!$A$88&gt;35,BD66+BC67-BL66,IF(A67&lt;'Données projet'!$A$88,$BA$205^A67,IF(A67='Données projet'!$A$88,'Données projet'!$B$88,BD66+BC67-BL66)))</f>
        <v>122.1794871794871</v>
      </c>
      <c r="BE67" s="13">
        <f>BD67*VLOOKUP('Données projet'!$B$11,Paramètres!$A$1:$I$89,3,0)*VLOOKUP('Données projet'!$B$11,Paramètres!$A$1:$I$89,5,0)</f>
        <v>127.70199999999991</v>
      </c>
      <c r="BF67" s="13">
        <f t="shared" si="37"/>
        <v>33.464809084200624</v>
      </c>
      <c r="BG67" s="20">
        <f t="shared" si="7"/>
        <v>280.69885915498259</v>
      </c>
      <c r="BH67" s="59">
        <f t="shared" si="8"/>
        <v>574.0321924883159</v>
      </c>
      <c r="BI67" s="59">
        <f ca="1">AVERAGE(OFFSET($BH$3,0,0,'Données projet'!$E$11+1,1))-AVERAGE(OFFSET($H$3,0,0,'Données projet'!$E$11+1,1))</f>
        <v>140.32771978791288</v>
      </c>
      <c r="BJ67" s="59">
        <f t="shared" si="38"/>
        <v>135.76866977947634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14.755122526107964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14.755122526107964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6.8933333333333326</v>
      </c>
      <c r="BY67" s="12">
        <f>IF('Données projet'!$A$114&gt;35,BY66+BX67-CG66,IF(A67&lt;'Données projet'!$A$114,$BV$205^A67,IF(A67='Données projet'!$A$114,'Données projet'!$B$114,BY66+BX67-CG66)))</f>
        <v>156.32333333333327</v>
      </c>
      <c r="BZ67" s="13">
        <f>BY67*VLOOKUP('Données projet'!$B$12,Paramètres!$A$1:$I$89,3,0)*VLOOKUP('Données projet'!$B$12,Paramètres!$A$1:$I$89,5,0)</f>
        <v>158.51185999999996</v>
      </c>
      <c r="CA67" s="13">
        <f t="shared" si="39"/>
        <v>40.506678950569523</v>
      </c>
      <c r="CB67" s="20">
        <f t="shared" si="10"/>
        <v>346.6239553389085</v>
      </c>
      <c r="CC67" s="59">
        <f t="shared" si="11"/>
        <v>639.95728867224182</v>
      </c>
      <c r="CD67" s="59">
        <f ca="1">AVERAGE(OFFSET($CC$3,0,0,'Données projet'!$E$12+1,1))-AVERAGE(OFFSET($H$3,0,0,'Données projet'!$E$12+1,1))</f>
        <v>372.05986520199804</v>
      </c>
      <c r="CE67" s="59">
        <f t="shared" si="40"/>
        <v>184.37981929432044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25.050368566563826</v>
      </c>
      <c r="CM67" s="21">
        <f>EXP(-LN(2)/2)*CM66+(1-EXP(-LN(2)/2))/(LN(2)/2)*CG67*CJ67*VLOOKUP('Données projet'!$B$12,Paramètres!$A$1:$I$89,3,0)*0.475*44/12</f>
        <v>3.4858686777518395</v>
      </c>
      <c r="CN67" s="22">
        <f t="shared" si="12"/>
        <v>28.536237244315664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10.107499999999998</v>
      </c>
      <c r="CT67" s="12">
        <f>IF('Données projet'!$A$140&gt;35,CT66+CS67-DB66,IF(A67&lt;'Données projet'!$A$140,$CQ$205^A67,IF(A67='Données projet'!$A$140,'Données projet'!$B$140,CT66+CS67-DB66)))</f>
        <v>266.55500000000029</v>
      </c>
      <c r="CU67" s="17">
        <f>CT67*VLOOKUP('Données projet'!$B$13,Paramètres!$A$1:$I$89,3,0)*VLOOKUP('Données projet'!$B$13,Paramètres!$A$1:$I$89,5,0)</f>
        <v>241.17896400000026</v>
      </c>
      <c r="CV67" s="13">
        <f t="shared" si="41"/>
        <v>58.693117941200413</v>
      </c>
      <c r="CW67" s="20">
        <f t="shared" si="13"/>
        <v>522.27720938092455</v>
      </c>
      <c r="CX67" s="59">
        <f t="shared" si="14"/>
        <v>815.61054271425792</v>
      </c>
      <c r="CY67" s="59">
        <f ca="1">AVERAGE(OFFSET($CX$3,0,0,'Données projet'!$E$13+1,1))-AVERAGE(OFFSET($H$3,0,0,'Données projet'!$E$13+1,1))</f>
        <v>479.84731392413374</v>
      </c>
      <c r="CZ67" s="59">
        <f t="shared" si="42"/>
        <v>203.57601099841213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30.884491639615558</v>
      </c>
      <c r="DH67" s="21">
        <f>EXP(-LN(2)/2)*DH66+(1-EXP(-LN(2)/2))/(LN(2)/2)*DB67*DE67*VLOOKUP('Données projet'!$B$13,Paramètres!$A$1:$I$89,3,0)*0.475*44/12</f>
        <v>1.073747640932744</v>
      </c>
      <c r="DI67" s="22">
        <f t="shared" si="15"/>
        <v>31.958239280548302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1.1368683772161603E-13</v>
      </c>
      <c r="O68" s="13">
        <f>N68*VLOOKUP('Données projet'!$B$9,Paramètres!$A$1:$I$89,3,0)*VLOOKUP('Données projet'!$B$9,Paramètres!$A$1:$I$89,5,0)</f>
        <v>6.7984728957526396E-14</v>
      </c>
      <c r="P68" s="13">
        <f t="shared" si="33"/>
        <v>1.0682447123141398E-12</v>
      </c>
      <c r="Q68" s="20">
        <f t="shared" si="54"/>
        <v>1.978932943548152E-12</v>
      </c>
      <c r="R68" s="59">
        <f t="shared" si="55"/>
        <v>293.3333333333353</v>
      </c>
      <c r="S68" s="59">
        <f ca="1">AVERAGE(OFFSET($R$3,0,0,'Données projet'!$E$9+1,1))-AVERAGE(OFFSET($H$3,0,0,'Données projet'!$E$9+1,1))</f>
        <v>322.7909000321435</v>
      </c>
      <c r="T68" s="59">
        <f t="shared" si="34"/>
        <v>403.23516981532316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148.95776309489338</v>
      </c>
      <c r="AA68" s="21">
        <f>EXP(-LN(2)/25)*AA67+(1-EXP(-LN(2)/25))/(LN(2)/25)*Calculateur!V68*Calculateur!X68*VLOOKUP('Données projet'!$B$9,Paramètres!$A$1:$I$89,3,0)*0.475*44/12</f>
        <v>48.050294012892472</v>
      </c>
      <c r="AB68" s="21">
        <f>EXP(-LN(2)/2)*AB67+(1-EXP(-LN(2)/2))/(LN(2)/2)*V68*Y68*VLOOKUP('Données projet'!$B$9,Paramètres!$A$1:$I$89,3,0)*0.475*44/12</f>
        <v>3.4164002037429535</v>
      </c>
      <c r="AC68" s="22">
        <f t="shared" ref="AC68:AC131" si="57">SUM(Z68:AB68)</f>
        <v>200.42445731152881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11.327500000000001</v>
      </c>
      <c r="AI68" s="13">
        <f>IF('Données projet'!$A$62&gt;35,AI67+AH68-AQ67,IF(A68&lt;'Données projet'!$A$62,$AF$205^A68,IF(A68='Données projet'!$A$62,'Données projet'!$B$62,AI67+AH68-AQ67)))</f>
        <v>282.23500000000001</v>
      </c>
      <c r="AJ68" s="13">
        <f>AI68*VLOOKUP('Données projet'!$B$10,Paramètres!$A$1:$I$89,3,0)*VLOOKUP('Données projet'!$B$10,Paramètres!$A$1:$I$89,5,0)</f>
        <v>132.08598000000001</v>
      </c>
      <c r="AK68" s="13">
        <f t="shared" si="35"/>
        <v>34.477920592791357</v>
      </c>
      <c r="AL68" s="20">
        <f t="shared" ref="AL68:AL131" si="58">(AJ68+AK68)*0.475*44/12</f>
        <v>290.09879353244492</v>
      </c>
      <c r="AM68" s="59">
        <f t="shared" ref="AM68:AM131" si="59">AL68+(AD68+AE68)*44/12</f>
        <v>583.43212686577817</v>
      </c>
      <c r="AN68" s="59">
        <f ca="1">AVERAGE(OFFSET($AM$3,0,0,'Données projet'!$E$10+1,1))-AVERAGE(OFFSET($H$3,0,0,'Données projet'!$E$10+1,1))</f>
        <v>187.82209112143374</v>
      </c>
      <c r="AO68" s="59">
        <f t="shared" si="36"/>
        <v>158.99136654880203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29.333435251862888</v>
      </c>
      <c r="AV68" s="21">
        <f>EXP(-LN(2)/25)*AV67+(1-EXP(-LN(2)/25))/(LN(2)/25)*Calculateur!AQ68*Calculateur!AS68*VLOOKUP('Données projet'!$B$10,Paramètres!$A$1:$I$89,3,0)*0.475*44/12</f>
        <v>16.109353562083193</v>
      </c>
      <c r="AW68" s="21">
        <f>EXP(-LN(2)/2)*AW67+(1-EXP(-LN(2)/2))/(LN(2)/2)*AQ68*AT68*VLOOKUP('Données projet'!$B$10,Paramètres!$A$1:$I$89,3,0)*0.475*44/12</f>
        <v>6.2847324388167589</v>
      </c>
      <c r="AX68" s="21">
        <f t="shared" ref="AX68:AX131" si="60">SUM(AU68:AW68)</f>
        <v>51.727521252762841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125</v>
      </c>
      <c r="BB68" s="12">
        <f>VLOOKUP(A68,'Données projet'!$A$87:$I$107,9,0)</f>
        <v>2.8205128205128176</v>
      </c>
      <c r="BC68" s="12">
        <f t="array" ref="BC68">INDEX(BB:BB,MIN(IF(ISNUMBER(BB68:BB264),ROW(BB68:BB264),"")))</f>
        <v>2.8205128205128176</v>
      </c>
      <c r="BD68" s="12">
        <f>IF('Données projet'!$A$88&gt;35,BD67+BC68-BL67,IF(A68&lt;'Données projet'!$A$88,$BA$205^A68,IF(A68='Données projet'!$A$88,'Données projet'!$B$88,BD67+BC68-BL67)))</f>
        <v>124.99999999999991</v>
      </c>
      <c r="BE68" s="13">
        <f>BD68*VLOOKUP('Données projet'!$B$11,Paramètres!$A$1:$I$89,3,0)*VLOOKUP('Données projet'!$B$11,Paramètres!$A$1:$I$89,5,0)</f>
        <v>130.64999999999992</v>
      </c>
      <c r="BF68" s="13">
        <f t="shared" si="37"/>
        <v>34.146511621978362</v>
      </c>
      <c r="BG68" s="20">
        <f t="shared" ref="BG68:BG131" si="61">(BE68+BF68)*0.475*44/12</f>
        <v>287.02059107494546</v>
      </c>
      <c r="BH68" s="59">
        <f t="shared" ref="BH68:BH131" si="62">BG68+(AY68+AZ68)*44/12</f>
        <v>580.35392440827877</v>
      </c>
      <c r="BI68" s="59">
        <f ca="1">AVERAGE(OFFSET($BH$3,0,0,'Données projet'!$E$11+1,1))-AVERAGE(OFFSET($H$3,0,0,'Données projet'!$E$11+1,1))</f>
        <v>140.32771978791288</v>
      </c>
      <c r="BJ68" s="59">
        <f t="shared" si="38"/>
        <v>135.76866977947634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9.615384615384615</v>
      </c>
      <c r="BM68" s="16">
        <f>IF(ISNA(VLOOKUP(A68,'Données projet'!$A$87:$I$107,5,0)),0%,VLOOKUP(A68,'Données projet'!$A$87:$I$107,5,0)*VLOOKUP('Données projet'!$B$11,Paramètres!$A$1:$I$89,7,0))</f>
        <v>4.3000000000000003E-2</v>
      </c>
      <c r="BN68" s="16">
        <f>IF(ISNA(VLOOKUP(A68,'Données projet'!$A$87:$I$107,6,0)),0%,VLOOKUP(A68,'Données projet'!$A$87:$I$107,6,0)*VLOOKUP('Données projet'!$B$11,Paramètres!$A$1:$I$89,7,0))</f>
        <v>0.215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0.47772902451516441</v>
      </c>
      <c r="BQ68" s="21">
        <f>EXP(-LN(2)/25)*BQ67+(1-EXP(-LN(2)/25))/(LN(2)/25)*Calculateur!BL68*Calculateur!BN68*VLOOKUP('Données projet'!$B$11,Paramètres!$A$1:$I$89,3,0)*0.475*44/12</f>
        <v>16.730883041276467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17.20861206579163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6.8933333333333326</v>
      </c>
      <c r="BY68" s="12">
        <f>IF('Données projet'!$A$114&gt;35,BY67+BX68-CG67,IF(A68&lt;'Données projet'!$A$114,$BV$205^A68,IF(A68='Données projet'!$A$114,'Données projet'!$B$114,BY67+BX68-CG67)))</f>
        <v>163.21666666666661</v>
      </c>
      <c r="BZ68" s="13">
        <f>BY68*VLOOKUP('Données projet'!$B$12,Paramètres!$A$1:$I$89,3,0)*VLOOKUP('Données projet'!$B$12,Paramètres!$A$1:$I$89,5,0)</f>
        <v>165.50169999999997</v>
      </c>
      <c r="CA68" s="13">
        <f t="shared" si="39"/>
        <v>42.080987019777631</v>
      </c>
      <c r="CB68" s="20">
        <f t="shared" ref="CB68:CB131" si="64">(BZ68+CA68)*0.475*44/12</f>
        <v>361.539846559446</v>
      </c>
      <c r="CC68" s="59">
        <f t="shared" ref="CC68:CC131" si="65">CB68+(BT68+BU68)*44/12</f>
        <v>654.87317989277926</v>
      </c>
      <c r="CD68" s="59">
        <f ca="1">AVERAGE(OFFSET($CC$3,0,0,'Données projet'!$E$12+1,1))-AVERAGE(OFFSET($H$3,0,0,'Données projet'!$E$12+1,1))</f>
        <v>372.05986520199804</v>
      </c>
      <c r="CE68" s="59">
        <f t="shared" si="40"/>
        <v>184.37981929432044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24.365364920769508</v>
      </c>
      <c r="CM68" s="21">
        <f>EXP(-LN(2)/2)*CM67+(1-EXP(-LN(2)/2))/(LN(2)/2)*CG68*CJ68*VLOOKUP('Données projet'!$B$12,Paramètres!$A$1:$I$89,3,0)*0.475*44/12</f>
        <v>2.4648813803641101</v>
      </c>
      <c r="CN68" s="22">
        <f t="shared" ref="CN68:CN131" si="66">SUM(CK68:CM68)</f>
        <v>26.83024630113362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10.107499999999998</v>
      </c>
      <c r="CT68" s="12">
        <f>IF('Données projet'!$A$140&gt;35,CT67+CS68-DB67,IF(A68&lt;'Données projet'!$A$140,$CQ$205^A68,IF(A68='Données projet'!$A$140,'Données projet'!$B$140,CT67+CS68-DB67)))</f>
        <v>276.66250000000031</v>
      </c>
      <c r="CU68" s="17">
        <f>CT68*VLOOKUP('Données projet'!$B$13,Paramètres!$A$1:$I$89,3,0)*VLOOKUP('Données projet'!$B$13,Paramètres!$A$1:$I$89,5,0)</f>
        <v>250.32423000000026</v>
      </c>
      <c r="CV68" s="13">
        <f t="shared" si="41"/>
        <v>60.655364588948935</v>
      </c>
      <c r="CW68" s="20">
        <f t="shared" ref="CW68:CW131" si="67">(CU68+CV68)*0.475*44/12</f>
        <v>541.62279390908645</v>
      </c>
      <c r="CX68" s="59">
        <f t="shared" ref="CX68:CX131" si="68">CW68+(CO68+CP68)*44/12</f>
        <v>834.95612724241983</v>
      </c>
      <c r="CY68" s="59">
        <f ca="1">AVERAGE(OFFSET($CX$3,0,0,'Données projet'!$E$13+1,1))-AVERAGE(OFFSET($H$3,0,0,'Données projet'!$E$13+1,1))</f>
        <v>479.84731392413374</v>
      </c>
      <c r="CZ68" s="59">
        <f t="shared" si="42"/>
        <v>203.57601099841213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30.039953591585441</v>
      </c>
      <c r="DH68" s="21">
        <f>EXP(-LN(2)/2)*DH67+(1-EXP(-LN(2)/2))/(LN(2)/2)*DB68*DE68*VLOOKUP('Données projet'!$B$13,Paramètres!$A$1:$I$89,3,0)*0.475*44/12</f>
        <v>0.75925423818660143</v>
      </c>
      <c r="DI68" s="22">
        <f t="shared" ref="DI68:DI131" si="69">SUM(DF68:DH68)</f>
        <v>30.799207829772044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1.1368683772161603E-13</v>
      </c>
      <c r="O69" s="13">
        <f>N69*VLOOKUP('Données projet'!$B$9,Paramètres!$A$1:$I$89,3,0)*VLOOKUP('Données projet'!$B$9,Paramètres!$A$1:$I$89,5,0)</f>
        <v>6.7984728957526396E-14</v>
      </c>
      <c r="P69" s="13">
        <f t="shared" ref="P69:P132" si="87">EXP(-1.0587+0.8836*LN(O69)+0.284)</f>
        <v>1.0682447123141398E-12</v>
      </c>
      <c r="Q69" s="20">
        <f t="shared" si="54"/>
        <v>1.978932943548152E-12</v>
      </c>
      <c r="R69" s="59">
        <f t="shared" si="55"/>
        <v>293.3333333333353</v>
      </c>
      <c r="S69" s="59">
        <f ca="1">AVERAGE(OFFSET($R$3,0,0,'Données projet'!$E$9+1,1))-AVERAGE(OFFSET($H$3,0,0,'Données projet'!$E$9+1,1))</f>
        <v>322.7909000321435</v>
      </c>
      <c r="T69" s="59">
        <f t="shared" ref="T69:T132" si="88">$T$3</f>
        <v>403.23516981532316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146.0367922158668</v>
      </c>
      <c r="AA69" s="21">
        <f>EXP(-LN(2)/25)*AA68+(1-EXP(-LN(2)/25))/(LN(2)/25)*Calculateur!V69*Calculateur!X69*VLOOKUP('Données projet'!$B$9,Paramètres!$A$1:$I$89,3,0)*0.475*44/12</f>
        <v>46.736356196254789</v>
      </c>
      <c r="AB69" s="21">
        <f>EXP(-LN(2)/2)*AB68+(1-EXP(-LN(2)/2))/(LN(2)/2)*V69*Y69*VLOOKUP('Données projet'!$B$9,Paramètres!$A$1:$I$89,3,0)*0.475*44/12</f>
        <v>2.415759751313745</v>
      </c>
      <c r="AC69" s="22">
        <f t="shared" si="57"/>
        <v>195.18890816343534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11.327500000000001</v>
      </c>
      <c r="AI69" s="13">
        <f>IF('Données projet'!$A$62&gt;35,AI68+AH69-AQ68,IF(A69&lt;'Données projet'!$A$62,$AF$205^A69,IF(A69='Données projet'!$A$62,'Données projet'!$B$62,AI68+AH69-AQ68)))</f>
        <v>293.5625</v>
      </c>
      <c r="AJ69" s="13">
        <f>AI69*VLOOKUP('Données projet'!$B$10,Paramètres!$A$1:$I$89,3,0)*VLOOKUP('Données projet'!$B$10,Paramètres!$A$1:$I$89,5,0)</f>
        <v>137.38724999999999</v>
      </c>
      <c r="AK69" s="13">
        <f t="shared" ref="AK69:AK132" si="89">EXP(-1.0587+0.8836*LN(AJ69)+0.284)</f>
        <v>35.697806485924644</v>
      </c>
      <c r="AL69" s="20">
        <f t="shared" si="58"/>
        <v>301.4564733796521</v>
      </c>
      <c r="AM69" s="59">
        <f t="shared" si="59"/>
        <v>594.78980671298541</v>
      </c>
      <c r="AN69" s="59">
        <f ca="1">AVERAGE(OFFSET($AM$3,0,0,'Données projet'!$E$10+1,1))-AVERAGE(OFFSET($H$3,0,0,'Données projet'!$E$10+1,1))</f>
        <v>187.82209112143374</v>
      </c>
      <c r="AO69" s="59">
        <f t="shared" ref="AO69:AO132" si="90">$AO$3</f>
        <v>158.99136654880203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28.75822447820271</v>
      </c>
      <c r="AV69" s="21">
        <f>EXP(-LN(2)/25)*AV68+(1-EXP(-LN(2)/25))/(LN(2)/25)*Calculateur!AQ69*Calculateur!AS69*VLOOKUP('Données projet'!$B$10,Paramètres!$A$1:$I$89,3,0)*0.475*44/12</f>
        <v>15.668842441773943</v>
      </c>
      <c r="AW69" s="21">
        <f>EXP(-LN(2)/2)*AW68+(1-EXP(-LN(2)/2))/(LN(2)/2)*AQ69*AT69*VLOOKUP('Données projet'!$B$10,Paramètres!$A$1:$I$89,3,0)*0.475*44/12</f>
        <v>4.4439769254303991</v>
      </c>
      <c r="AX69" s="21">
        <f t="shared" si="60"/>
        <v>48.871043845407051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2.6923076923076907</v>
      </c>
      <c r="BD69" s="12">
        <f>IF('Données projet'!$A$88&gt;35,BD68+BC69-BL68,IF(A69&lt;'Données projet'!$A$88,$BA$205^A69,IF(A69='Données projet'!$A$88,'Données projet'!$B$88,BD68+BC69-BL68)))</f>
        <v>118.07692307692299</v>
      </c>
      <c r="BE69" s="13">
        <f>BD69*VLOOKUP('Données projet'!$B$11,Paramètres!$A$1:$I$89,3,0)*VLOOKUP('Données projet'!$B$11,Paramètres!$A$1:$I$89,5,0)</f>
        <v>123.41399999999993</v>
      </c>
      <c r="BF69" s="13">
        <f t="shared" ref="BF69:BF132" si="91">EXP(-1.0587+0.8836*LN(BE69)+0.284)</f>
        <v>32.469954043567462</v>
      </c>
      <c r="BG69" s="20">
        <f t="shared" si="61"/>
        <v>271.49788662587986</v>
      </c>
      <c r="BH69" s="59">
        <f t="shared" si="62"/>
        <v>564.83121995921317</v>
      </c>
      <c r="BI69" s="59">
        <f ca="1">AVERAGE(OFFSET($BH$3,0,0,'Données projet'!$E$11+1,1))-AVERAGE(OFFSET($H$3,0,0,'Données projet'!$E$11+1,1))</f>
        <v>140.32771978791288</v>
      </c>
      <c r="BJ69" s="59">
        <f t="shared" ref="BJ69:BJ132" si="92">$BJ$3</f>
        <v>135.76866977947634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0.46836104973035503</v>
      </c>
      <c r="BQ69" s="21">
        <f>EXP(-LN(2)/25)*BQ68+(1-EXP(-LN(2)/25))/(LN(2)/25)*Calculateur!BL69*Calculateur!BN69*VLOOKUP('Données projet'!$B$11,Paramètres!$A$1:$I$89,3,0)*0.475*44/12</f>
        <v>16.273376164673863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16.741737214404218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6.8933333333333326</v>
      </c>
      <c r="BY69" s="12">
        <f>IF('Données projet'!$A$114&gt;35,BY68+BX69-CG68,IF(A69&lt;'Données projet'!$A$114,$BV$205^A69,IF(A69='Données projet'!$A$114,'Données projet'!$B$114,BY68+BX69-CG68)))</f>
        <v>170.10999999999996</v>
      </c>
      <c r="BZ69" s="13">
        <f>BY69*VLOOKUP('Données projet'!$B$12,Paramètres!$A$1:$I$89,3,0)*VLOOKUP('Données projet'!$B$12,Paramètres!$A$1:$I$89,5,0)</f>
        <v>172.49153999999996</v>
      </c>
      <c r="CA69" s="13">
        <f t="shared" ref="CA69:CA132" si="93">EXP(-1.0587+0.8836*LN(BZ69)+0.284)</f>
        <v>43.64757225366332</v>
      </c>
      <c r="CB69" s="20">
        <f t="shared" si="64"/>
        <v>376.44228717513016</v>
      </c>
      <c r="CC69" s="59">
        <f t="shared" si="65"/>
        <v>669.77562050846348</v>
      </c>
      <c r="CD69" s="59">
        <f ca="1">AVERAGE(OFFSET($CC$3,0,0,'Données projet'!$E$12+1,1))-AVERAGE(OFFSET($H$3,0,0,'Données projet'!$E$12+1,1))</f>
        <v>372.05986520199804</v>
      </c>
      <c r="CE69" s="59">
        <f t="shared" ref="CE69:CE132" si="94">$CE$3</f>
        <v>184.37981929432044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23.699092735692211</v>
      </c>
      <c r="CM69" s="21">
        <f>EXP(-LN(2)/2)*CM68+(1-EXP(-LN(2)/2))/(LN(2)/2)*CG69*CJ69*VLOOKUP('Données projet'!$B$12,Paramètres!$A$1:$I$89,3,0)*0.475*44/12</f>
        <v>1.7429343388759202</v>
      </c>
      <c r="CN69" s="22">
        <f t="shared" si="66"/>
        <v>25.442027074568131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286.77</v>
      </c>
      <c r="CR69" s="12">
        <f>VLOOKUP(A69,'Données projet'!$A$139:$I$159,9,0)</f>
        <v>10.107499999999998</v>
      </c>
      <c r="CS69" s="12">
        <f t="array" ref="CS69">INDEX(CR:CR,MIN(IF(ISNUMBER(CR69:CR265),ROW(CR69:CR265),"")))</f>
        <v>10.107499999999998</v>
      </c>
      <c r="CT69" s="12">
        <f>IF('Données projet'!$A$140&gt;35,CT68+CS69-DB68,IF(A69&lt;'Données projet'!$A$140,$CQ$205^A69,IF(A69='Données projet'!$A$140,'Données projet'!$B$140,CT68+CS69-DB68)))</f>
        <v>286.77000000000032</v>
      </c>
      <c r="CU69" s="17">
        <f>CT69*VLOOKUP('Données projet'!$B$13,Paramètres!$A$1:$I$89,3,0)*VLOOKUP('Données projet'!$B$13,Paramètres!$A$1:$I$89,5,0)</f>
        <v>259.46949600000028</v>
      </c>
      <c r="CV69" s="13">
        <f t="shared" ref="CV69:CV132" si="95">EXP(-1.0587+0.8836*LN(CU69)+0.284)</f>
        <v>62.609282502673501</v>
      </c>
      <c r="CW69" s="20">
        <f t="shared" si="67"/>
        <v>560.95387255882349</v>
      </c>
      <c r="CX69" s="59">
        <f t="shared" si="68"/>
        <v>854.28720589215686</v>
      </c>
      <c r="CY69" s="59">
        <f ca="1">AVERAGE(OFFSET($CX$3,0,0,'Données projet'!$E$13+1,1))-AVERAGE(OFFSET($H$3,0,0,'Données projet'!$E$13+1,1))</f>
        <v>479.84731392413374</v>
      </c>
      <c r="CZ69" s="59">
        <f t="shared" ref="CZ69:CZ132" si="96">$CZ$3</f>
        <v>203.57601099841213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53.679999999999978</v>
      </c>
      <c r="DC69" s="16">
        <f>IF(ISNA(VLOOKUP(A69,'Données projet'!$A$139:$I$159,5,0)),0%,VLOOKUP(A69,'Données projet'!$A$139:$I$159,5,0)*VLOOKUP('Données projet'!$B$13,Paramètres!$A$1:$I$89,7,0))</f>
        <v>0.15049999999999999</v>
      </c>
      <c r="DD69" s="16">
        <f>IF(ISNA(VLOOKUP(A69,'Données projet'!$A$139:$I$159,6,0)),0%,VLOOKUP(A69,'Données projet'!$A$139:$I$159,6,0)*VLOOKUP('Données projet'!$B$13,Paramètres!$A$1:$I$89,7,0))</f>
        <v>8.6000000000000007E-2</v>
      </c>
      <c r="DE69" s="16">
        <f>IF(ISNA(VLOOKUP(A69,'Données projet'!$A$139:$I$159,7,0)),0%,VLOOKUP(A69,'Données projet'!$A$139:$I$159,7,0))</f>
        <v>0.1</v>
      </c>
      <c r="DF69" s="21">
        <f>EXP(-LN(2)/35)*DF68+(1-EXP(-LN(2)/35))/(LN(2)/35)*DB69*DC69*VLOOKUP('Données projet'!$B$13,Paramètres!$A$1:$I$89,3,0)*0.475*44/12</f>
        <v>8.0806948968281098</v>
      </c>
      <c r="DG69" s="21">
        <f>EXP(-LN(2)/25)*DG68+(1-EXP(-LN(2)/25))/(LN(2)/25)*Calculateur!DB69*Calculateur!DD69*VLOOKUP('Données projet'!$B$13,Paramètres!$A$1:$I$89,3,0)*0.475*44/12</f>
        <v>33.817868407767122</v>
      </c>
      <c r="DH69" s="21">
        <f>EXP(-LN(2)/2)*DH68+(1-EXP(-LN(2)/2))/(LN(2)/2)*DB69*DE69*VLOOKUP('Données projet'!$B$13,Paramètres!$A$1:$I$89,3,0)*0.475*44/12</f>
        <v>5.1195523422004099</v>
      </c>
      <c r="DI69" s="22">
        <f t="shared" si="69"/>
        <v>47.018115646795636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1.1368683772161603E-13</v>
      </c>
      <c r="O70" s="13">
        <f>N70*VLOOKUP('Données projet'!$B$9,Paramètres!$A$1:$I$89,3,0)*VLOOKUP('Données projet'!$B$9,Paramètres!$A$1:$I$89,5,0)</f>
        <v>6.7984728957526396E-14</v>
      </c>
      <c r="P70" s="13">
        <f t="shared" si="87"/>
        <v>1.0682447123141398E-12</v>
      </c>
      <c r="Q70" s="20">
        <f t="shared" si="54"/>
        <v>1.978932943548152E-12</v>
      </c>
      <c r="R70" s="59">
        <f t="shared" si="55"/>
        <v>293.3333333333353</v>
      </c>
      <c r="S70" s="59">
        <f ca="1">AVERAGE(OFFSET($R$3,0,0,'Données projet'!$E$9+1,1))-AVERAGE(OFFSET($H$3,0,0,'Données projet'!$E$9+1,1))</f>
        <v>322.7909000321435</v>
      </c>
      <c r="T70" s="59">
        <f t="shared" si="88"/>
        <v>403.23516981532316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143.1730997941616</v>
      </c>
      <c r="AA70" s="21">
        <f>EXP(-LN(2)/25)*AA69+(1-EXP(-LN(2)/25))/(LN(2)/25)*Calculateur!V70*Calculateur!X70*VLOOKUP('Données projet'!$B$9,Paramètres!$A$1:$I$89,3,0)*0.475*44/12</f>
        <v>45.458348078310046</v>
      </c>
      <c r="AB70" s="21">
        <f>EXP(-LN(2)/2)*AB69+(1-EXP(-LN(2)/2))/(LN(2)/2)*V70*Y70*VLOOKUP('Données projet'!$B$9,Paramètres!$A$1:$I$89,3,0)*0.475*44/12</f>
        <v>1.7082001018714768</v>
      </c>
      <c r="AC70" s="22">
        <f t="shared" si="57"/>
        <v>190.33964797434314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11.327500000000001</v>
      </c>
      <c r="AI70" s="13">
        <f>IF('Données projet'!$A$62&gt;35,AI69+AH70-AQ69,IF(A70&lt;'Données projet'!$A$62,$AF$205^A70,IF(A70='Données projet'!$A$62,'Données projet'!$B$62,AI69+AH70-AQ69)))</f>
        <v>304.89</v>
      </c>
      <c r="AJ70" s="13">
        <f>AI70*VLOOKUP('Données projet'!$B$10,Paramètres!$A$1:$I$89,3,0)*VLOOKUP('Données projet'!$B$10,Paramètres!$A$1:$I$89,5,0)</f>
        <v>142.68851999999998</v>
      </c>
      <c r="AK70" s="13">
        <f t="shared" si="89"/>
        <v>36.912224176610735</v>
      </c>
      <c r="AL70" s="20">
        <f t="shared" si="58"/>
        <v>312.80462944093028</v>
      </c>
      <c r="AM70" s="59">
        <f t="shared" si="59"/>
        <v>606.13796277426354</v>
      </c>
      <c r="AN70" s="59">
        <f ca="1">AVERAGE(OFFSET($AM$3,0,0,'Données projet'!$E$10+1,1))-AVERAGE(OFFSET($H$3,0,0,'Données projet'!$E$10+1,1))</f>
        <v>187.82209112143374</v>
      </c>
      <c r="AO70" s="59">
        <f t="shared" si="90"/>
        <v>158.99136654880203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28.194293236970079</v>
      </c>
      <c r="AV70" s="21">
        <f>EXP(-LN(2)/25)*AV69+(1-EXP(-LN(2)/25))/(LN(2)/25)*Calculateur!AQ70*Calculateur!AS70*VLOOKUP('Données projet'!$B$10,Paramètres!$A$1:$I$89,3,0)*0.475*44/12</f>
        <v>15.240377121215023</v>
      </c>
      <c r="AW70" s="21">
        <f>EXP(-LN(2)/2)*AW69+(1-EXP(-LN(2)/2))/(LN(2)/2)*AQ70*AT70*VLOOKUP('Données projet'!$B$10,Paramètres!$A$1:$I$89,3,0)*0.475*44/12</f>
        <v>3.1423662194083795</v>
      </c>
      <c r="AX70" s="21">
        <f t="shared" si="60"/>
        <v>46.577036577593482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2.6923076923076907</v>
      </c>
      <c r="BD70" s="12">
        <f>IF('Données projet'!$A$88&gt;35,BD69+BC70-BL69,IF(A70&lt;'Données projet'!$A$88,$BA$205^A70,IF(A70='Données projet'!$A$88,'Données projet'!$B$88,BD69+BC70-BL69)))</f>
        <v>120.76923076923069</v>
      </c>
      <c r="BE70" s="13">
        <f>BD70*VLOOKUP('Données projet'!$B$11,Paramètres!$A$1:$I$89,3,0)*VLOOKUP('Données projet'!$B$11,Paramètres!$A$1:$I$89,5,0)</f>
        <v>126.22799999999992</v>
      </c>
      <c r="BF70" s="13">
        <f t="shared" si="91"/>
        <v>33.123272875637802</v>
      </c>
      <c r="BG70" s="20">
        <f t="shared" si="61"/>
        <v>277.53680025840237</v>
      </c>
      <c r="BH70" s="59">
        <f t="shared" si="62"/>
        <v>570.87013359173568</v>
      </c>
      <c r="BI70" s="59">
        <f ca="1">AVERAGE(OFFSET($BH$3,0,0,'Données projet'!$E$11+1,1))-AVERAGE(OFFSET($H$3,0,0,'Données projet'!$E$11+1,1))</f>
        <v>140.32771978791288</v>
      </c>
      <c r="BJ70" s="59">
        <f t="shared" si="92"/>
        <v>135.76866977947634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0.45917677521717531</v>
      </c>
      <c r="BQ70" s="21">
        <f>EXP(-LN(2)/25)*BQ69+(1-EXP(-LN(2)/25))/(LN(2)/25)*Calculateur!BL70*Calculateur!BN70*VLOOKUP('Données projet'!$B$11,Paramètres!$A$1:$I$89,3,0)*0.475*44/12</f>
        <v>15.828379837671196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16.287556612888373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6.8933333333333326</v>
      </c>
      <c r="BY70" s="12">
        <f>IF('Données projet'!$A$114&gt;35,BY69+BX70-CG69,IF(A70&lt;'Données projet'!$A$114,$BV$205^A70,IF(A70='Données projet'!$A$114,'Données projet'!$B$114,BY69+BX70-CG69)))</f>
        <v>177.0033333333333</v>
      </c>
      <c r="BZ70" s="13">
        <f>BY70*VLOOKUP('Données projet'!$B$12,Paramètres!$A$1:$I$89,3,0)*VLOOKUP('Données projet'!$B$12,Paramètres!$A$1:$I$89,5,0)</f>
        <v>179.48137999999997</v>
      </c>
      <c r="CA70" s="13">
        <f t="shared" si="93"/>
        <v>45.20678340248292</v>
      </c>
      <c r="CB70" s="20">
        <f t="shared" si="64"/>
        <v>391.33188459265767</v>
      </c>
      <c r="CC70" s="59">
        <f t="shared" si="65"/>
        <v>684.66521792599099</v>
      </c>
      <c r="CD70" s="59">
        <f ca="1">AVERAGE(OFFSET($CC$3,0,0,'Données projet'!$E$12+1,1))-AVERAGE(OFFSET($H$3,0,0,'Données projet'!$E$12+1,1))</f>
        <v>372.05986520199804</v>
      </c>
      <c r="CE70" s="59">
        <f t="shared" si="94"/>
        <v>184.37981929432044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23.051039798553585</v>
      </c>
      <c r="CM70" s="21">
        <f>EXP(-LN(2)/2)*CM69+(1-EXP(-LN(2)/2))/(LN(2)/2)*CG70*CJ70*VLOOKUP('Données projet'!$B$12,Paramètres!$A$1:$I$89,3,0)*0.475*44/12</f>
        <v>1.2324406901820553</v>
      </c>
      <c r="CN70" s="22">
        <f t="shared" si="66"/>
        <v>24.283480488735641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9.733749999999997</v>
      </c>
      <c r="CT70" s="12">
        <f>IF('Données projet'!$A$140&gt;35,CT69+CS70-DB69,IF(A70&lt;'Données projet'!$A$140,$CQ$205^A70,IF(A70='Données projet'!$A$140,'Données projet'!$B$140,CT69+CS70-DB69)))</f>
        <v>242.82375000000033</v>
      </c>
      <c r="CU70" s="17">
        <f>CT70*VLOOKUP('Données projet'!$B$13,Paramètres!$A$1:$I$89,3,0)*VLOOKUP('Données projet'!$B$13,Paramètres!$A$1:$I$89,5,0)</f>
        <v>219.70692900000031</v>
      </c>
      <c r="CV70" s="13">
        <f t="shared" si="95"/>
        <v>54.051183245794981</v>
      </c>
      <c r="CW70" s="20">
        <f t="shared" si="67"/>
        <v>476.79537882809342</v>
      </c>
      <c r="CX70" s="59">
        <f t="shared" si="68"/>
        <v>770.12871216142673</v>
      </c>
      <c r="CY70" s="59">
        <f ca="1">AVERAGE(OFFSET($CX$3,0,0,'Données projet'!$E$13+1,1))-AVERAGE(OFFSET($H$3,0,0,'Données projet'!$E$13+1,1))</f>
        <v>479.84731392413374</v>
      </c>
      <c r="CZ70" s="59">
        <f t="shared" si="96"/>
        <v>203.57601099841213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7.9222373986385248</v>
      </c>
      <c r="DG70" s="21">
        <f>EXP(-LN(2)/25)*DG69+(1-EXP(-LN(2)/25))/(LN(2)/25)*Calculateur!DB70*Calculateur!DD70*VLOOKUP('Données projet'!$B$13,Paramètres!$A$1:$I$89,3,0)*0.475*44/12</f>
        <v>32.893117017752324</v>
      </c>
      <c r="DH70" s="21">
        <f>EXP(-LN(2)/2)*DH69+(1-EXP(-LN(2)/2))/(LN(2)/2)*DB70*DE70*VLOOKUP('Données projet'!$B$13,Paramètres!$A$1:$I$89,3,0)*0.475*44/12</f>
        <v>3.6200701778093825</v>
      </c>
      <c r="DI70" s="22">
        <f t="shared" si="69"/>
        <v>44.435424594200228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1.1368683772161603E-13</v>
      </c>
      <c r="O71" s="13">
        <f>N71*VLOOKUP('Données projet'!$B$9,Paramètres!$A$1:$I$89,3,0)*VLOOKUP('Données projet'!$B$9,Paramètres!$A$1:$I$89,5,0)</f>
        <v>6.7984728957526396E-14</v>
      </c>
      <c r="P71" s="13">
        <f t="shared" si="87"/>
        <v>1.0682447123141398E-12</v>
      </c>
      <c r="Q71" s="20">
        <f t="shared" si="54"/>
        <v>1.978932943548152E-12</v>
      </c>
      <c r="R71" s="59">
        <f t="shared" si="55"/>
        <v>293.3333333333353</v>
      </c>
      <c r="S71" s="59">
        <f ca="1">AVERAGE(OFFSET($R$3,0,0,'Données projet'!$E$9+1,1))-AVERAGE(OFFSET($H$3,0,0,'Données projet'!$E$9+1,1))</f>
        <v>322.7909000321435</v>
      </c>
      <c r="T71" s="59">
        <f t="shared" si="88"/>
        <v>403.23516981532316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140.36556263416614</v>
      </c>
      <c r="AA71" s="21">
        <f>EXP(-LN(2)/25)*AA70+(1-EXP(-LN(2)/25))/(LN(2)/25)*Calculateur!V71*Calculateur!X71*VLOOKUP('Données projet'!$B$9,Paramètres!$A$1:$I$89,3,0)*0.475*44/12</f>
        <v>44.215287159558031</v>
      </c>
      <c r="AB71" s="21">
        <f>EXP(-LN(2)/2)*AB70+(1-EXP(-LN(2)/2))/(LN(2)/2)*V71*Y71*VLOOKUP('Données projet'!$B$9,Paramètres!$A$1:$I$89,3,0)*0.475*44/12</f>
        <v>1.2078798756568725</v>
      </c>
      <c r="AC71" s="22">
        <f t="shared" si="57"/>
        <v>185.78872966938104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11.327500000000001</v>
      </c>
      <c r="AI71" s="13">
        <f>IF('Données projet'!$A$62&gt;35,AI70+AH71-AQ70,IF(A71&lt;'Données projet'!$A$62,$AF$205^A71,IF(A71='Données projet'!$A$62,'Données projet'!$B$62,AI70+AH71-AQ70)))</f>
        <v>316.21749999999997</v>
      </c>
      <c r="AJ71" s="13">
        <f>AI71*VLOOKUP('Données projet'!$B$10,Paramètres!$A$1:$I$89,3,0)*VLOOKUP('Données projet'!$B$10,Paramètres!$A$1:$I$89,5,0)</f>
        <v>147.98979</v>
      </c>
      <c r="AK71" s="13">
        <f t="shared" si="89"/>
        <v>38.121400087534369</v>
      </c>
      <c r="AL71" s="20">
        <f t="shared" si="58"/>
        <v>324.1436560691223</v>
      </c>
      <c r="AM71" s="59">
        <f t="shared" si="59"/>
        <v>617.47698940245562</v>
      </c>
      <c r="AN71" s="59">
        <f ca="1">AVERAGE(OFFSET($AM$3,0,0,'Données projet'!$E$10+1,1))-AVERAGE(OFFSET($H$3,0,0,'Données projet'!$E$10+1,1))</f>
        <v>187.82209112143374</v>
      </c>
      <c r="AO71" s="59">
        <f t="shared" si="90"/>
        <v>158.99136654880203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27.641420343413927</v>
      </c>
      <c r="AV71" s="21">
        <f>EXP(-LN(2)/25)*AV70+(1-EXP(-LN(2)/25))/(LN(2)/25)*Calculateur!AQ71*Calculateur!AS71*VLOOKUP('Données projet'!$B$10,Paramètres!$A$1:$I$89,3,0)*0.475*44/12</f>
        <v>14.823628207378798</v>
      </c>
      <c r="AW71" s="21">
        <f>EXP(-LN(2)/2)*AW70+(1-EXP(-LN(2)/2))/(LN(2)/2)*AQ71*AT71*VLOOKUP('Données projet'!$B$10,Paramètres!$A$1:$I$89,3,0)*0.475*44/12</f>
        <v>2.2219884627151996</v>
      </c>
      <c r="AX71" s="21">
        <f t="shared" si="60"/>
        <v>44.687037013507926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2.6923076923076907</v>
      </c>
      <c r="BD71" s="12">
        <f>IF('Données projet'!$A$88&gt;35,BD70+BC71-BL70,IF(A71&lt;'Données projet'!$A$88,$BA$205^A71,IF(A71='Données projet'!$A$88,'Données projet'!$B$88,BD70+BC71-BL70)))</f>
        <v>123.46153846153838</v>
      </c>
      <c r="BE71" s="13">
        <f>BD71*VLOOKUP('Données projet'!$B$11,Paramètres!$A$1:$I$89,3,0)*VLOOKUP('Données projet'!$B$11,Paramètres!$A$1:$I$89,5,0)</f>
        <v>129.04199999999992</v>
      </c>
      <c r="BF71" s="13">
        <f t="shared" si="91"/>
        <v>33.77489845718803</v>
      </c>
      <c r="BG71" s="20">
        <f t="shared" si="61"/>
        <v>283.5727648129357</v>
      </c>
      <c r="BH71" s="59">
        <f t="shared" si="62"/>
        <v>576.90609814626896</v>
      </c>
      <c r="BI71" s="59">
        <f ca="1">AVERAGE(OFFSET($BH$3,0,0,'Données projet'!$E$11+1,1))-AVERAGE(OFFSET($H$3,0,0,'Données projet'!$E$11+1,1))</f>
        <v>140.32771978791288</v>
      </c>
      <c r="BJ71" s="59">
        <f t="shared" si="92"/>
        <v>135.76866977947634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0.45017259872534476</v>
      </c>
      <c r="BQ71" s="21">
        <f>EXP(-LN(2)/25)*BQ70+(1-EXP(-LN(2)/25))/(LN(2)/25)*Calculateur!BL71*Calculateur!BN71*VLOOKUP('Données projet'!$B$11,Paramètres!$A$1:$I$89,3,0)*0.475*44/12</f>
        <v>15.395551958631758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15.845724557357103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6.8933333333333326</v>
      </c>
      <c r="BY71" s="12">
        <f>IF('Données projet'!$A$114&gt;35,BY70+BX71-CG70,IF(A71&lt;'Données projet'!$A$114,$BV$205^A71,IF(A71='Données projet'!$A$114,'Données projet'!$B$114,BY70+BX71-CG70)))</f>
        <v>183.89666666666665</v>
      </c>
      <c r="BZ71" s="13">
        <f>BY71*VLOOKUP('Données projet'!$B$12,Paramètres!$A$1:$I$89,3,0)*VLOOKUP('Données projet'!$B$12,Paramètres!$A$1:$I$89,5,0)</f>
        <v>186.47121999999999</v>
      </c>
      <c r="CA71" s="13">
        <f t="shared" si="93"/>
        <v>46.758940514498235</v>
      </c>
      <c r="CB71" s="20">
        <f t="shared" si="64"/>
        <v>406.20919622941773</v>
      </c>
      <c r="CC71" s="59">
        <f t="shared" si="65"/>
        <v>699.54252956275104</v>
      </c>
      <c r="CD71" s="59">
        <f ca="1">AVERAGE(OFFSET($CC$3,0,0,'Données projet'!$E$12+1,1))-AVERAGE(OFFSET($H$3,0,0,'Données projet'!$E$12+1,1))</f>
        <v>372.05986520199804</v>
      </c>
      <c r="CE71" s="59">
        <f t="shared" si="94"/>
        <v>184.37981929432044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22.420707903060638</v>
      </c>
      <c r="CM71" s="21">
        <f>EXP(-LN(2)/2)*CM70+(1-EXP(-LN(2)/2))/(LN(2)/2)*CG71*CJ71*VLOOKUP('Données projet'!$B$12,Paramètres!$A$1:$I$89,3,0)*0.475*44/12</f>
        <v>0.87146716943796021</v>
      </c>
      <c r="CN71" s="22">
        <f t="shared" si="66"/>
        <v>23.292175072498598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9.733749999999997</v>
      </c>
      <c r="CT71" s="12">
        <f>IF('Données projet'!$A$140&gt;35,CT70+CS71-DB70,IF(A71&lt;'Données projet'!$A$140,$CQ$205^A71,IF(A71='Données projet'!$A$140,'Données projet'!$B$140,CT70+CS71-DB70)))</f>
        <v>252.55750000000032</v>
      </c>
      <c r="CU71" s="17">
        <f>CT71*VLOOKUP('Données projet'!$B$13,Paramètres!$A$1:$I$89,3,0)*VLOOKUP('Données projet'!$B$13,Paramètres!$A$1:$I$89,5,0)</f>
        <v>228.51402600000029</v>
      </c>
      <c r="CV71" s="13">
        <f t="shared" si="95"/>
        <v>55.96125810397254</v>
      </c>
      <c r="CW71" s="20">
        <f t="shared" si="67"/>
        <v>495.46111981441936</v>
      </c>
      <c r="CX71" s="59">
        <f t="shared" si="68"/>
        <v>788.79445314775262</v>
      </c>
      <c r="CY71" s="59">
        <f ca="1">AVERAGE(OFFSET($CX$3,0,0,'Données projet'!$E$13+1,1))-AVERAGE(OFFSET($H$3,0,0,'Données projet'!$E$13+1,1))</f>
        <v>479.84731392413374</v>
      </c>
      <c r="CZ71" s="59">
        <f t="shared" si="96"/>
        <v>203.57601099841213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7.7668871553389076</v>
      </c>
      <c r="DG71" s="21">
        <f>EXP(-LN(2)/25)*DG70+(1-EXP(-LN(2)/25))/(LN(2)/25)*Calculateur!DB71*Calculateur!DD71*VLOOKUP('Données projet'!$B$13,Paramètres!$A$1:$I$89,3,0)*0.475*44/12</f>
        <v>31.993653003128042</v>
      </c>
      <c r="DH71" s="21">
        <f>EXP(-LN(2)/2)*DH70+(1-EXP(-LN(2)/2))/(LN(2)/2)*DB71*DE71*VLOOKUP('Données projet'!$B$13,Paramètres!$A$1:$I$89,3,0)*0.475*44/12</f>
        <v>2.5597761711002054</v>
      </c>
      <c r="DI71" s="22">
        <f t="shared" si="69"/>
        <v>42.320316329567156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1.1368683772161603E-13</v>
      </c>
      <c r="O72" s="13">
        <f>N72*VLOOKUP('Données projet'!$B$9,Paramètres!$A$1:$I$89,3,0)*VLOOKUP('Données projet'!$B$9,Paramètres!$A$1:$I$89,5,0)</f>
        <v>6.7984728957526396E-14</v>
      </c>
      <c r="P72" s="13">
        <f t="shared" si="87"/>
        <v>1.0682447123141398E-12</v>
      </c>
      <c r="Q72" s="20">
        <f t="shared" si="54"/>
        <v>1.978932943548152E-12</v>
      </c>
      <c r="R72" s="59">
        <f t="shared" si="55"/>
        <v>293.3333333333353</v>
      </c>
      <c r="S72" s="59">
        <f ca="1">AVERAGE(OFFSET($R$3,0,0,'Données projet'!$E$9+1,1))-AVERAGE(OFFSET($H$3,0,0,'Données projet'!$E$9+1,1))</f>
        <v>322.7909000321435</v>
      </c>
      <c r="T72" s="59">
        <f t="shared" si="88"/>
        <v>403.23516981532316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137.61307956544962</v>
      </c>
      <c r="AA72" s="21">
        <f>EXP(-LN(2)/25)*AA71+(1-EXP(-LN(2)/25))/(LN(2)/25)*Calculateur!V72*Calculateur!X72*VLOOKUP('Données projet'!$B$9,Paramètres!$A$1:$I$89,3,0)*0.475*44/12</f>
        <v>43.006217806999018</v>
      </c>
      <c r="AB72" s="21">
        <f>EXP(-LN(2)/2)*AB71+(1-EXP(-LN(2)/2))/(LN(2)/2)*V72*Y72*VLOOKUP('Données projet'!$B$9,Paramètres!$A$1:$I$89,3,0)*0.475*44/12</f>
        <v>0.85410005093573838</v>
      </c>
      <c r="AC72" s="22">
        <f t="shared" si="57"/>
        <v>181.47339742338437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11.327500000000001</v>
      </c>
      <c r="AI72" s="13">
        <f>IF('Données projet'!$A$62&gt;35,AI71+AH72-AQ71,IF(A72&lt;'Données projet'!$A$62,$AF$205^A72,IF(A72='Données projet'!$A$62,'Données projet'!$B$62,AI71+AH72-AQ71)))</f>
        <v>327.54499999999996</v>
      </c>
      <c r="AJ72" s="13">
        <f>AI72*VLOOKUP('Données projet'!$B$10,Paramètres!$A$1:$I$89,3,0)*VLOOKUP('Données projet'!$B$10,Paramètres!$A$1:$I$89,5,0)</f>
        <v>153.29105999999996</v>
      </c>
      <c r="AK72" s="13">
        <f t="shared" si="89"/>
        <v>39.325543500070239</v>
      </c>
      <c r="AL72" s="20">
        <f t="shared" si="58"/>
        <v>335.47391776262225</v>
      </c>
      <c r="AM72" s="59">
        <f t="shared" si="59"/>
        <v>628.80725109595551</v>
      </c>
      <c r="AN72" s="59">
        <f ca="1">AVERAGE(OFFSET($AM$3,0,0,'Données projet'!$E$10+1,1))-AVERAGE(OFFSET($H$3,0,0,'Données projet'!$E$10+1,1))</f>
        <v>187.82209112143374</v>
      </c>
      <c r="AO72" s="59">
        <f t="shared" si="90"/>
        <v>158.99136654880203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27.099388950081241</v>
      </c>
      <c r="AV72" s="21">
        <f>EXP(-LN(2)/25)*AV71+(1-EXP(-LN(2)/25))/(LN(2)/25)*Calculateur!AQ72*Calculateur!AS72*VLOOKUP('Données projet'!$B$10,Paramètres!$A$1:$I$89,3,0)*0.475*44/12</f>
        <v>14.418275314507298</v>
      </c>
      <c r="AW72" s="21">
        <f>EXP(-LN(2)/2)*AW71+(1-EXP(-LN(2)/2))/(LN(2)/2)*AQ72*AT72*VLOOKUP('Données projet'!$B$10,Paramètres!$A$1:$I$89,3,0)*0.475*44/12</f>
        <v>1.5711831097041897</v>
      </c>
      <c r="AX72" s="21">
        <f t="shared" si="60"/>
        <v>43.088847374292726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2.6923076923076907</v>
      </c>
      <c r="BD72" s="12">
        <f>IF('Données projet'!$A$88&gt;35,BD71+BC72-BL71,IF(A72&lt;'Données projet'!$A$88,$BA$205^A72,IF(A72='Données projet'!$A$88,'Données projet'!$B$88,BD71+BC72-BL71)))</f>
        <v>126.15384615384608</v>
      </c>
      <c r="BE72" s="13">
        <f>BD72*VLOOKUP('Données projet'!$B$11,Paramètres!$A$1:$I$89,3,0)*VLOOKUP('Données projet'!$B$11,Paramètres!$A$1:$I$89,5,0)</f>
        <v>131.85599999999994</v>
      </c>
      <c r="BF72" s="13">
        <f t="shared" si="91"/>
        <v>34.424871965010759</v>
      </c>
      <c r="BG72" s="20">
        <f t="shared" si="61"/>
        <v>289.60585200572694</v>
      </c>
      <c r="BH72" s="59">
        <f t="shared" si="62"/>
        <v>582.93918533906026</v>
      </c>
      <c r="BI72" s="59">
        <f ca="1">AVERAGE(OFFSET($BH$3,0,0,'Données projet'!$E$11+1,1))-AVERAGE(OFFSET($H$3,0,0,'Données projet'!$E$11+1,1))</f>
        <v>140.32771978791288</v>
      </c>
      <c r="BJ72" s="59">
        <f t="shared" si="92"/>
        <v>135.76866977947634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0.44134498864251365</v>
      </c>
      <c r="BQ72" s="21">
        <f>EXP(-LN(2)/25)*BQ71+(1-EXP(-LN(2)/25))/(LN(2)/25)*Calculateur!BL72*Calculateur!BN72*VLOOKUP('Données projet'!$B$11,Paramètres!$A$1:$I$89,3,0)*0.475*44/12</f>
        <v>14.974559780706082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15.415904769348597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190.79</v>
      </c>
      <c r="BW72" s="12">
        <f>VLOOKUP(A72,'Données projet'!$A$113:$I$133,9,0)</f>
        <v>6.8933333333333326</v>
      </c>
      <c r="BX72" s="12">
        <f t="array" ref="BX72">INDEX(BW:BW,MIN(IF(ISNUMBER(BW72:BW268),ROW(BW72:BW268),"")))</f>
        <v>6.8933333333333326</v>
      </c>
      <c r="BY72" s="12">
        <f>IF('Données projet'!$A$114&gt;35,BY71+BX72-CG71,IF(A72&lt;'Données projet'!$A$114,$BV$205^A72,IF(A72='Données projet'!$A$114,'Données projet'!$B$114,BY71+BX72-CG71)))</f>
        <v>190.79</v>
      </c>
      <c r="BZ72" s="13">
        <f>BY72*VLOOKUP('Données projet'!$B$12,Paramètres!$A$1:$I$89,3,0)*VLOOKUP('Données projet'!$B$12,Paramètres!$A$1:$I$89,5,0)</f>
        <v>193.46106</v>
      </c>
      <c r="CA72" s="13">
        <f t="shared" si="93"/>
        <v>48.304338284801261</v>
      </c>
      <c r="CB72" s="20">
        <f t="shared" si="64"/>
        <v>421.07473534602883</v>
      </c>
      <c r="CC72" s="59">
        <f t="shared" si="65"/>
        <v>714.40806867936215</v>
      </c>
      <c r="CD72" s="59">
        <f ca="1">AVERAGE(OFFSET($CC$3,0,0,'Données projet'!$E$12+1,1))-AVERAGE(OFFSET($H$3,0,0,'Données projet'!$E$12+1,1))</f>
        <v>372.05986520199804</v>
      </c>
      <c r="CE72" s="59">
        <f t="shared" si="94"/>
        <v>184.37981929432044</v>
      </c>
      <c r="CF72" s="15">
        <f>IF(ISNA(VLOOKUP(A72,'Données projet'!$A$113:$I$133,3,0)),0,VLOOKUP(A72,'Données projet'!$A$113:$I$133,3,0))</f>
        <v>2</v>
      </c>
      <c r="CG72" s="15">
        <f>IF(ISNA(VLOOKUP(A72,'Données projet'!$A$113:$I$133,4,0)),0,VLOOKUP(A72,'Données projet'!$A$113:$I$133,4,0))</f>
        <v>42.22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0.34400000000000003</v>
      </c>
      <c r="CJ72" s="16">
        <f>IF(ISNA(VLOOKUP(A72,'Données projet'!$A$113:$I$133,7,0)),0%,VLOOKUP(A72,'Données projet'!$A$113:$I$133,7,0))</f>
        <v>0.2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38.02378583479539</v>
      </c>
      <c r="CM72" s="21">
        <f>EXP(-LN(2)/2)*CM71+(1-EXP(-LN(2)/2))/(LN(2)/2)*CG72*CJ72*VLOOKUP('Données projet'!$B$12,Paramètres!$A$1:$I$89,3,0)*0.475*44/12</f>
        <v>8.6949015897559168</v>
      </c>
      <c r="CN72" s="22">
        <f t="shared" si="66"/>
        <v>46.718687424551305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9.733749999999997</v>
      </c>
      <c r="CT72" s="12">
        <f>IF('Données projet'!$A$140&gt;35,CT71+CS72-DB71,IF(A72&lt;'Données projet'!$A$140,$CQ$205^A72,IF(A72='Données projet'!$A$140,'Données projet'!$B$140,CT71+CS72-DB71)))</f>
        <v>262.29125000000033</v>
      </c>
      <c r="CU72" s="17">
        <f>CT72*VLOOKUP('Données projet'!$B$13,Paramètres!$A$1:$I$89,3,0)*VLOOKUP('Données projet'!$B$13,Paramètres!$A$1:$I$89,5,0)</f>
        <v>237.32112300000028</v>
      </c>
      <c r="CV72" s="13">
        <f t="shared" si="95"/>
        <v>57.862781053141006</v>
      </c>
      <c r="CW72" s="20">
        <f t="shared" si="67"/>
        <v>514.11196622588784</v>
      </c>
      <c r="CX72" s="59">
        <f t="shared" si="68"/>
        <v>807.44529955922121</v>
      </c>
      <c r="CY72" s="59">
        <f ca="1">AVERAGE(OFFSET($CX$3,0,0,'Données projet'!$E$13+1,1))-AVERAGE(OFFSET($H$3,0,0,'Données projet'!$E$13+1,1))</f>
        <v>479.84731392413374</v>
      </c>
      <c r="CZ72" s="59">
        <f t="shared" si="96"/>
        <v>203.57601099841213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7.6145832355561032</v>
      </c>
      <c r="DG72" s="21">
        <f>EXP(-LN(2)/25)*DG71+(1-EXP(-LN(2)/25))/(LN(2)/25)*Calculateur!DB72*Calculateur!DD72*VLOOKUP('Données projet'!$B$13,Paramètres!$A$1:$I$89,3,0)*0.475*44/12</f>
        <v>31.118784879284416</v>
      </c>
      <c r="DH72" s="21">
        <f>EXP(-LN(2)/2)*DH71+(1-EXP(-LN(2)/2))/(LN(2)/2)*DB72*DE72*VLOOKUP('Données projet'!$B$13,Paramètres!$A$1:$I$89,3,0)*0.475*44/12</f>
        <v>1.8100350889046914</v>
      </c>
      <c r="DI72" s="22">
        <f t="shared" si="69"/>
        <v>40.543403203745207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1.1368683772161603E-13</v>
      </c>
      <c r="O73" s="13">
        <f>N73*VLOOKUP('Données projet'!$B$9,Paramètres!$A$1:$I$89,3,0)*VLOOKUP('Données projet'!$B$9,Paramètres!$A$1:$I$89,5,0)</f>
        <v>6.7984728957526396E-14</v>
      </c>
      <c r="P73" s="13">
        <f t="shared" si="87"/>
        <v>1.0682447123141398E-12</v>
      </c>
      <c r="Q73" s="20">
        <f t="shared" si="54"/>
        <v>1.978932943548152E-12</v>
      </c>
      <c r="R73" s="59">
        <f t="shared" si="55"/>
        <v>293.3333333333353</v>
      </c>
      <c r="S73" s="59">
        <f ca="1">AVERAGE(OFFSET($R$3,0,0,'Données projet'!$E$9+1,1))-AVERAGE(OFFSET($H$3,0,0,'Données projet'!$E$9+1,1))</f>
        <v>322.7909000321435</v>
      </c>
      <c r="T73" s="59">
        <f t="shared" si="88"/>
        <v>403.23516981532316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134.91457101086172</v>
      </c>
      <c r="AA73" s="21">
        <f>EXP(-LN(2)/25)*AA72+(1-EXP(-LN(2)/25))/(LN(2)/25)*Calculateur!V73*Calculateur!X73*VLOOKUP('Données projet'!$B$9,Paramètres!$A$1:$I$89,3,0)*0.475*44/12</f>
        <v>41.830210519467926</v>
      </c>
      <c r="AB73" s="21">
        <f>EXP(-LN(2)/2)*AB72+(1-EXP(-LN(2)/2))/(LN(2)/2)*V73*Y73*VLOOKUP('Données projet'!$B$9,Paramètres!$A$1:$I$89,3,0)*0.475*44/12</f>
        <v>0.60393993782843625</v>
      </c>
      <c r="AC73" s="22">
        <f t="shared" si="57"/>
        <v>177.34872146815809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11.327500000000001</v>
      </c>
      <c r="AI73" s="13">
        <f>IF('Données projet'!$A$62&gt;35,AI72+AH73-AQ72,IF(A73&lt;'Données projet'!$A$62,$AF$205^A73,IF(A73='Données projet'!$A$62,'Données projet'!$B$62,AI72+AH73-AQ72)))</f>
        <v>338.87249999999995</v>
      </c>
      <c r="AJ73" s="13">
        <f>AI73*VLOOKUP('Données projet'!$B$10,Paramètres!$A$1:$I$89,3,0)*VLOOKUP('Données projet'!$B$10,Paramètres!$A$1:$I$89,5,0)</f>
        <v>158.59232999999998</v>
      </c>
      <c r="AK73" s="13">
        <f t="shared" si="89"/>
        <v>40.524848399473683</v>
      </c>
      <c r="AL73" s="20">
        <f t="shared" si="58"/>
        <v>346.7957523790833</v>
      </c>
      <c r="AM73" s="59">
        <f t="shared" si="59"/>
        <v>640.12908571241655</v>
      </c>
      <c r="AN73" s="59">
        <f ca="1">AVERAGE(OFFSET($AM$3,0,0,'Données projet'!$E$10+1,1))-AVERAGE(OFFSET($H$3,0,0,'Données projet'!$E$10+1,1))</f>
        <v>187.82209112143374</v>
      </c>
      <c r="AO73" s="59">
        <f t="shared" si="90"/>
        <v>158.99136654880203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26.567986461765305</v>
      </c>
      <c r="AV73" s="21">
        <f>EXP(-LN(2)/25)*AV72+(1-EXP(-LN(2)/25))/(LN(2)/25)*Calculateur!AQ73*Calculateur!AS73*VLOOKUP('Données projet'!$B$10,Paramètres!$A$1:$I$89,3,0)*0.475*44/12</f>
        <v>14.024006817807951</v>
      </c>
      <c r="AW73" s="21">
        <f>EXP(-LN(2)/2)*AW72+(1-EXP(-LN(2)/2))/(LN(2)/2)*AQ73*AT73*VLOOKUP('Données projet'!$B$10,Paramètres!$A$1:$I$89,3,0)*0.475*44/12</f>
        <v>1.1109942313575998</v>
      </c>
      <c r="AX73" s="21">
        <f t="shared" si="60"/>
        <v>41.702987510930861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128.84615384615384</v>
      </c>
      <c r="BB73" s="12">
        <f>VLOOKUP(A73,'Données projet'!$A$87:$I$107,9,0)</f>
        <v>2.6923076923076907</v>
      </c>
      <c r="BC73" s="12">
        <f t="array" ref="BC73">INDEX(BB:BB,MIN(IF(ISNUMBER(BB73:BB269),ROW(BB73:BB269),"")))</f>
        <v>2.6923076923076907</v>
      </c>
      <c r="BD73" s="12">
        <f>IF('Données projet'!$A$88&gt;35,BD72+BC73-BL72,IF(A73&lt;'Données projet'!$A$88,$BA$205^A73,IF(A73='Données projet'!$A$88,'Données projet'!$B$88,BD72+BC73-BL72)))</f>
        <v>128.84615384615375</v>
      </c>
      <c r="BE73" s="13">
        <f>BD73*VLOOKUP('Données projet'!$B$11,Paramètres!$A$1:$I$89,3,0)*VLOOKUP('Données projet'!$B$11,Paramètres!$A$1:$I$89,5,0)</f>
        <v>134.66999999999993</v>
      </c>
      <c r="BF73" s="13">
        <f t="shared" si="91"/>
        <v>35.07323271794791</v>
      </c>
      <c r="BG73" s="20">
        <f t="shared" si="61"/>
        <v>295.63613031709252</v>
      </c>
      <c r="BH73" s="59">
        <f t="shared" si="62"/>
        <v>588.96946365042584</v>
      </c>
      <c r="BI73" s="59">
        <f ca="1">AVERAGE(OFFSET($BH$3,0,0,'Données projet'!$E$11+1,1))-AVERAGE(OFFSET($H$3,0,0,'Données projet'!$E$11+1,1))</f>
        <v>140.32771978791288</v>
      </c>
      <c r="BJ73" s="59">
        <f t="shared" si="92"/>
        <v>135.76866977947634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8.9743589743589745</v>
      </c>
      <c r="BM73" s="16">
        <f>IF(ISNA(VLOOKUP(A73,'Données projet'!$A$87:$I$107,5,0)),0%,VLOOKUP(A73,'Données projet'!$A$87:$I$107,5,0)*VLOOKUP('Données projet'!$B$11,Paramètres!$A$1:$I$89,7,0))</f>
        <v>4.3000000000000003E-2</v>
      </c>
      <c r="BN73" s="16">
        <f>IF(ISNA(VLOOKUP(A73,'Données projet'!$A$87:$I$107,6,0)),0%,VLOOKUP(A73,'Données projet'!$A$87:$I$107,6,0)*VLOOKUP('Données projet'!$B$11,Paramètres!$A$1:$I$89,7,0))</f>
        <v>0.215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0.87857090548991645</v>
      </c>
      <c r="BQ73" s="21">
        <f>EXP(-LN(2)/25)*BQ72+(1-EXP(-LN(2)/25))/(LN(2)/25)*Calculateur!BL73*Calculateur!BN73*VLOOKUP('Données projet'!$B$11,Paramètres!$A$1:$I$89,3,0)*0.475*44/12</f>
        <v>16.785703764835688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17.664274670325604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6.7437500000000021</v>
      </c>
      <c r="BY73" s="12">
        <f>IF('Données projet'!$A$114&gt;35,BY72+BX73-CG72,IF(A73&lt;'Données projet'!$A$114,$BV$205^A73,IF(A73='Données projet'!$A$114,'Données projet'!$B$114,BY72+BX73-CG72)))</f>
        <v>155.31375</v>
      </c>
      <c r="BZ73" s="13">
        <f>BY73*VLOOKUP('Données projet'!$B$12,Paramètres!$A$1:$I$89,3,0)*VLOOKUP('Données projet'!$B$12,Paramètres!$A$1:$I$89,5,0)</f>
        <v>157.48814250000001</v>
      </c>
      <c r="CA73" s="13">
        <f t="shared" si="93"/>
        <v>40.275438230597821</v>
      </c>
      <c r="CB73" s="20">
        <f t="shared" si="64"/>
        <v>344.43823643912452</v>
      </c>
      <c r="CC73" s="59">
        <f t="shared" si="65"/>
        <v>637.77156977245784</v>
      </c>
      <c r="CD73" s="59">
        <f ca="1">AVERAGE(OFFSET($CC$3,0,0,'Données projet'!$E$12+1,1))-AVERAGE(OFFSET($H$3,0,0,'Données projet'!$E$12+1,1))</f>
        <v>372.05986520199804</v>
      </c>
      <c r="CE73" s="59">
        <f t="shared" si="94"/>
        <v>184.37981929432044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36.984023411558915</v>
      </c>
      <c r="CM73" s="21">
        <f>EXP(-LN(2)/2)*CM72+(1-EXP(-LN(2)/2))/(LN(2)/2)*CG73*CJ73*VLOOKUP('Données projet'!$B$12,Paramètres!$A$1:$I$89,3,0)*0.475*44/12</f>
        <v>6.1482238758661021</v>
      </c>
      <c r="CN73" s="22">
        <f t="shared" si="66"/>
        <v>43.132247287425017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9.733749999999997</v>
      </c>
      <c r="CT73" s="12">
        <f>IF('Données projet'!$A$140&gt;35,CT72+CS73-DB72,IF(A73&lt;'Données projet'!$A$140,$CQ$205^A73,IF(A73='Données projet'!$A$140,'Données projet'!$B$140,CT72+CS73-DB72)))</f>
        <v>272.02500000000032</v>
      </c>
      <c r="CU73" s="17">
        <f>CT73*VLOOKUP('Données projet'!$B$13,Paramètres!$A$1:$I$89,3,0)*VLOOKUP('Données projet'!$B$13,Paramètres!$A$1:$I$89,5,0)</f>
        <v>246.12822000000025</v>
      </c>
      <c r="CV73" s="13">
        <f t="shared" si="95"/>
        <v>59.756105801003123</v>
      </c>
      <c r="CW73" s="20">
        <f t="shared" si="67"/>
        <v>532.74853410341427</v>
      </c>
      <c r="CX73" s="59">
        <f t="shared" si="68"/>
        <v>826.08186743674764</v>
      </c>
      <c r="CY73" s="59">
        <f ca="1">AVERAGE(OFFSET($CX$3,0,0,'Données projet'!$E$13+1,1))-AVERAGE(OFFSET($H$3,0,0,'Données projet'!$E$13+1,1))</f>
        <v>479.84731392413374</v>
      </c>
      <c r="CZ73" s="59">
        <f t="shared" si="96"/>
        <v>203.57601099841213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7.4652659027440214</v>
      </c>
      <c r="DG73" s="21">
        <f>EXP(-LN(2)/25)*DG72+(1-EXP(-LN(2)/25))/(LN(2)/25)*Calculateur!DB73*Calculateur!DD73*VLOOKUP('Données projet'!$B$13,Paramètres!$A$1:$I$89,3,0)*0.475*44/12</f>
        <v>30.267840070294611</v>
      </c>
      <c r="DH73" s="21">
        <f>EXP(-LN(2)/2)*DH72+(1-EXP(-LN(2)/2))/(LN(2)/2)*DB73*DE73*VLOOKUP('Données projet'!$B$13,Paramètres!$A$1:$I$89,3,0)*0.475*44/12</f>
        <v>1.2798880855501029</v>
      </c>
      <c r="DI73" s="22">
        <f t="shared" si="69"/>
        <v>39.012994058588738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6.7984728957526396E-14</v>
      </c>
      <c r="P74" s="13">
        <f t="shared" si="87"/>
        <v>1.0682447123141398E-12</v>
      </c>
      <c r="Q74" s="20">
        <f t="shared" si="54"/>
        <v>1.978932943548152E-12</v>
      </c>
      <c r="R74" s="59">
        <f t="shared" si="55"/>
        <v>293.3333333333353</v>
      </c>
      <c r="S74" s="59">
        <f ca="1">AVERAGE(OFFSET($R$3,0,0,'Données projet'!$E$9+1,1))-AVERAGE(OFFSET($H$3,0,0,'Données projet'!$E$9+1,1))</f>
        <v>322.7909000321435</v>
      </c>
      <c r="T74" s="59">
        <f t="shared" si="88"/>
        <v>403.23516981532316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132.2689785631016</v>
      </c>
      <c r="AA74" s="21">
        <f>EXP(-LN(2)/25)*AA73+(1-EXP(-LN(2)/25))/(LN(2)/25)*Calculateur!V74*Calculateur!X74*VLOOKUP('Données projet'!$B$9,Paramètres!$A$1:$I$89,3,0)*0.475*44/12</f>
        <v>40.686361213057907</v>
      </c>
      <c r="AB74" s="21">
        <f>EXP(-LN(2)/2)*AB73+(1-EXP(-LN(2)/2))/(LN(2)/2)*V74*Y74*VLOOKUP('Données projet'!$B$9,Paramètres!$A$1:$I$89,3,0)*0.475*44/12</f>
        <v>0.42705002546786919</v>
      </c>
      <c r="AC74" s="22">
        <f t="shared" si="57"/>
        <v>173.3823898016274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11.327500000000001</v>
      </c>
      <c r="AI74" s="13">
        <f>IF('Données projet'!$A$62&gt;35,AI73+AH74-AQ73,IF(A74&lt;'Données projet'!$A$62,$AF$205^A74,IF(A74='Données projet'!$A$62,'Données projet'!$B$62,AI73+AH74-AQ73)))</f>
        <v>350.19999999999993</v>
      </c>
      <c r="AJ74" s="13">
        <f>AI74*VLOOKUP('Données projet'!$B$10,Paramètres!$A$1:$I$89,3,0)*VLOOKUP('Données projet'!$B$10,Paramètres!$A$1:$I$89,5,0)</f>
        <v>163.89359999999996</v>
      </c>
      <c r="AK74" s="13">
        <f t="shared" si="89"/>
        <v>41.71949506642347</v>
      </c>
      <c r="AL74" s="20">
        <f t="shared" si="58"/>
        <v>358.10947390735413</v>
      </c>
      <c r="AM74" s="59">
        <f t="shared" si="59"/>
        <v>651.44280724068744</v>
      </c>
      <c r="AN74" s="59">
        <f ca="1">AVERAGE(OFFSET($AM$3,0,0,'Données projet'!$E$10+1,1))-AVERAGE(OFFSET($H$3,0,0,'Données projet'!$E$10+1,1))</f>
        <v>187.82209112143374</v>
      </c>
      <c r="AO74" s="59">
        <f t="shared" si="90"/>
        <v>158.99136654880203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26.04700445212173</v>
      </c>
      <c r="AV74" s="21">
        <f>EXP(-LN(2)/25)*AV73+(1-EXP(-LN(2)/25))/(LN(2)/25)*Calculateur!AQ74*Calculateur!AS74*VLOOKUP('Données projet'!$B$10,Paramètres!$A$1:$I$89,3,0)*0.475*44/12</f>
        <v>13.640519613884527</v>
      </c>
      <c r="AW74" s="21">
        <f>EXP(-LN(2)/2)*AW73+(1-EXP(-LN(2)/2))/(LN(2)/2)*AQ74*AT74*VLOOKUP('Données projet'!$B$10,Paramètres!$A$1:$I$89,3,0)*0.475*44/12</f>
        <v>0.78559155485209486</v>
      </c>
      <c r="AX74" s="21">
        <f t="shared" si="60"/>
        <v>40.473115620858351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2.1794871794871766</v>
      </c>
      <c r="BD74" s="12">
        <f>IF('Données projet'!$A$88&gt;35,BD73+BC74-BL73,IF(A74&lt;'Données projet'!$A$88,$BA$205^A74,IF(A74='Données projet'!$A$88,'Données projet'!$B$88,BD73+BC74-BL73)))</f>
        <v>122.05128205128196</v>
      </c>
      <c r="BE74" s="13">
        <f>BD74*VLOOKUP('Données projet'!$B$11,Paramètres!$A$1:$I$89,3,0)*VLOOKUP('Données projet'!$B$11,Paramètres!$A$1:$I$89,5,0)</f>
        <v>127.56799999999991</v>
      </c>
      <c r="BF74" s="13">
        <f t="shared" si="91"/>
        <v>33.43377937608831</v>
      </c>
      <c r="BG74" s="20">
        <f t="shared" si="61"/>
        <v>280.41143241335362</v>
      </c>
      <c r="BH74" s="59">
        <f t="shared" si="62"/>
        <v>573.74476574668688</v>
      </c>
      <c r="BI74" s="59">
        <f ca="1">AVERAGE(OFFSET($BH$3,0,0,'Données projet'!$E$11+1,1))-AVERAGE(OFFSET($H$3,0,0,'Données projet'!$E$11+1,1))</f>
        <v>140.32771978791288</v>
      </c>
      <c r="BJ74" s="59">
        <f t="shared" si="92"/>
        <v>135.76866977947634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0.8613426659085982</v>
      </c>
      <c r="BQ74" s="21">
        <f>EXP(-LN(2)/25)*BQ73+(1-EXP(-LN(2)/25))/(LN(2)/25)*Calculateur!BL74*Calculateur!BN74*VLOOKUP('Données projet'!$B$11,Paramètres!$A$1:$I$89,3,0)*0.475*44/12</f>
        <v>16.32669781266446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17.188040478573058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6.7437500000000021</v>
      </c>
      <c r="BY74" s="12">
        <f>IF('Données projet'!$A$114&gt;35,BY73+BX74-CG73,IF(A74&lt;'Données projet'!$A$114,$BV$205^A74,IF(A74='Données projet'!$A$114,'Données projet'!$B$114,BY73+BX74-CG73)))</f>
        <v>162.0575</v>
      </c>
      <c r="BZ74" s="13">
        <f>BY74*VLOOKUP('Données projet'!$B$12,Paramètres!$A$1:$I$89,3,0)*VLOOKUP('Données projet'!$B$12,Paramètres!$A$1:$I$89,5,0)</f>
        <v>164.32630500000002</v>
      </c>
      <c r="CA74" s="13">
        <f t="shared" si="93"/>
        <v>41.816805184010924</v>
      </c>
      <c r="CB74" s="20">
        <f t="shared" si="64"/>
        <v>359.03258357048571</v>
      </c>
      <c r="CC74" s="59">
        <f t="shared" si="65"/>
        <v>652.36591690381897</v>
      </c>
      <c r="CD74" s="59">
        <f ca="1">AVERAGE(OFFSET($CC$3,0,0,'Données projet'!$E$12+1,1))-AVERAGE(OFFSET($H$3,0,0,'Données projet'!$E$12+1,1))</f>
        <v>372.05986520199804</v>
      </c>
      <c r="CE74" s="59">
        <f t="shared" si="94"/>
        <v>184.37981929432044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35.972693346464574</v>
      </c>
      <c r="CM74" s="21">
        <f>EXP(-LN(2)/2)*CM73+(1-EXP(-LN(2)/2))/(LN(2)/2)*CG74*CJ74*VLOOKUP('Données projet'!$B$12,Paramètres!$A$1:$I$89,3,0)*0.475*44/12</f>
        <v>4.3474507948779593</v>
      </c>
      <c r="CN74" s="22">
        <f t="shared" si="66"/>
        <v>40.320144141342531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9.733749999999997</v>
      </c>
      <c r="CT74" s="12">
        <f>IF('Données projet'!$A$140&gt;35,CT73+CS74-DB73,IF(A74&lt;'Données projet'!$A$140,$CQ$205^A74,IF(A74='Données projet'!$A$140,'Données projet'!$B$140,CT73+CS74-DB73)))</f>
        <v>281.7587500000003</v>
      </c>
      <c r="CU74" s="17">
        <f>CT74*VLOOKUP('Données projet'!$B$13,Paramètres!$A$1:$I$89,3,0)*VLOOKUP('Données projet'!$B$13,Paramètres!$A$1:$I$89,5,0)</f>
        <v>254.93531700000028</v>
      </c>
      <c r="CV74" s="13">
        <f t="shared" si="95"/>
        <v>61.641559307209917</v>
      </c>
      <c r="CW74" s="20">
        <f t="shared" si="67"/>
        <v>551.37139290172445</v>
      </c>
      <c r="CX74" s="59">
        <f t="shared" si="68"/>
        <v>844.70472623505771</v>
      </c>
      <c r="CY74" s="59">
        <f ca="1">AVERAGE(OFFSET($CX$3,0,0,'Données projet'!$E$13+1,1))-AVERAGE(OFFSET($H$3,0,0,'Données projet'!$E$13+1,1))</f>
        <v>479.84731392413374</v>
      </c>
      <c r="CZ74" s="59">
        <f t="shared" si="96"/>
        <v>203.57601099841213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7.3188765917538046</v>
      </c>
      <c r="DG74" s="21">
        <f>EXP(-LN(2)/25)*DG73+(1-EXP(-LN(2)/25))/(LN(2)/25)*Calculateur!DB74*Calculateur!DD74*VLOOKUP('Données projet'!$B$13,Paramètres!$A$1:$I$89,3,0)*0.475*44/12</f>
        <v>29.440164391855873</v>
      </c>
      <c r="DH74" s="21">
        <f>EXP(-LN(2)/2)*DH73+(1-EXP(-LN(2)/2))/(LN(2)/2)*DB74*DE74*VLOOKUP('Données projet'!$B$13,Paramètres!$A$1:$I$89,3,0)*0.475*44/12</f>
        <v>0.90501754445234595</v>
      </c>
      <c r="DI74" s="22">
        <f t="shared" si="69"/>
        <v>37.664058528062029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6.7984728957526396E-14</v>
      </c>
      <c r="P75" s="13">
        <f t="shared" si="87"/>
        <v>1.0682447123141398E-12</v>
      </c>
      <c r="Q75" s="20">
        <f t="shared" si="54"/>
        <v>1.978932943548152E-12</v>
      </c>
      <c r="R75" s="59">
        <f t="shared" si="55"/>
        <v>293.3333333333353</v>
      </c>
      <c r="S75" s="59">
        <f ca="1">AVERAGE(OFFSET($R$3,0,0,'Données projet'!$E$9+1,1))-AVERAGE(OFFSET($H$3,0,0,'Données projet'!$E$9+1,1))</f>
        <v>322.7909000321435</v>
      </c>
      <c r="T75" s="59">
        <f t="shared" si="88"/>
        <v>403.23516981532316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129.67526456958998</v>
      </c>
      <c r="AA75" s="21">
        <f>EXP(-LN(2)/25)*AA74+(1-EXP(-LN(2)/25))/(LN(2)/25)*Calculateur!V75*Calculateur!X75*VLOOKUP('Données projet'!$B$9,Paramètres!$A$1:$I$89,3,0)*0.475*44/12</f>
        <v>39.573790526084089</v>
      </c>
      <c r="AB75" s="21">
        <f>EXP(-LN(2)/2)*AB74+(1-EXP(-LN(2)/2))/(LN(2)/2)*V75*Y75*VLOOKUP('Données projet'!$B$9,Paramètres!$A$1:$I$89,3,0)*0.475*44/12</f>
        <v>0.30196996891421812</v>
      </c>
      <c r="AC75" s="22">
        <f t="shared" si="57"/>
        <v>169.55102506458829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11.327500000000001</v>
      </c>
      <c r="AI75" s="13">
        <f>IF('Données projet'!$A$62&gt;35,AI74+AH75-AQ74,IF(A75&lt;'Données projet'!$A$62,$AF$205^A75,IF(A75='Données projet'!$A$62,'Données projet'!$B$62,AI74+AH75-AQ74)))</f>
        <v>361.52749999999992</v>
      </c>
      <c r="AJ75" s="13">
        <f>AI75*VLOOKUP('Données projet'!$B$10,Paramètres!$A$1:$I$89,3,0)*VLOOKUP('Données projet'!$B$10,Paramètres!$A$1:$I$89,5,0)</f>
        <v>169.19486999999998</v>
      </c>
      <c r="AK75" s="13">
        <f t="shared" si="89"/>
        <v>42.909651456861525</v>
      </c>
      <c r="AL75" s="20">
        <f t="shared" si="58"/>
        <v>369.41537487070042</v>
      </c>
      <c r="AM75" s="59">
        <f t="shared" si="59"/>
        <v>662.74870820403373</v>
      </c>
      <c r="AN75" s="59">
        <f ca="1">AVERAGE(OFFSET($AM$3,0,0,'Données projet'!$E$10+1,1))-AVERAGE(OFFSET($H$3,0,0,'Données projet'!$E$10+1,1))</f>
        <v>187.82209112143374</v>
      </c>
      <c r="AO75" s="59">
        <f t="shared" si="90"/>
        <v>158.99136654880203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25.536238581919616</v>
      </c>
      <c r="AV75" s="21">
        <f>EXP(-LN(2)/25)*AV74+(1-EXP(-LN(2)/25))/(LN(2)/25)*Calculateur!AQ75*Calculateur!AS75*VLOOKUP('Données projet'!$B$10,Paramètres!$A$1:$I$89,3,0)*0.475*44/12</f>
        <v>13.267518887719104</v>
      </c>
      <c r="AW75" s="21">
        <f>EXP(-LN(2)/2)*AW74+(1-EXP(-LN(2)/2))/(LN(2)/2)*AQ75*AT75*VLOOKUP('Données projet'!$B$10,Paramètres!$A$1:$I$89,3,0)*0.475*44/12</f>
        <v>0.55549711567879989</v>
      </c>
      <c r="AX75" s="21">
        <f t="shared" si="60"/>
        <v>39.359254585317515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2.1794871794871766</v>
      </c>
      <c r="BD75" s="12">
        <f>IF('Données projet'!$A$88&gt;35,BD74+BC75-BL74,IF(A75&lt;'Données projet'!$A$88,$BA$205^A75,IF(A75='Données projet'!$A$88,'Données projet'!$B$88,BD74+BC75-BL74)))</f>
        <v>124.23076923076914</v>
      </c>
      <c r="BE75" s="13">
        <f>BD75*VLOOKUP('Données projet'!$B$11,Paramètres!$A$1:$I$89,3,0)*VLOOKUP('Données projet'!$B$11,Paramètres!$A$1:$I$89,5,0)</f>
        <v>129.84599999999992</v>
      </c>
      <c r="BF75" s="13">
        <f t="shared" si="91"/>
        <v>33.960771999433035</v>
      </c>
      <c r="BG75" s="20">
        <f t="shared" si="61"/>
        <v>285.29679456567902</v>
      </c>
      <c r="BH75" s="59">
        <f t="shared" si="62"/>
        <v>578.63012789901234</v>
      </c>
      <c r="BI75" s="59">
        <f ca="1">AVERAGE(OFFSET($BH$3,0,0,'Données projet'!$E$11+1,1))-AVERAGE(OFFSET($H$3,0,0,'Données projet'!$E$11+1,1))</f>
        <v>140.32771978791288</v>
      </c>
      <c r="BJ75" s="59">
        <f t="shared" si="92"/>
        <v>135.76866977947634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0.84445226159728115</v>
      </c>
      <c r="BQ75" s="21">
        <f>EXP(-LN(2)/25)*BQ74+(1-EXP(-LN(2)/25))/(LN(2)/25)*Calculateur!BL75*Calculateur!BN75*VLOOKUP('Données projet'!$B$11,Paramètres!$A$1:$I$89,3,0)*0.475*44/12</f>
        <v>15.880243402393427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16.724695663990708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6.7437500000000021</v>
      </c>
      <c r="BY75" s="12">
        <f>IF('Données projet'!$A$114&gt;35,BY74+BX75-CG74,IF(A75&lt;'Données projet'!$A$114,$BV$205^A75,IF(A75='Données projet'!$A$114,'Données projet'!$B$114,BY74+BX75-CG74)))</f>
        <v>168.80125000000001</v>
      </c>
      <c r="BZ75" s="13">
        <f>BY75*VLOOKUP('Données projet'!$B$12,Paramètres!$A$1:$I$89,3,0)*VLOOKUP('Données projet'!$B$12,Paramètres!$A$1:$I$89,5,0)</f>
        <v>171.16446750000003</v>
      </c>
      <c r="CA75" s="13">
        <f t="shared" si="93"/>
        <v>43.350721861592397</v>
      </c>
      <c r="CB75" s="20">
        <f t="shared" si="64"/>
        <v>373.61395480477341</v>
      </c>
      <c r="CC75" s="59">
        <f t="shared" si="65"/>
        <v>666.94728813810673</v>
      </c>
      <c r="CD75" s="59">
        <f ca="1">AVERAGE(OFFSET($CC$3,0,0,'Données projet'!$E$12+1,1))-AVERAGE(OFFSET($H$3,0,0,'Données projet'!$E$12+1,1))</f>
        <v>372.05986520199804</v>
      </c>
      <c r="CE75" s="59">
        <f t="shared" si="94"/>
        <v>184.37981929432044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34.989018155183771</v>
      </c>
      <c r="CM75" s="21">
        <f>EXP(-LN(2)/2)*CM74+(1-EXP(-LN(2)/2))/(LN(2)/2)*CG75*CJ75*VLOOKUP('Données projet'!$B$12,Paramètres!$A$1:$I$89,3,0)*0.475*44/12</f>
        <v>3.0741119379330515</v>
      </c>
      <c r="CN75" s="22">
        <f t="shared" si="66"/>
        <v>38.063130093116825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9.733749999999997</v>
      </c>
      <c r="CT75" s="12">
        <f>IF('Données projet'!$A$140&gt;35,CT74+CS75-DB74,IF(A75&lt;'Données projet'!$A$140,$CQ$205^A75,IF(A75='Données projet'!$A$140,'Données projet'!$B$140,CT74+CS75-DB74)))</f>
        <v>291.49250000000029</v>
      </c>
      <c r="CU75" s="17">
        <f>CT75*VLOOKUP('Données projet'!$B$13,Paramètres!$A$1:$I$89,3,0)*VLOOKUP('Données projet'!$B$13,Paramètres!$A$1:$I$89,5,0)</f>
        <v>263.74241400000022</v>
      </c>
      <c r="CV75" s="13">
        <f t="shared" si="95"/>
        <v>63.519444659628142</v>
      </c>
      <c r="CW75" s="20">
        <f t="shared" si="67"/>
        <v>569.98107049885277</v>
      </c>
      <c r="CX75" s="59">
        <f t="shared" si="68"/>
        <v>863.31440383218614</v>
      </c>
      <c r="CY75" s="59">
        <f ca="1">AVERAGE(OFFSET($CX$3,0,0,'Données projet'!$E$13+1,1))-AVERAGE(OFFSET($H$3,0,0,'Données projet'!$E$13+1,1))</f>
        <v>479.84731392413374</v>
      </c>
      <c r="CZ75" s="59">
        <f t="shared" si="96"/>
        <v>203.57601099841213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7.175357885863443</v>
      </c>
      <c r="DG75" s="21">
        <f>EXP(-LN(2)/25)*DG74+(1-EXP(-LN(2)/25))/(LN(2)/25)*Calculateur!DB75*Calculateur!DD75*VLOOKUP('Données projet'!$B$13,Paramètres!$A$1:$I$89,3,0)*0.475*44/12</f>
        <v>28.635121548369614</v>
      </c>
      <c r="DH75" s="21">
        <f>EXP(-LN(2)/2)*DH74+(1-EXP(-LN(2)/2))/(LN(2)/2)*DB75*DE75*VLOOKUP('Données projet'!$B$13,Paramètres!$A$1:$I$89,3,0)*0.475*44/12</f>
        <v>0.63994404277505157</v>
      </c>
      <c r="DI75" s="22">
        <f t="shared" si="69"/>
        <v>36.450423477008108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6.7984728957526396E-14</v>
      </c>
      <c r="P76" s="13">
        <f t="shared" si="87"/>
        <v>1.0682447123141398E-12</v>
      </c>
      <c r="Q76" s="20">
        <f t="shared" si="54"/>
        <v>1.978932943548152E-12</v>
      </c>
      <c r="R76" s="59">
        <f t="shared" si="55"/>
        <v>293.3333333333353</v>
      </c>
      <c r="S76" s="59">
        <f ca="1">AVERAGE(OFFSET($R$3,0,0,'Données projet'!$E$9+1,1))-AVERAGE(OFFSET($H$3,0,0,'Données projet'!$E$9+1,1))</f>
        <v>322.7909000321435</v>
      </c>
      <c r="T76" s="59">
        <f t="shared" si="88"/>
        <v>403.23516981532316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127.13241172548182</v>
      </c>
      <c r="AA76" s="21">
        <f>EXP(-LN(2)/25)*AA75+(1-EXP(-LN(2)/25))/(LN(2)/25)*Calculateur!V76*Calculateur!X76*VLOOKUP('Données projet'!$B$9,Paramètres!$A$1:$I$89,3,0)*0.475*44/12</f>
        <v>38.491643143053125</v>
      </c>
      <c r="AB76" s="21">
        <f>EXP(-LN(2)/2)*AB75+(1-EXP(-LN(2)/2))/(LN(2)/2)*V76*Y76*VLOOKUP('Données projet'!$B$9,Paramètres!$A$1:$I$89,3,0)*0.475*44/12</f>
        <v>0.21352501273393459</v>
      </c>
      <c r="AC76" s="22">
        <f t="shared" si="57"/>
        <v>165.83757988126885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11.327500000000001</v>
      </c>
      <c r="AI76" s="13">
        <f>IF('Données projet'!$A$62&gt;35,AI75+AH76-AQ75,IF(A76&lt;'Données projet'!$A$62,$AF$205^A76,IF(A76='Données projet'!$A$62,'Données projet'!$B$62,AI75+AH76-AQ75)))</f>
        <v>372.8549999999999</v>
      </c>
      <c r="AJ76" s="13">
        <f>AI76*VLOOKUP('Données projet'!$B$10,Paramètres!$A$1:$I$89,3,0)*VLOOKUP('Données projet'!$B$10,Paramètres!$A$1:$I$89,5,0)</f>
        <v>174.49613999999997</v>
      </c>
      <c r="AK76" s="13">
        <f t="shared" si="89"/>
        <v>44.095474404040012</v>
      </c>
      <c r="AL76" s="20">
        <f t="shared" si="58"/>
        <v>380.71372842036959</v>
      </c>
      <c r="AM76" s="59">
        <f t="shared" si="59"/>
        <v>674.04706175370291</v>
      </c>
      <c r="AN76" s="59">
        <f ca="1">AVERAGE(OFFSET($AM$3,0,0,'Données projet'!$E$10+1,1))-AVERAGE(OFFSET($H$3,0,0,'Données projet'!$E$10+1,1))</f>
        <v>187.82209112143374</v>
      </c>
      <c r="AO76" s="59">
        <f t="shared" si="90"/>
        <v>158.99136654880203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25.035488518895747</v>
      </c>
      <c r="AV76" s="21">
        <f>EXP(-LN(2)/25)*AV75+(1-EXP(-LN(2)/25))/(LN(2)/25)*Calculateur!AQ76*Calculateur!AS76*VLOOKUP('Données projet'!$B$10,Paramètres!$A$1:$I$89,3,0)*0.475*44/12</f>
        <v>12.90471788602593</v>
      </c>
      <c r="AW76" s="21">
        <f>EXP(-LN(2)/2)*AW75+(1-EXP(-LN(2)/2))/(LN(2)/2)*AQ76*AT76*VLOOKUP('Données projet'!$B$10,Paramètres!$A$1:$I$89,3,0)*0.475*44/12</f>
        <v>0.39279577742604743</v>
      </c>
      <c r="AX76" s="21">
        <f t="shared" si="60"/>
        <v>38.33300218234772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2.1794871794871766</v>
      </c>
      <c r="BD76" s="12">
        <f>IF('Données projet'!$A$88&gt;35,BD75+BC76-BL75,IF(A76&lt;'Données projet'!$A$88,$BA$205^A76,IF(A76='Données projet'!$A$88,'Données projet'!$B$88,BD75+BC76-BL75)))</f>
        <v>126.41025641025632</v>
      </c>
      <c r="BE76" s="13">
        <f>BD76*VLOOKUP('Données projet'!$B$11,Paramètres!$A$1:$I$89,3,0)*VLOOKUP('Données projet'!$B$11,Paramètres!$A$1:$I$89,5,0)</f>
        <v>132.12399999999994</v>
      </c>
      <c r="BF76" s="13">
        <f t="shared" si="91"/>
        <v>34.486689488144428</v>
      </c>
      <c r="BG76" s="20">
        <f t="shared" si="61"/>
        <v>290.18028419185146</v>
      </c>
      <c r="BH76" s="59">
        <f t="shared" si="62"/>
        <v>583.51361752518483</v>
      </c>
      <c r="BI76" s="59">
        <f ca="1">AVERAGE(OFFSET($BH$3,0,0,'Données projet'!$E$11+1,1))-AVERAGE(OFFSET($H$3,0,0,'Données projet'!$E$11+1,1))</f>
        <v>140.32771978791288</v>
      </c>
      <c r="BJ76" s="59">
        <f t="shared" si="92"/>
        <v>135.76866977947634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0.82789306781237959</v>
      </c>
      <c r="BQ76" s="21">
        <f>EXP(-LN(2)/25)*BQ75+(1-EXP(-LN(2)/25))/(LN(2)/25)*Calculateur!BL76*Calculateur!BN76*VLOOKUP('Données projet'!$B$11,Paramètres!$A$1:$I$89,3,0)*0.475*44/12</f>
        <v>15.445997311449274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16.273890379261655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6.7437500000000021</v>
      </c>
      <c r="BY76" s="12">
        <f>IF('Données projet'!$A$114&gt;35,BY75+BX76-CG75,IF(A76&lt;'Données projet'!$A$114,$BV$205^A76,IF(A76='Données projet'!$A$114,'Données projet'!$B$114,BY75+BX76-CG75)))</f>
        <v>175.54500000000002</v>
      </c>
      <c r="BZ76" s="13">
        <f>BY76*VLOOKUP('Données projet'!$B$12,Paramètres!$A$1:$I$89,3,0)*VLOOKUP('Données projet'!$B$12,Paramètres!$A$1:$I$89,5,0)</f>
        <v>178.00263000000001</v>
      </c>
      <c r="CA76" s="13">
        <f t="shared" si="93"/>
        <v>44.877519962268245</v>
      </c>
      <c r="CB76" s="20">
        <f t="shared" si="64"/>
        <v>388.18292785095059</v>
      </c>
      <c r="CC76" s="59">
        <f t="shared" si="65"/>
        <v>681.51626118428385</v>
      </c>
      <c r="CD76" s="59">
        <f ca="1">AVERAGE(OFFSET($CC$3,0,0,'Données projet'!$E$12+1,1))-AVERAGE(OFFSET($H$3,0,0,'Données projet'!$E$12+1,1))</f>
        <v>372.05986520199804</v>
      </c>
      <c r="CE76" s="59">
        <f t="shared" si="94"/>
        <v>184.37981929432044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34.032241613737774</v>
      </c>
      <c r="CM76" s="21">
        <f>EXP(-LN(2)/2)*CM75+(1-EXP(-LN(2)/2))/(LN(2)/2)*CG76*CJ76*VLOOKUP('Données projet'!$B$12,Paramètres!$A$1:$I$89,3,0)*0.475*44/12</f>
        <v>2.1737253974389801</v>
      </c>
      <c r="CN76" s="22">
        <f t="shared" si="66"/>
        <v>36.205967011176753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9.733749999999997</v>
      </c>
      <c r="CT76" s="12">
        <f>IF('Données projet'!$A$140&gt;35,CT75+CS76-DB75,IF(A76&lt;'Données projet'!$A$140,$CQ$205^A76,IF(A76='Données projet'!$A$140,'Données projet'!$B$140,CT75+CS76-DB75)))</f>
        <v>301.22625000000028</v>
      </c>
      <c r="CU76" s="17">
        <f>CT76*VLOOKUP('Données projet'!$B$13,Paramètres!$A$1:$I$89,3,0)*VLOOKUP('Données projet'!$B$13,Paramètres!$A$1:$I$89,5,0)</f>
        <v>272.54951100000028</v>
      </c>
      <c r="CV76" s="13">
        <f t="shared" si="95"/>
        <v>65.390043555628168</v>
      </c>
      <c r="CW76" s="20">
        <f t="shared" si="67"/>
        <v>588.57805751771946</v>
      </c>
      <c r="CX76" s="59">
        <f t="shared" si="68"/>
        <v>881.91139085105283</v>
      </c>
      <c r="CY76" s="59">
        <f ca="1">AVERAGE(OFFSET($CX$3,0,0,'Données projet'!$E$13+1,1))-AVERAGE(OFFSET($H$3,0,0,'Données projet'!$E$13+1,1))</f>
        <v>479.84731392413374</v>
      </c>
      <c r="CZ76" s="59">
        <f t="shared" si="96"/>
        <v>203.57601099841213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7.0346534942578245</v>
      </c>
      <c r="DG76" s="21">
        <f>EXP(-LN(2)/25)*DG75+(1-EXP(-LN(2)/25))/(LN(2)/25)*Calculateur!DB76*Calculateur!DD76*VLOOKUP('Données projet'!$B$13,Paramètres!$A$1:$I$89,3,0)*0.475*44/12</f>
        <v>27.852092643773851</v>
      </c>
      <c r="DH76" s="21">
        <f>EXP(-LN(2)/2)*DH75+(1-EXP(-LN(2)/2))/(LN(2)/2)*DB76*DE76*VLOOKUP('Données projet'!$B$13,Paramètres!$A$1:$I$89,3,0)*0.475*44/12</f>
        <v>0.45250877222617303</v>
      </c>
      <c r="DI76" s="22">
        <f t="shared" si="69"/>
        <v>35.33925491025785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6.7984728957526396E-14</v>
      </c>
      <c r="P77" s="13">
        <f t="shared" si="87"/>
        <v>1.0682447123141398E-12</v>
      </c>
      <c r="Q77" s="20">
        <f t="shared" si="54"/>
        <v>1.978932943548152E-12</v>
      </c>
      <c r="R77" s="59">
        <f t="shared" si="55"/>
        <v>293.3333333333353</v>
      </c>
      <c r="S77" s="59">
        <f ca="1">AVERAGE(OFFSET($R$3,0,0,'Données projet'!$E$9+1,1))-AVERAGE(OFFSET($H$3,0,0,'Données projet'!$E$9+1,1))</f>
        <v>322.7909000321435</v>
      </c>
      <c r="T77" s="59">
        <f t="shared" si="88"/>
        <v>403.23516981532316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124.63942267465953</v>
      </c>
      <c r="AA77" s="21">
        <f>EXP(-LN(2)/25)*AA76+(1-EXP(-LN(2)/25))/(LN(2)/25)*Calculateur!V77*Calculateur!X77*VLOOKUP('Données projet'!$B$9,Paramètres!$A$1:$I$89,3,0)*0.475*44/12</f>
        <v>37.439087137118797</v>
      </c>
      <c r="AB77" s="21">
        <f>EXP(-LN(2)/2)*AB76+(1-EXP(-LN(2)/2))/(LN(2)/2)*V77*Y77*VLOOKUP('Données projet'!$B$9,Paramètres!$A$1:$I$89,3,0)*0.475*44/12</f>
        <v>0.15098498445710906</v>
      </c>
      <c r="AC77" s="22">
        <f t="shared" si="57"/>
        <v>162.22949479623543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11.327500000000001</v>
      </c>
      <c r="AI77" s="13">
        <f>IF('Données projet'!$A$62&gt;35,AI76+AH77-AQ76,IF(A77&lt;'Données projet'!$A$62,$AF$205^A77,IF(A77='Données projet'!$A$62,'Données projet'!$B$62,AI76+AH77-AQ76)))</f>
        <v>384.18249999999989</v>
      </c>
      <c r="AJ77" s="13">
        <f>AI77*VLOOKUP('Données projet'!$B$10,Paramètres!$A$1:$I$89,3,0)*VLOOKUP('Données projet'!$B$10,Paramètres!$A$1:$I$89,5,0)</f>
        <v>179.79740999999993</v>
      </c>
      <c r="AK77" s="13">
        <f t="shared" si="89"/>
        <v>45.277110670389604</v>
      </c>
      <c r="AL77" s="20">
        <f t="shared" si="58"/>
        <v>392.00479016759505</v>
      </c>
      <c r="AM77" s="59">
        <f t="shared" si="59"/>
        <v>685.3381235009283</v>
      </c>
      <c r="AN77" s="59">
        <f ca="1">AVERAGE(OFFSET($AM$3,0,0,'Données projet'!$E$10+1,1))-AVERAGE(OFFSET($H$3,0,0,'Données projet'!$E$10+1,1))</f>
        <v>187.82209112143374</v>
      </c>
      <c r="AO77" s="59">
        <f t="shared" si="90"/>
        <v>158.99136654880203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24.544557859180397</v>
      </c>
      <c r="AV77" s="21">
        <f>EXP(-LN(2)/25)*AV76+(1-EXP(-LN(2)/25))/(LN(2)/25)*Calculateur!AQ77*Calculateur!AS77*VLOOKUP('Données projet'!$B$10,Paramètres!$A$1:$I$89,3,0)*0.475*44/12</f>
        <v>12.551837696802931</v>
      </c>
      <c r="AW77" s="21">
        <f>EXP(-LN(2)/2)*AW76+(1-EXP(-LN(2)/2))/(LN(2)/2)*AQ77*AT77*VLOOKUP('Données projet'!$B$10,Paramètres!$A$1:$I$89,3,0)*0.475*44/12</f>
        <v>0.27774855783939995</v>
      </c>
      <c r="AX77" s="21">
        <f t="shared" si="60"/>
        <v>37.37414411382273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2.1794871794871766</v>
      </c>
      <c r="BD77" s="12">
        <f>IF('Données projet'!$A$88&gt;35,BD76+BC77-BL76,IF(A77&lt;'Données projet'!$A$88,$BA$205^A77,IF(A77='Données projet'!$A$88,'Données projet'!$B$88,BD76+BC77-BL76)))</f>
        <v>128.58974358974351</v>
      </c>
      <c r="BE77" s="13">
        <f>BD77*VLOOKUP('Données projet'!$B$11,Paramètres!$A$1:$I$89,3,0)*VLOOKUP('Données projet'!$B$11,Paramètres!$A$1:$I$89,5,0)</f>
        <v>134.40199999999993</v>
      </c>
      <c r="BF77" s="13">
        <f t="shared" si="91"/>
        <v>35.011552518023244</v>
      </c>
      <c r="BG77" s="20">
        <f t="shared" si="61"/>
        <v>295.06193730222367</v>
      </c>
      <c r="BH77" s="59">
        <f t="shared" si="62"/>
        <v>588.39527063555693</v>
      </c>
      <c r="BI77" s="59">
        <f ca="1">AVERAGE(OFFSET($BH$3,0,0,'Données projet'!$E$11+1,1))-AVERAGE(OFFSET($H$3,0,0,'Données projet'!$E$11+1,1))</f>
        <v>140.32771978791288</v>
      </c>
      <c r="BJ77" s="59">
        <f t="shared" si="92"/>
        <v>135.76866977947634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0.81165858971748905</v>
      </c>
      <c r="BQ77" s="21">
        <f>EXP(-LN(2)/25)*BQ76+(1-EXP(-LN(2)/25))/(LN(2)/25)*Calculateur!BL77*Calculateur!BN77*VLOOKUP('Données projet'!$B$11,Paramètres!$A$1:$I$89,3,0)*0.475*44/12</f>
        <v>15.023625702697997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15.835284292415485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6.7437500000000021</v>
      </c>
      <c r="BY77" s="12">
        <f>IF('Données projet'!$A$114&gt;35,BY76+BX77-CG76,IF(A77&lt;'Données projet'!$A$114,$BV$205^A77,IF(A77='Données projet'!$A$114,'Données projet'!$B$114,BY76+BX77-CG76)))</f>
        <v>182.28875000000002</v>
      </c>
      <c r="BZ77" s="13">
        <f>BY77*VLOOKUP('Données projet'!$B$12,Paramètres!$A$1:$I$89,3,0)*VLOOKUP('Données projet'!$B$12,Paramètres!$A$1:$I$89,5,0)</f>
        <v>184.84079250000005</v>
      </c>
      <c r="CA77" s="13">
        <f t="shared" si="93"/>
        <v>46.397504256544451</v>
      </c>
      <c r="CB77" s="20">
        <f t="shared" si="64"/>
        <v>402.74003351764833</v>
      </c>
      <c r="CC77" s="59">
        <f t="shared" si="65"/>
        <v>696.07336685098164</v>
      </c>
      <c r="CD77" s="59">
        <f ca="1">AVERAGE(OFFSET($CC$3,0,0,'Données projet'!$E$12+1,1))-AVERAGE(OFFSET($H$3,0,0,'Données projet'!$E$12+1,1))</f>
        <v>372.05986520199804</v>
      </c>
      <c r="CE77" s="59">
        <f t="shared" si="94"/>
        <v>184.37981929432044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33.101628177132312</v>
      </c>
      <c r="CM77" s="21">
        <f>EXP(-LN(2)/2)*CM76+(1-EXP(-LN(2)/2))/(LN(2)/2)*CG77*CJ77*VLOOKUP('Données projet'!$B$12,Paramètres!$A$1:$I$89,3,0)*0.475*44/12</f>
        <v>1.537055968966526</v>
      </c>
      <c r="CN77" s="22">
        <f t="shared" si="66"/>
        <v>34.638684146098839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310.95999999999998</v>
      </c>
      <c r="CR77" s="12">
        <f>VLOOKUP(A77,'Données projet'!$A$139:$I$159,9,0)</f>
        <v>9.733749999999997</v>
      </c>
      <c r="CS77" s="12">
        <f t="array" ref="CS77">INDEX(CR:CR,MIN(IF(ISNUMBER(CR77:CR273),ROW(CR77:CR273),"")))</f>
        <v>9.733749999999997</v>
      </c>
      <c r="CT77" s="12">
        <f>IF('Données projet'!$A$140&gt;35,CT76+CS77-DB76,IF(A77&lt;'Données projet'!$A$140,$CQ$205^A77,IF(A77='Données projet'!$A$140,'Données projet'!$B$140,CT76+CS77-DB76)))</f>
        <v>310.96000000000026</v>
      </c>
      <c r="CU77" s="17">
        <f>CT77*VLOOKUP('Données projet'!$B$13,Paramètres!$A$1:$I$89,3,0)*VLOOKUP('Données projet'!$B$13,Paramètres!$A$1:$I$89,5,0)</f>
        <v>281.35660800000022</v>
      </c>
      <c r="CV77" s="13">
        <f t="shared" si="95"/>
        <v>67.253618453644265</v>
      </c>
      <c r="CW77" s="20">
        <f t="shared" si="67"/>
        <v>607.16281107343082</v>
      </c>
      <c r="CX77" s="59">
        <f t="shared" si="68"/>
        <v>900.49614440676419</v>
      </c>
      <c r="CY77" s="59">
        <f ca="1">AVERAGE(OFFSET($CX$3,0,0,'Données projet'!$E$13+1,1))-AVERAGE(OFFSET($H$3,0,0,'Données projet'!$E$13+1,1))</f>
        <v>479.84731392413374</v>
      </c>
      <c r="CZ77" s="59">
        <f t="shared" si="96"/>
        <v>203.57601099841213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51.339999999999975</v>
      </c>
      <c r="DC77" s="16">
        <f>IF(ISNA(VLOOKUP(A77,'Données projet'!$A$139:$I$159,5,0)),0%,VLOOKUP(A77,'Données projet'!$A$139:$I$159,5,0)*VLOOKUP('Données projet'!$B$13,Paramètres!$A$1:$I$89,7,0))</f>
        <v>0.15049999999999999</v>
      </c>
      <c r="DD77" s="16">
        <f>IF(ISNA(VLOOKUP(A77,'Données projet'!$A$139:$I$159,6,0)),0%,VLOOKUP(A77,'Données projet'!$A$139:$I$159,6,0)*VLOOKUP('Données projet'!$B$13,Paramètres!$A$1:$I$89,7,0))</f>
        <v>8.6000000000000007E-2</v>
      </c>
      <c r="DE77" s="16">
        <f>IF(ISNA(VLOOKUP(A77,'Données projet'!$A$139:$I$159,7,0)),0%,VLOOKUP(A77,'Données projet'!$A$139:$I$159,7,0))</f>
        <v>0.1</v>
      </c>
      <c r="DF77" s="21">
        <f>EXP(-LN(2)/35)*DF76+(1-EXP(-LN(2)/35))/(LN(2)/35)*DB77*DC77*VLOOKUP('Données projet'!$B$13,Paramètres!$A$1:$I$89,3,0)*0.475*44/12</f>
        <v>14.625152268757301</v>
      </c>
      <c r="DG77" s="21">
        <f>EXP(-LN(2)/25)*DG76+(1-EXP(-LN(2)/25))/(LN(2)/25)*Calculateur!DB77*Calculateur!DD77*VLOOKUP('Données projet'!$B$13,Paramètres!$A$1:$I$89,3,0)*0.475*44/12</f>
        <v>31.489340968528012</v>
      </c>
      <c r="DH77" s="21">
        <f>EXP(-LN(2)/2)*DH76+(1-EXP(-LN(2)/2))/(LN(2)/2)*DB77*DE77*VLOOKUP('Données projet'!$B$13,Paramètres!$A$1:$I$89,3,0)*0.475*44/12</f>
        <v>4.7028840054751821</v>
      </c>
      <c r="DI77" s="22">
        <f t="shared" si="69"/>
        <v>50.8173772427605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6.7984728957526396E-14</v>
      </c>
      <c r="P78" s="13">
        <f t="shared" si="87"/>
        <v>1.0682447123141398E-12</v>
      </c>
      <c r="Q78" s="20">
        <f t="shared" si="54"/>
        <v>1.978932943548152E-12</v>
      </c>
      <c r="R78" s="59">
        <f t="shared" si="55"/>
        <v>293.3333333333353</v>
      </c>
      <c r="S78" s="59">
        <f ca="1">AVERAGE(OFFSET($R$3,0,0,'Données projet'!$E$9+1,1))-AVERAGE(OFFSET($H$3,0,0,'Données projet'!$E$9+1,1))</f>
        <v>322.7909000321435</v>
      </c>
      <c r="T78" s="59">
        <f t="shared" si="88"/>
        <v>403.23516981532316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122.19531961855068</v>
      </c>
      <c r="AA78" s="21">
        <f>EXP(-LN(2)/25)*AA77+(1-EXP(-LN(2)/25))/(LN(2)/25)*Calculateur!V78*Calculateur!X78*VLOOKUP('Données projet'!$B$9,Paramètres!$A$1:$I$89,3,0)*0.475*44/12</f>
        <v>36.415313330518259</v>
      </c>
      <c r="AB78" s="21">
        <f>EXP(-LN(2)/2)*AB77+(1-EXP(-LN(2)/2))/(LN(2)/2)*V78*Y78*VLOOKUP('Données projet'!$B$9,Paramètres!$A$1:$I$89,3,0)*0.475*44/12</f>
        <v>0.1067625063669673</v>
      </c>
      <c r="AC78" s="22">
        <f t="shared" si="57"/>
        <v>158.71739545543591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395.51</v>
      </c>
      <c r="AG78" s="12">
        <f>VLOOKUP(A78,'Données projet'!$A$61:$I$81,9,0)</f>
        <v>11.327500000000001</v>
      </c>
      <c r="AH78" s="12">
        <f t="array" ref="AH78">INDEX(AG:AG,MIN(IF(ISNUMBER(AG78:AG274),ROW(AG78:AG274),"")))</f>
        <v>11.327500000000001</v>
      </c>
      <c r="AI78" s="13">
        <f>IF('Données projet'!$A$62&gt;35,AI77+AH78-AQ77,IF(A78&lt;'Données projet'!$A$62,$AF$205^A78,IF(A78='Données projet'!$A$62,'Données projet'!$B$62,AI77+AH78-AQ77)))</f>
        <v>395.50999999999988</v>
      </c>
      <c r="AJ78" s="13">
        <f>AI78*VLOOKUP('Données projet'!$B$10,Paramètres!$A$1:$I$89,3,0)*VLOOKUP('Données projet'!$B$10,Paramètres!$A$1:$I$89,5,0)</f>
        <v>185.09867999999994</v>
      </c>
      <c r="AK78" s="13">
        <f t="shared" si="89"/>
        <v>46.454697871845575</v>
      </c>
      <c r="AL78" s="20">
        <f t="shared" si="58"/>
        <v>403.28879979346425</v>
      </c>
      <c r="AM78" s="59">
        <f t="shared" si="59"/>
        <v>696.62213312679751</v>
      </c>
      <c r="AN78" s="59">
        <f ca="1">AVERAGE(OFFSET($AM$3,0,0,'Données projet'!$E$10+1,1))-AVERAGE(OFFSET($H$3,0,0,'Données projet'!$E$10+1,1))</f>
        <v>187.82209112143374</v>
      </c>
      <c r="AO78" s="59">
        <f t="shared" si="90"/>
        <v>158.99136654880203</v>
      </c>
      <c r="AP78" s="15">
        <f>IF(ISNA(VLOOKUP(A78,'Données projet'!$A$61:$I$81,3,0)),0,VLOOKUP(A78,'Données projet'!$A$61:$I$81,3,0))</f>
        <v>3</v>
      </c>
      <c r="AQ78" s="15">
        <f>IF(ISNA(VLOOKUP(A78,'Données projet'!$A$61:$I$81,4,0)),0,VLOOKUP(A78,'Données projet'!$A$61:$I$81,4,0))</f>
        <v>93.759999999999991</v>
      </c>
      <c r="AR78" s="16">
        <f>IF(ISNA(VLOOKUP(A78,'Données projet'!$A$61:$I$81,5,0)),0%,VLOOKUP(A78,'Données projet'!$A$61:$I$81,5,0)*VLOOKUP('Données projet'!$B$10,Paramètres!$A$1:$I$89,7,0))</f>
        <v>0.33</v>
      </c>
      <c r="AS78" s="16">
        <f>IF(ISNA(VLOOKUP(A78,'Données projet'!$A$61:$I$81,6,0)),0%,VLOOKUP(A78,'Données projet'!$A$61:$I$81,6,0)*VLOOKUP('Données projet'!$B$10,Paramètres!$A$1:$I$89,7,0))</f>
        <v>0.11000000000000001</v>
      </c>
      <c r="AT78" s="16">
        <f>IF(ISNA(VLOOKUP(A78,'Données projet'!$A$61:$I$81,7,0)),0%,VLOOKUP(A78,'Données projet'!$A$61:$I$81,7,0))</f>
        <v>0.2</v>
      </c>
      <c r="AU78" s="21">
        <f>EXP(-LN(2)/35)*AU77+(1-EXP(-LN(2)/35))/(LN(2)/35)*AQ78*AR78*VLOOKUP('Données projet'!$B$10,Paramètres!$A$1:$I$89,3,0)*0.475*44/12</f>
        <v>43.272297905604148</v>
      </c>
      <c r="AV78" s="21">
        <f>EXP(-LN(2)/25)*AV77+(1-EXP(-LN(2)/25))/(LN(2)/25)*Calculateur!AQ78*Calculateur!AS78*VLOOKUP('Données projet'!$B$10,Paramètres!$A$1:$I$89,3,0)*0.475*44/12</f>
        <v>18.586410545065469</v>
      </c>
      <c r="AW78" s="21">
        <f>EXP(-LN(2)/2)*AW77+(1-EXP(-LN(2)/2))/(LN(2)/2)*AQ78*AT78*VLOOKUP('Données projet'!$B$10,Paramètres!$A$1:$I$89,3,0)*0.475*44/12</f>
        <v>10.132796068938246</v>
      </c>
      <c r="AX78" s="21">
        <f t="shared" si="60"/>
        <v>71.991504519607858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130.76923076923075</v>
      </c>
      <c r="BB78" s="12">
        <f>VLOOKUP(A78,'Données projet'!$A$87:$I$107,9,0)</f>
        <v>2.1794871794871766</v>
      </c>
      <c r="BC78" s="12">
        <f t="array" ref="BC78">INDEX(BB:BB,MIN(IF(ISNUMBER(BB78:BB274),ROW(BB78:BB274),"")))</f>
        <v>2.1794871794871766</v>
      </c>
      <c r="BD78" s="12">
        <f>IF('Données projet'!$A$88&gt;35,BD77+BC78-BL77,IF(A78&lt;'Données projet'!$A$88,$BA$205^A78,IF(A78='Données projet'!$A$88,'Données projet'!$B$88,BD77+BC78-BL77)))</f>
        <v>130.76923076923069</v>
      </c>
      <c r="BE78" s="13">
        <f>BD78*VLOOKUP('Données projet'!$B$11,Paramètres!$A$1:$I$89,3,0)*VLOOKUP('Données projet'!$B$11,Paramètres!$A$1:$I$89,5,0)</f>
        <v>136.67999999999992</v>
      </c>
      <c r="BF78" s="13">
        <f t="shared" si="91"/>
        <v>35.535381023829849</v>
      </c>
      <c r="BG78" s="20">
        <f t="shared" si="61"/>
        <v>299.94178861650352</v>
      </c>
      <c r="BH78" s="59">
        <f t="shared" si="62"/>
        <v>593.27512194983683</v>
      </c>
      <c r="BI78" s="59">
        <f ca="1">AVERAGE(OFFSET($BH$3,0,0,'Données projet'!$E$11+1,1))-AVERAGE(OFFSET($H$3,0,0,'Données projet'!$E$11+1,1))</f>
        <v>140.32771978791288</v>
      </c>
      <c r="BJ78" s="59">
        <f t="shared" si="92"/>
        <v>135.76866977947634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7.6923076923076916</v>
      </c>
      <c r="BM78" s="16">
        <f>IF(ISNA(VLOOKUP(A78,'Données projet'!$A$87:$I$107,5,0)),0%,VLOOKUP(A78,'Données projet'!$A$87:$I$107,5,0)*VLOOKUP('Données projet'!$B$11,Paramètres!$A$1:$I$89,7,0))</f>
        <v>4.3000000000000003E-2</v>
      </c>
      <c r="BN78" s="16">
        <f>IF(ISNA(VLOOKUP(A78,'Données projet'!$A$87:$I$107,6,0)),0%,VLOOKUP(A78,'Données projet'!$A$87:$I$107,6,0)*VLOOKUP('Données projet'!$B$11,Paramètres!$A$1:$I$89,7,0))</f>
        <v>0.215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1.177925679448117</v>
      </c>
      <c r="BQ78" s="21">
        <f>EXP(-LN(2)/25)*BQ77+(1-EXP(-LN(2)/25))/(LN(2)/25)*Calculateur!BL78*Calculateur!BN78*VLOOKUP('Données projet'!$B$11,Paramètres!$A$1:$I$89,3,0)*0.475*44/12</f>
        <v>16.516195961066057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17.694121640514172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6.7437500000000021</v>
      </c>
      <c r="BY78" s="12">
        <f>IF('Données projet'!$A$114&gt;35,BY77+BX78-CG77,IF(A78&lt;'Données projet'!$A$114,$BV$205^A78,IF(A78='Données projet'!$A$114,'Données projet'!$B$114,BY77+BX78-CG77)))</f>
        <v>189.03250000000003</v>
      </c>
      <c r="BZ78" s="13">
        <f>BY78*VLOOKUP('Données projet'!$B$12,Paramètres!$A$1:$I$89,3,0)*VLOOKUP('Données projet'!$B$12,Paramètres!$A$1:$I$89,5,0)</f>
        <v>191.67895500000003</v>
      </c>
      <c r="CA78" s="13">
        <f t="shared" si="93"/>
        <v>47.910955687340916</v>
      </c>
      <c r="CB78" s="20">
        <f t="shared" si="64"/>
        <v>417.28576111378544</v>
      </c>
      <c r="CC78" s="59">
        <f t="shared" si="65"/>
        <v>710.61909444711875</v>
      </c>
      <c r="CD78" s="59">
        <f ca="1">AVERAGE(OFFSET($CC$3,0,0,'Données projet'!$E$12+1,1))-AVERAGE(OFFSET($H$3,0,0,'Données projet'!$E$12+1,1))</f>
        <v>372.05986520199804</v>
      </c>
      <c r="CE78" s="59">
        <f t="shared" si="94"/>
        <v>184.37981929432044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32.196462413889655</v>
      </c>
      <c r="CM78" s="21">
        <f>EXP(-LN(2)/2)*CM77+(1-EXP(-LN(2)/2))/(LN(2)/2)*CG78*CJ78*VLOOKUP('Données projet'!$B$12,Paramètres!$A$1:$I$89,3,0)*0.475*44/12</f>
        <v>1.08686269871949</v>
      </c>
      <c r="CN78" s="22">
        <f t="shared" si="66"/>
        <v>33.283325112609148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9.546999999999997</v>
      </c>
      <c r="CT78" s="12">
        <f>IF('Données projet'!$A$140&gt;35,CT77+CS78-DB77,IF(A78&lt;'Données projet'!$A$140,$CQ$205^A78,IF(A78='Données projet'!$A$140,'Données projet'!$B$140,CT77+CS78-DB77)))</f>
        <v>269.16700000000031</v>
      </c>
      <c r="CU78" s="17">
        <f>CT78*VLOOKUP('Données projet'!$B$13,Paramètres!$A$1:$I$89,3,0)*VLOOKUP('Données projet'!$B$13,Paramètres!$A$1:$I$89,5,0)</f>
        <v>243.54230160000029</v>
      </c>
      <c r="CV78" s="13">
        <f t="shared" si="95"/>
        <v>59.201022808040776</v>
      </c>
      <c r="CW78" s="20">
        <f t="shared" si="67"/>
        <v>527.27795667733812</v>
      </c>
      <c r="CX78" s="59">
        <f t="shared" si="68"/>
        <v>820.61129001067138</v>
      </c>
      <c r="CY78" s="59">
        <f ca="1">AVERAGE(OFFSET($CX$3,0,0,'Données projet'!$E$13+1,1))-AVERAGE(OFFSET($H$3,0,0,'Données projet'!$E$13+1,1))</f>
        <v>479.84731392413374</v>
      </c>
      <c r="CZ78" s="59">
        <f t="shared" si="96"/>
        <v>203.57601099841213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14.338361953229031</v>
      </c>
      <c r="DG78" s="21">
        <f>EXP(-LN(2)/25)*DG77+(1-EXP(-LN(2)/25))/(LN(2)/25)*Calculateur!DB78*Calculateur!DD78*VLOOKUP('Données projet'!$B$13,Paramètres!$A$1:$I$89,3,0)*0.475*44/12</f>
        <v>30.628263283791142</v>
      </c>
      <c r="DH78" s="21">
        <f>EXP(-LN(2)/2)*DH77+(1-EXP(-LN(2)/2))/(LN(2)/2)*DB78*DE78*VLOOKUP('Données projet'!$B$13,Paramètres!$A$1:$I$89,3,0)*0.475*44/12</f>
        <v>3.3254411714052541</v>
      </c>
      <c r="DI78" s="22">
        <f t="shared" si="69"/>
        <v>48.292066408425427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6.7984728957526396E-14</v>
      </c>
      <c r="P79" s="13">
        <f t="shared" si="87"/>
        <v>1.0682447123141398E-12</v>
      </c>
      <c r="Q79" s="20">
        <f t="shared" si="54"/>
        <v>1.978932943548152E-12</v>
      </c>
      <c r="R79" s="59">
        <f t="shared" si="55"/>
        <v>293.3333333333353</v>
      </c>
      <c r="S79" s="59">
        <f ca="1">AVERAGE(OFFSET($R$3,0,0,'Données projet'!$E$9+1,1))-AVERAGE(OFFSET($H$3,0,0,'Données projet'!$E$9+1,1))</f>
        <v>322.7909000321435</v>
      </c>
      <c r="T79" s="59">
        <f t="shared" si="88"/>
        <v>403.23516981532316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119.79914393261647</v>
      </c>
      <c r="AA79" s="21">
        <f>EXP(-LN(2)/25)*AA78+(1-EXP(-LN(2)/25))/(LN(2)/25)*Calculateur!V79*Calculateur!X79*VLOOKUP('Données projet'!$B$9,Paramètres!$A$1:$I$89,3,0)*0.475*44/12</f>
        <v>35.419534672497136</v>
      </c>
      <c r="AB79" s="21">
        <f>EXP(-LN(2)/2)*AB78+(1-EXP(-LN(2)/2))/(LN(2)/2)*V79*Y79*VLOOKUP('Données projet'!$B$9,Paramètres!$A$1:$I$89,3,0)*0.475*44/12</f>
        <v>7.5492492228554531E-2</v>
      </c>
      <c r="AC79" s="22">
        <f t="shared" si="57"/>
        <v>155.29417109734217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10.417499999999999</v>
      </c>
      <c r="AI79" s="13">
        <f>IF('Données projet'!$A$62&gt;35,AI78+AH79-AQ78,IF(A79&lt;'Données projet'!$A$62,$AF$205^A79,IF(A79='Données projet'!$A$62,'Données projet'!$B$62,AI78+AH79-AQ78)))</f>
        <v>312.1674999999999</v>
      </c>
      <c r="AJ79" s="13">
        <f>AI79*VLOOKUP('Données projet'!$B$10,Paramètres!$A$1:$I$89,3,0)*VLOOKUP('Données projet'!$B$10,Paramètres!$A$1:$I$89,5,0)</f>
        <v>146.09438999999995</v>
      </c>
      <c r="AK79" s="13">
        <f t="shared" si="89"/>
        <v>37.689663525323951</v>
      </c>
      <c r="AL79" s="20">
        <f t="shared" si="58"/>
        <v>320.09055988993907</v>
      </c>
      <c r="AM79" s="59">
        <f t="shared" si="59"/>
        <v>613.42389322327244</v>
      </c>
      <c r="AN79" s="59">
        <f ca="1">AVERAGE(OFFSET($AM$3,0,0,'Données projet'!$E$10+1,1))-AVERAGE(OFFSET($H$3,0,0,'Données projet'!$E$10+1,1))</f>
        <v>187.82209112143374</v>
      </c>
      <c r="AO79" s="59">
        <f t="shared" si="90"/>
        <v>158.99136654880203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42.423754537170829</v>
      </c>
      <c r="AV79" s="21">
        <f>EXP(-LN(2)/25)*AV78+(1-EXP(-LN(2)/25))/(LN(2)/25)*Calculateur!AQ79*Calculateur!AS79*VLOOKUP('Données projet'!$B$10,Paramètres!$A$1:$I$89,3,0)*0.475*44/12</f>
        <v>18.078164171293803</v>
      </c>
      <c r="AW79" s="21">
        <f>EXP(-LN(2)/2)*AW78+(1-EXP(-LN(2)/2))/(LN(2)/2)*AQ79*AT79*VLOOKUP('Données projet'!$B$10,Paramètres!$A$1:$I$89,3,0)*0.475*44/12</f>
        <v>7.1649688127266256</v>
      </c>
      <c r="AX79" s="21">
        <f t="shared" si="60"/>
        <v>67.666887521191256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2.0512820512820582</v>
      </c>
      <c r="BD79" s="12">
        <f>IF('Données projet'!$A$88&gt;35,BD78+BC79-BL78,IF(A79&lt;'Données projet'!$A$88,$BA$205^A79,IF(A79='Données projet'!$A$88,'Données projet'!$B$88,BD78+BC79-BL78)))</f>
        <v>125.12820512820507</v>
      </c>
      <c r="BE79" s="13">
        <f>BD79*VLOOKUP('Données projet'!$B$11,Paramètres!$A$1:$I$89,3,0)*VLOOKUP('Données projet'!$B$11,Paramètres!$A$1:$I$89,5,0)</f>
        <v>130.78399999999993</v>
      </c>
      <c r="BF79" s="13">
        <f t="shared" si="91"/>
        <v>34.177455270520305</v>
      </c>
      <c r="BG79" s="20">
        <f t="shared" si="61"/>
        <v>287.30786792948942</v>
      </c>
      <c r="BH79" s="59">
        <f t="shared" si="62"/>
        <v>580.64120126282273</v>
      </c>
      <c r="BI79" s="59">
        <f ca="1">AVERAGE(OFFSET($BH$3,0,0,'Données projet'!$E$11+1,1))-AVERAGE(OFFSET($H$3,0,0,'Données projet'!$E$11+1,1))</f>
        <v>140.32771978791288</v>
      </c>
      <c r="BJ79" s="59">
        <f t="shared" si="92"/>
        <v>135.76866977947634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1.1548272753378614</v>
      </c>
      <c r="BQ79" s="21">
        <f>EXP(-LN(2)/25)*BQ78+(1-EXP(-LN(2)/25))/(LN(2)/25)*Calculateur!BL79*Calculateur!BN79*VLOOKUP('Données projet'!$B$11,Paramètres!$A$1:$I$89,3,0)*0.475*44/12</f>
        <v>16.064559713961707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17.219386989299569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6.7437500000000021</v>
      </c>
      <c r="BY79" s="12">
        <f>IF('Données projet'!$A$114&gt;35,BY78+BX79-CG78,IF(A79&lt;'Données projet'!$A$114,$BV$205^A79,IF(A79='Données projet'!$A$114,'Données projet'!$B$114,BY78+BX79-CG78)))</f>
        <v>195.77625000000003</v>
      </c>
      <c r="BZ79" s="13">
        <f>BY79*VLOOKUP('Données projet'!$B$12,Paramètres!$A$1:$I$89,3,0)*VLOOKUP('Données projet'!$B$12,Paramètres!$A$1:$I$89,5,0)</f>
        <v>198.51711750000004</v>
      </c>
      <c r="CA79" s="13">
        <f t="shared" si="93"/>
        <v>49.41813401590116</v>
      </c>
      <c r="CB79" s="20">
        <f t="shared" si="64"/>
        <v>431.8205630568612</v>
      </c>
      <c r="CC79" s="59">
        <f t="shared" si="65"/>
        <v>725.15389639019452</v>
      </c>
      <c r="CD79" s="59">
        <f ca="1">AVERAGE(OFFSET($CC$3,0,0,'Données projet'!$E$12+1,1))-AVERAGE(OFFSET($H$3,0,0,'Données projet'!$E$12+1,1))</f>
        <v>372.05986520199804</v>
      </c>
      <c r="CE79" s="59">
        <f t="shared" si="94"/>
        <v>184.37981929432044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31.316048456043472</v>
      </c>
      <c r="CM79" s="21">
        <f>EXP(-LN(2)/2)*CM78+(1-EXP(-LN(2)/2))/(LN(2)/2)*CG79*CJ79*VLOOKUP('Données projet'!$B$12,Paramètres!$A$1:$I$89,3,0)*0.475*44/12</f>
        <v>0.76852798448326298</v>
      </c>
      <c r="CN79" s="22">
        <f t="shared" si="66"/>
        <v>32.084576440526732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9.546999999999997</v>
      </c>
      <c r="CT79" s="12">
        <f>IF('Données projet'!$A$140&gt;35,CT78+CS79-DB78,IF(A79&lt;'Données projet'!$A$140,$CQ$205^A79,IF(A79='Données projet'!$A$140,'Données projet'!$B$140,CT78+CS79-DB78)))</f>
        <v>278.71400000000028</v>
      </c>
      <c r="CU79" s="17">
        <f>CT79*VLOOKUP('Données projet'!$B$13,Paramètres!$A$1:$I$89,3,0)*VLOOKUP('Données projet'!$B$13,Paramètres!$A$1:$I$89,5,0)</f>
        <v>252.18042720000025</v>
      </c>
      <c r="CV79" s="13">
        <f t="shared" si="95"/>
        <v>61.052610283141384</v>
      </c>
      <c r="CW79" s="20">
        <f t="shared" si="67"/>
        <v>545.54754028313835</v>
      </c>
      <c r="CX79" s="59">
        <f t="shared" si="68"/>
        <v>838.88087361647172</v>
      </c>
      <c r="CY79" s="59">
        <f ca="1">AVERAGE(OFFSET($CX$3,0,0,'Données projet'!$E$13+1,1))-AVERAGE(OFFSET($H$3,0,0,'Données projet'!$E$13+1,1))</f>
        <v>479.84731392413374</v>
      </c>
      <c r="CZ79" s="59">
        <f t="shared" si="96"/>
        <v>203.57601099841213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14.057195420863451</v>
      </c>
      <c r="DG79" s="21">
        <f>EXP(-LN(2)/25)*DG78+(1-EXP(-LN(2)/25))/(LN(2)/25)*Calculateur!DB79*Calculateur!DD79*VLOOKUP('Données projet'!$B$13,Paramètres!$A$1:$I$89,3,0)*0.475*44/12</f>
        <v>29.790731813625509</v>
      </c>
      <c r="DH79" s="21">
        <f>EXP(-LN(2)/2)*DH78+(1-EXP(-LN(2)/2))/(LN(2)/2)*DB79*DE79*VLOOKUP('Données projet'!$B$13,Paramètres!$A$1:$I$89,3,0)*0.475*44/12</f>
        <v>2.3514420027375915</v>
      </c>
      <c r="DI79" s="22">
        <f t="shared" si="69"/>
        <v>46.199369237226556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6.7984728957526396E-14</v>
      </c>
      <c r="P80" s="13">
        <f t="shared" si="87"/>
        <v>1.0682447123141398E-12</v>
      </c>
      <c r="Q80" s="20">
        <f t="shared" si="54"/>
        <v>1.978932943548152E-12</v>
      </c>
      <c r="R80" s="59">
        <f t="shared" si="55"/>
        <v>293.3333333333353</v>
      </c>
      <c r="S80" s="59">
        <f ca="1">AVERAGE(OFFSET($R$3,0,0,'Données projet'!$E$9+1,1))-AVERAGE(OFFSET($H$3,0,0,'Données projet'!$E$9+1,1))</f>
        <v>322.7909000321435</v>
      </c>
      <c r="T80" s="59">
        <f t="shared" si="88"/>
        <v>403.23516981532316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117.44995579036058</v>
      </c>
      <c r="AA80" s="21">
        <f>EXP(-LN(2)/25)*AA79+(1-EXP(-LN(2)/25))/(LN(2)/25)*Calculateur!V80*Calculateur!X80*VLOOKUP('Données projet'!$B$9,Paramètres!$A$1:$I$89,3,0)*0.475*44/12</f>
        <v>34.450985634245328</v>
      </c>
      <c r="AB80" s="21">
        <f>EXP(-LN(2)/2)*AB79+(1-EXP(-LN(2)/2))/(LN(2)/2)*V80*Y80*VLOOKUP('Données projet'!$B$9,Paramètres!$A$1:$I$89,3,0)*0.475*44/12</f>
        <v>5.3381253183483648E-2</v>
      </c>
      <c r="AC80" s="22">
        <f t="shared" si="57"/>
        <v>151.95432267778938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10.417499999999999</v>
      </c>
      <c r="AI80" s="13">
        <f>IF('Données projet'!$A$62&gt;35,AI79+AH80-AQ79,IF(A80&lt;'Données projet'!$A$62,$AF$205^A80,IF(A80='Données projet'!$A$62,'Données projet'!$B$62,AI79+AH80-AQ79)))</f>
        <v>322.58499999999992</v>
      </c>
      <c r="AJ80" s="13">
        <f>AI80*VLOOKUP('Données projet'!$B$10,Paramètres!$A$1:$I$89,3,0)*VLOOKUP('Données projet'!$B$10,Paramètres!$A$1:$I$89,5,0)</f>
        <v>150.96977999999996</v>
      </c>
      <c r="AK80" s="13">
        <f t="shared" si="89"/>
        <v>38.798888878952567</v>
      </c>
      <c r="AL80" s="20">
        <f t="shared" si="58"/>
        <v>330.51376496417566</v>
      </c>
      <c r="AM80" s="59">
        <f t="shared" si="59"/>
        <v>623.84709829750898</v>
      </c>
      <c r="AN80" s="59">
        <f ca="1">AVERAGE(OFFSET($AM$3,0,0,'Données projet'!$E$10+1,1))-AVERAGE(OFFSET($H$3,0,0,'Données projet'!$E$10+1,1))</f>
        <v>187.82209112143374</v>
      </c>
      <c r="AO80" s="59">
        <f t="shared" si="90"/>
        <v>158.99136654880203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41.591850586632141</v>
      </c>
      <c r="AV80" s="21">
        <f>EXP(-LN(2)/25)*AV79+(1-EXP(-LN(2)/25))/(LN(2)/25)*Calculateur!AQ80*Calculateur!AS80*VLOOKUP('Données projet'!$B$10,Paramètres!$A$1:$I$89,3,0)*0.475*44/12</f>
        <v>17.583815821340437</v>
      </c>
      <c r="AW80" s="21">
        <f>EXP(-LN(2)/2)*AW79+(1-EXP(-LN(2)/2))/(LN(2)/2)*AQ80*AT80*VLOOKUP('Données projet'!$B$10,Paramètres!$A$1:$I$89,3,0)*0.475*44/12</f>
        <v>5.066398034469124</v>
      </c>
      <c r="AX80" s="21">
        <f t="shared" si="60"/>
        <v>64.242064442441702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2.0512820512820582</v>
      </c>
      <c r="BD80" s="12">
        <f>IF('Données projet'!$A$88&gt;35,BD79+BC80-BL79,IF(A80&lt;'Données projet'!$A$88,$BA$205^A80,IF(A80='Données projet'!$A$88,'Données projet'!$B$88,BD79+BC80-BL79)))</f>
        <v>127.17948717948713</v>
      </c>
      <c r="BE80" s="13">
        <f>BD80*VLOOKUP('Données projet'!$B$11,Paramètres!$A$1:$I$89,3,0)*VLOOKUP('Données projet'!$B$11,Paramètres!$A$1:$I$89,5,0)</f>
        <v>132.92799999999994</v>
      </c>
      <c r="BF80" s="13">
        <f t="shared" si="91"/>
        <v>34.67205462685105</v>
      </c>
      <c r="BG80" s="20">
        <f t="shared" si="61"/>
        <v>291.90342847509879</v>
      </c>
      <c r="BH80" s="59">
        <f t="shared" si="62"/>
        <v>585.23676180843211</v>
      </c>
      <c r="BI80" s="59">
        <f ca="1">AVERAGE(OFFSET($BH$3,0,0,'Données projet'!$E$11+1,1))-AVERAGE(OFFSET($H$3,0,0,'Données projet'!$E$11+1,1))</f>
        <v>140.32771978791288</v>
      </c>
      <c r="BJ80" s="59">
        <f t="shared" si="92"/>
        <v>135.76866977947634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1.1321818168435727</v>
      </c>
      <c r="BQ80" s="21">
        <f>EXP(-LN(2)/25)*BQ79+(1-EXP(-LN(2)/25))/(LN(2)/25)*Calculateur!BL80*Calculateur!BN80*VLOOKUP('Données projet'!$B$11,Paramètres!$A$1:$I$89,3,0)*0.475*44/12</f>
        <v>15.625273483784945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16.757455300628518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>
        <f>VLOOKUP(A80,'Données projet'!$A$113:$I$133,2,0)</f>
        <v>202.52</v>
      </c>
      <c r="BW80" s="12">
        <f>VLOOKUP(A80,'Données projet'!$A$113:$I$133,9,0)</f>
        <v>6.7437500000000021</v>
      </c>
      <c r="BX80" s="12">
        <f t="array" ref="BX80">INDEX(BW:BW,MIN(IF(ISNUMBER(BW80:BW276),ROW(BW80:BW276),"")))</f>
        <v>6.7437500000000021</v>
      </c>
      <c r="BY80" s="12">
        <f>IF('Données projet'!$A$114&gt;35,BY79+BX80-CG79,IF(A80&lt;'Données projet'!$A$114,$BV$205^A80,IF(A80='Données projet'!$A$114,'Données projet'!$B$114,BY79+BX80-CG79)))</f>
        <v>202.52000000000004</v>
      </c>
      <c r="BZ80" s="13">
        <f>BY80*VLOOKUP('Données projet'!$B$12,Paramètres!$A$1:$I$89,3,0)*VLOOKUP('Données projet'!$B$12,Paramètres!$A$1:$I$89,5,0)</f>
        <v>205.35528000000005</v>
      </c>
      <c r="CA80" s="13">
        <f t="shared" si="93"/>
        <v>50.919280092893707</v>
      </c>
      <c r="CB80" s="20">
        <f t="shared" si="64"/>
        <v>446.34485882845661</v>
      </c>
      <c r="CC80" s="59">
        <f t="shared" si="65"/>
        <v>739.67819216178987</v>
      </c>
      <c r="CD80" s="59">
        <f ca="1">AVERAGE(OFFSET($CC$3,0,0,'Données projet'!$E$12+1,1))-AVERAGE(OFFSET($H$3,0,0,'Données projet'!$E$12+1,1))</f>
        <v>372.05986520199804</v>
      </c>
      <c r="CE80" s="59">
        <f t="shared" si="94"/>
        <v>184.37981929432044</v>
      </c>
      <c r="CF80" s="15">
        <f>IF(ISNA(VLOOKUP(A80,'Données projet'!$A$113:$I$133,3,0)),0,VLOOKUP(A80,'Données projet'!$A$113:$I$133,3,0))</f>
        <v>3</v>
      </c>
      <c r="CG80" s="15">
        <f>IF(ISNA(VLOOKUP(A80,'Données projet'!$A$113:$I$133,4,0)),0,VLOOKUP(A80,'Données projet'!$A$113:$I$133,4,0))</f>
        <v>33.950000000000017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0.34400000000000003</v>
      </c>
      <c r="CJ80" s="16">
        <f>IF(ISNA(VLOOKUP(A80,'Données projet'!$A$113:$I$133,7,0)),0%,VLOOKUP(A80,'Données projet'!$A$113:$I$133,7,0))</f>
        <v>0.2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43.499479380258421</v>
      </c>
      <c r="CM80" s="21">
        <f>EXP(-LN(2)/2)*CM79+(1-EXP(-LN(2)/2))/(LN(2)/2)*CG80*CJ80*VLOOKUP('Données projet'!$B$12,Paramètres!$A$1:$I$89,3,0)*0.475*44/12</f>
        <v>7.0396707680327228</v>
      </c>
      <c r="CN80" s="22">
        <f t="shared" si="66"/>
        <v>50.539150148291142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9.546999999999997</v>
      </c>
      <c r="CT80" s="12">
        <f>IF('Données projet'!$A$140&gt;35,CT79+CS80-DB79,IF(A80&lt;'Données projet'!$A$140,$CQ$205^A80,IF(A80='Données projet'!$A$140,'Données projet'!$B$140,CT79+CS80-DB79)))</f>
        <v>288.26100000000031</v>
      </c>
      <c r="CU80" s="17">
        <f>CT80*VLOOKUP('Données projet'!$B$13,Paramètres!$A$1:$I$89,3,0)*VLOOKUP('Données projet'!$B$13,Paramètres!$A$1:$I$89,5,0)</f>
        <v>260.8185528000003</v>
      </c>
      <c r="CV80" s="13">
        <f t="shared" si="95"/>
        <v>62.896828401660521</v>
      </c>
      <c r="CW80" s="20">
        <f t="shared" si="67"/>
        <v>563.80428892622592</v>
      </c>
      <c r="CX80" s="59">
        <f t="shared" si="68"/>
        <v>857.13762225955929</v>
      </c>
      <c r="CY80" s="59">
        <f ca="1">AVERAGE(OFFSET($CX$3,0,0,'Données projet'!$E$13+1,1))-AVERAGE(OFFSET($H$3,0,0,'Données projet'!$E$13+1,1))</f>
        <v>479.84731392413374</v>
      </c>
      <c r="CZ80" s="59">
        <f t="shared" si="96"/>
        <v>203.57601099841213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13.781542392702908</v>
      </c>
      <c r="DG80" s="21">
        <f>EXP(-LN(2)/25)*DG79+(1-EXP(-LN(2)/25))/(LN(2)/25)*Calculateur!DB80*Calculateur!DD80*VLOOKUP('Données projet'!$B$13,Paramètres!$A$1:$I$89,3,0)*0.475*44/12</f>
        <v>28.976102685555421</v>
      </c>
      <c r="DH80" s="21">
        <f>EXP(-LN(2)/2)*DH79+(1-EXP(-LN(2)/2))/(LN(2)/2)*DB80*DE80*VLOOKUP('Données projet'!$B$13,Paramètres!$A$1:$I$89,3,0)*0.475*44/12</f>
        <v>1.6627205857026273</v>
      </c>
      <c r="DI80" s="22">
        <f t="shared" si="69"/>
        <v>44.420365663960958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6.7984728957526396E-14</v>
      </c>
      <c r="P81" s="13">
        <f t="shared" si="87"/>
        <v>1.0682447123141398E-12</v>
      </c>
      <c r="Q81" s="20">
        <f t="shared" si="54"/>
        <v>1.978932943548152E-12</v>
      </c>
      <c r="R81" s="59">
        <f t="shared" si="55"/>
        <v>293.3333333333353</v>
      </c>
      <c r="S81" s="59">
        <f ca="1">AVERAGE(OFFSET($R$3,0,0,'Données projet'!$E$9+1,1))-AVERAGE(OFFSET($H$3,0,0,'Données projet'!$E$9+1,1))</f>
        <v>322.7909000321435</v>
      </c>
      <c r="T81" s="59">
        <f t="shared" si="88"/>
        <v>403.23516981532316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115.14683379471103</v>
      </c>
      <c r="AA81" s="21">
        <f>EXP(-LN(2)/25)*AA80+(1-EXP(-LN(2)/25))/(LN(2)/25)*Calculateur!V81*Calculateur!X81*VLOOKUP('Données projet'!$B$9,Paramètres!$A$1:$I$89,3,0)*0.475*44/12</f>
        <v>33.508921620378295</v>
      </c>
      <c r="AB81" s="21">
        <f>EXP(-LN(2)/2)*AB80+(1-EXP(-LN(2)/2))/(LN(2)/2)*V81*Y81*VLOOKUP('Données projet'!$B$9,Paramètres!$A$1:$I$89,3,0)*0.475*44/12</f>
        <v>3.7746246114277265E-2</v>
      </c>
      <c r="AC81" s="22">
        <f t="shared" si="57"/>
        <v>148.69350166120358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10.417499999999999</v>
      </c>
      <c r="AI81" s="13">
        <f>IF('Données projet'!$A$62&gt;35,AI80+AH81-AQ80,IF(A81&lt;'Données projet'!$A$62,$AF$205^A81,IF(A81='Données projet'!$A$62,'Données projet'!$B$62,AI80+AH81-AQ80)))</f>
        <v>333.00249999999994</v>
      </c>
      <c r="AJ81" s="13">
        <f>AI81*VLOOKUP('Données projet'!$B$10,Paramètres!$A$1:$I$89,3,0)*VLOOKUP('Données projet'!$B$10,Paramètres!$A$1:$I$89,5,0)</f>
        <v>155.84516999999997</v>
      </c>
      <c r="AK81" s="13">
        <f t="shared" si="89"/>
        <v>39.903951717068814</v>
      </c>
      <c r="AL81" s="20">
        <f t="shared" si="58"/>
        <v>340.9297203238948</v>
      </c>
      <c r="AM81" s="59">
        <f t="shared" si="59"/>
        <v>634.26305365722806</v>
      </c>
      <c r="AN81" s="59">
        <f ca="1">AVERAGE(OFFSET($AM$3,0,0,'Données projet'!$E$10+1,1))-AVERAGE(OFFSET($H$3,0,0,'Données projet'!$E$10+1,1))</f>
        <v>187.82209112143374</v>
      </c>
      <c r="AO81" s="59">
        <f t="shared" si="90"/>
        <v>158.99136654880203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40.776259765152211</v>
      </c>
      <c r="AV81" s="21">
        <f>EXP(-LN(2)/25)*AV80+(1-EXP(-LN(2)/25))/(LN(2)/25)*Calculateur!AQ81*Calculateur!AS81*VLOOKUP('Données projet'!$B$10,Paramètres!$A$1:$I$89,3,0)*0.475*44/12</f>
        <v>17.102985453013197</v>
      </c>
      <c r="AW81" s="21">
        <f>EXP(-LN(2)/2)*AW80+(1-EXP(-LN(2)/2))/(LN(2)/2)*AQ81*AT81*VLOOKUP('Données projet'!$B$10,Paramètres!$A$1:$I$89,3,0)*0.475*44/12</f>
        <v>3.5824844063633137</v>
      </c>
      <c r="AX81" s="21">
        <f t="shared" si="60"/>
        <v>61.461729624528722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2.0512820512820582</v>
      </c>
      <c r="BD81" s="12">
        <f>IF('Données projet'!$A$88&gt;35,BD80+BC81-BL80,IF(A81&lt;'Données projet'!$A$88,$BA$205^A81,IF(A81='Données projet'!$A$88,'Données projet'!$B$88,BD80+BC81-BL80)))</f>
        <v>129.23076923076917</v>
      </c>
      <c r="BE81" s="13">
        <f>BD81*VLOOKUP('Données projet'!$B$11,Paramètres!$A$1:$I$89,3,0)*VLOOKUP('Données projet'!$B$11,Paramètres!$A$1:$I$89,5,0)</f>
        <v>135.07199999999995</v>
      </c>
      <c r="BF81" s="13">
        <f t="shared" si="91"/>
        <v>35.165726241361632</v>
      </c>
      <c r="BG81" s="20">
        <f t="shared" si="61"/>
        <v>296.49737320370468</v>
      </c>
      <c r="BH81" s="59">
        <f t="shared" si="62"/>
        <v>589.83070653703794</v>
      </c>
      <c r="BI81" s="59">
        <f ca="1">AVERAGE(OFFSET($BH$3,0,0,'Données projet'!$E$11+1,1))-AVERAGE(OFFSET($H$3,0,0,'Données projet'!$E$11+1,1))</f>
        <v>140.32771978791288</v>
      </c>
      <c r="BJ81" s="59">
        <f t="shared" si="92"/>
        <v>135.76866977947634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1.1099804219779912</v>
      </c>
      <c r="BQ81" s="21">
        <f>EXP(-LN(2)/25)*BQ80+(1-EXP(-LN(2)/25))/(LN(2)/25)*Calculateur!BL81*Calculateur!BN81*VLOOKUP('Données projet'!$B$11,Paramètres!$A$1:$I$89,3,0)*0.475*44/12</f>
        <v>15.197999558673425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16.307979980651417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6.7444444444444462</v>
      </c>
      <c r="BY81" s="12">
        <f>IF('Données projet'!$A$114&gt;35,BY80+BX81-CG80,IF(A81&lt;'Données projet'!$A$114,$BV$205^A81,IF(A81='Données projet'!$A$114,'Données projet'!$B$114,BY80+BX81-CG80)))</f>
        <v>175.31444444444446</v>
      </c>
      <c r="BZ81" s="13">
        <f>BY81*VLOOKUP('Données projet'!$B$12,Paramètres!$A$1:$I$89,3,0)*VLOOKUP('Données projet'!$B$12,Paramètres!$A$1:$I$89,5,0)</f>
        <v>177.76884666666669</v>
      </c>
      <c r="CA81" s="13">
        <f t="shared" si="93"/>
        <v>44.825435894521945</v>
      </c>
      <c r="CB81" s="20">
        <f t="shared" si="64"/>
        <v>387.68504212740351</v>
      </c>
      <c r="CC81" s="59">
        <f t="shared" si="65"/>
        <v>681.01837546073682</v>
      </c>
      <c r="CD81" s="59">
        <f ca="1">AVERAGE(OFFSET($CC$3,0,0,'Données projet'!$E$12+1,1))-AVERAGE(OFFSET($H$3,0,0,'Données projet'!$E$12+1,1))</f>
        <v>372.05986520199804</v>
      </c>
      <c r="CE81" s="59">
        <f t="shared" si="94"/>
        <v>184.37981929432044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42.30998382906705</v>
      </c>
      <c r="CM81" s="21">
        <f>EXP(-LN(2)/2)*CM80+(1-EXP(-LN(2)/2))/(LN(2)/2)*CG81*CJ81*VLOOKUP('Données projet'!$B$12,Paramètres!$A$1:$I$89,3,0)*0.475*44/12</f>
        <v>4.97779893739665</v>
      </c>
      <c r="CN81" s="22">
        <f t="shared" si="66"/>
        <v>47.2877827664637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9.546999999999997</v>
      </c>
      <c r="CT81" s="12">
        <f>IF('Données projet'!$A$140&gt;35,CT80+CS81-DB80,IF(A81&lt;'Données projet'!$A$140,$CQ$205^A81,IF(A81='Données projet'!$A$140,'Données projet'!$B$140,CT80+CS81-DB80)))</f>
        <v>297.80800000000033</v>
      </c>
      <c r="CU81" s="17">
        <f>CT81*VLOOKUP('Données projet'!$B$13,Paramètres!$A$1:$I$89,3,0)*VLOOKUP('Données projet'!$B$13,Paramètres!$A$1:$I$89,5,0)</f>
        <v>269.45667840000027</v>
      </c>
      <c r="CV81" s="13">
        <f t="shared" si="95"/>
        <v>64.733949217436958</v>
      </c>
      <c r="CW81" s="20">
        <f t="shared" si="67"/>
        <v>582.04867643370324</v>
      </c>
      <c r="CX81" s="59">
        <f t="shared" si="68"/>
        <v>875.38200976703661</v>
      </c>
      <c r="CY81" s="59">
        <f ca="1">AVERAGE(OFFSET($CX$3,0,0,'Données projet'!$E$13+1,1))-AVERAGE(OFFSET($H$3,0,0,'Données projet'!$E$13+1,1))</f>
        <v>479.84731392413374</v>
      </c>
      <c r="CZ81" s="59">
        <f t="shared" si="96"/>
        <v>203.57601099841213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13.51129475229285</v>
      </c>
      <c r="DG81" s="21">
        <f>EXP(-LN(2)/25)*DG80+(1-EXP(-LN(2)/25))/(LN(2)/25)*Calculateur!DB81*Calculateur!DD81*VLOOKUP('Données projet'!$B$13,Paramètres!$A$1:$I$89,3,0)*0.475*44/12</f>
        <v>28.183749633831894</v>
      </c>
      <c r="DH81" s="21">
        <f>EXP(-LN(2)/2)*DH80+(1-EXP(-LN(2)/2))/(LN(2)/2)*DB81*DE81*VLOOKUP('Données projet'!$B$13,Paramètres!$A$1:$I$89,3,0)*0.475*44/12</f>
        <v>1.175721001368796</v>
      </c>
      <c r="DI81" s="22">
        <f t="shared" si="69"/>
        <v>42.870765387493535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6.7984728957526396E-14</v>
      </c>
      <c r="P82" s="13">
        <f t="shared" si="87"/>
        <v>1.0682447123141398E-12</v>
      </c>
      <c r="Q82" s="20">
        <f t="shared" si="54"/>
        <v>1.978932943548152E-12</v>
      </c>
      <c r="R82" s="59">
        <f t="shared" si="55"/>
        <v>293.3333333333353</v>
      </c>
      <c r="S82" s="59">
        <f ca="1">AVERAGE(OFFSET($R$3,0,0,'Données projet'!$E$9+1,1))-AVERAGE(OFFSET($H$3,0,0,'Données projet'!$E$9+1,1))</f>
        <v>322.7909000321435</v>
      </c>
      <c r="T82" s="59">
        <f t="shared" si="88"/>
        <v>403.23516981532316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112.88887461663046</v>
      </c>
      <c r="AA82" s="21">
        <f>EXP(-LN(2)/25)*AA81+(1-EXP(-LN(2)/25))/(LN(2)/25)*Calculateur!V82*Calculateur!X82*VLOOKUP('Données projet'!$B$9,Paramètres!$A$1:$I$89,3,0)*0.475*44/12</f>
        <v>32.592618396511448</v>
      </c>
      <c r="AB82" s="21">
        <f>EXP(-LN(2)/2)*AB81+(1-EXP(-LN(2)/2))/(LN(2)/2)*V82*Y82*VLOOKUP('Données projet'!$B$9,Paramètres!$A$1:$I$89,3,0)*0.475*44/12</f>
        <v>2.6690626591741824E-2</v>
      </c>
      <c r="AC82" s="22">
        <f t="shared" si="57"/>
        <v>145.50818363973366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10.417499999999999</v>
      </c>
      <c r="AI82" s="13">
        <f>IF('Données projet'!$A$62&gt;35,AI81+AH82-AQ81,IF(A82&lt;'Données projet'!$A$62,$AF$205^A82,IF(A82='Données projet'!$A$62,'Données projet'!$B$62,AI81+AH82-AQ81)))</f>
        <v>343.41999999999996</v>
      </c>
      <c r="AJ82" s="13">
        <f>AI82*VLOOKUP('Données projet'!$B$10,Paramètres!$A$1:$I$89,3,0)*VLOOKUP('Données projet'!$B$10,Paramètres!$A$1:$I$89,5,0)</f>
        <v>160.72055999999998</v>
      </c>
      <c r="AK82" s="13">
        <f t="shared" si="89"/>
        <v>41.004997199014468</v>
      </c>
      <c r="AL82" s="20">
        <f t="shared" si="58"/>
        <v>351.33867878828346</v>
      </c>
      <c r="AM82" s="59">
        <f t="shared" si="59"/>
        <v>644.67201212161672</v>
      </c>
      <c r="AN82" s="59">
        <f ca="1">AVERAGE(OFFSET($AM$3,0,0,'Données projet'!$E$10+1,1))-AVERAGE(OFFSET($H$3,0,0,'Données projet'!$E$10+1,1))</f>
        <v>187.82209112143374</v>
      </c>
      <c r="AO82" s="59">
        <f t="shared" si="90"/>
        <v>158.99136654880203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39.976662182220217</v>
      </c>
      <c r="AV82" s="21">
        <f>EXP(-LN(2)/25)*AV81+(1-EXP(-LN(2)/25))/(LN(2)/25)*Calculateur!AQ82*Calculateur!AS82*VLOOKUP('Données projet'!$B$10,Paramètres!$A$1:$I$89,3,0)*0.475*44/12</f>
        <v>16.635303416393636</v>
      </c>
      <c r="AW82" s="21">
        <f>EXP(-LN(2)/2)*AW81+(1-EXP(-LN(2)/2))/(LN(2)/2)*AQ82*AT82*VLOOKUP('Données projet'!$B$10,Paramètres!$A$1:$I$89,3,0)*0.475*44/12</f>
        <v>2.5331990172345624</v>
      </c>
      <c r="AX82" s="21">
        <f t="shared" si="60"/>
        <v>59.145164615848415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2.0512820512820582</v>
      </c>
      <c r="BD82" s="12">
        <f>IF('Données projet'!$A$88&gt;35,BD81+BC82-BL81,IF(A82&lt;'Données projet'!$A$88,$BA$205^A82,IF(A82='Données projet'!$A$88,'Données projet'!$B$88,BD81+BC82-BL81)))</f>
        <v>131.28205128205121</v>
      </c>
      <c r="BE82" s="13">
        <f>BD82*VLOOKUP('Données projet'!$B$11,Paramètres!$A$1:$I$89,3,0)*VLOOKUP('Données projet'!$B$11,Paramètres!$A$1:$I$89,5,0)</f>
        <v>137.21599999999995</v>
      </c>
      <c r="BF82" s="13">
        <f t="shared" si="91"/>
        <v>35.658486540437423</v>
      </c>
      <c r="BG82" s="20">
        <f t="shared" si="61"/>
        <v>301.08973072459509</v>
      </c>
      <c r="BH82" s="59">
        <f t="shared" si="62"/>
        <v>594.4230640579284</v>
      </c>
      <c r="BI82" s="59">
        <f ca="1">AVERAGE(OFFSET($BH$3,0,0,'Données projet'!$E$11+1,1))-AVERAGE(OFFSET($H$3,0,0,'Données projet'!$E$11+1,1))</f>
        <v>140.32771978791288</v>
      </c>
      <c r="BJ82" s="59">
        <f t="shared" si="92"/>
        <v>135.76866977947634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1.0882143829242099</v>
      </c>
      <c r="BQ82" s="21">
        <f>EXP(-LN(2)/25)*BQ81+(1-EXP(-LN(2)/25))/(LN(2)/25)*Calculateur!BL82*Calculateur!BN82*VLOOKUP('Données projet'!$B$11,Paramètres!$A$1:$I$89,3,0)*0.475*44/12</f>
        <v>14.782409461513438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15.870623844437649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6.7444444444444462</v>
      </c>
      <c r="BY82" s="12">
        <f>IF('Données projet'!$A$114&gt;35,BY81+BX82-CG81,IF(A82&lt;'Données projet'!$A$114,$BV$205^A82,IF(A82='Données projet'!$A$114,'Données projet'!$B$114,BY81+BX82-CG81)))</f>
        <v>182.0588888888889</v>
      </c>
      <c r="BZ82" s="13">
        <f>BY82*VLOOKUP('Données projet'!$B$12,Paramètres!$A$1:$I$89,3,0)*VLOOKUP('Données projet'!$B$12,Paramètres!$A$1:$I$89,5,0)</f>
        <v>184.60771333333335</v>
      </c>
      <c r="CA82" s="13">
        <f t="shared" si="93"/>
        <v>46.345804577336679</v>
      </c>
      <c r="CB82" s="20">
        <f t="shared" si="64"/>
        <v>402.24404369441692</v>
      </c>
      <c r="CC82" s="59">
        <f t="shared" si="65"/>
        <v>695.57737702775023</v>
      </c>
      <c r="CD82" s="59">
        <f ca="1">AVERAGE(OFFSET($CC$3,0,0,'Données projet'!$E$12+1,1))-AVERAGE(OFFSET($H$3,0,0,'Données projet'!$E$12+1,1))</f>
        <v>372.05986520199804</v>
      </c>
      <c r="CE82" s="59">
        <f t="shared" si="94"/>
        <v>184.37981929432044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41.153015096275865</v>
      </c>
      <c r="CM82" s="21">
        <f>EXP(-LN(2)/2)*CM81+(1-EXP(-LN(2)/2))/(LN(2)/2)*CG82*CJ82*VLOOKUP('Données projet'!$B$12,Paramètres!$A$1:$I$89,3,0)*0.475*44/12</f>
        <v>3.5198353840163619</v>
      </c>
      <c r="CN82" s="22">
        <f t="shared" si="66"/>
        <v>44.672850480292226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9.546999999999997</v>
      </c>
      <c r="CT82" s="12">
        <f>IF('Données projet'!$A$140&gt;35,CT81+CS82-DB81,IF(A82&lt;'Données projet'!$A$140,$CQ$205^A82,IF(A82='Données projet'!$A$140,'Données projet'!$B$140,CT81+CS82-DB81)))</f>
        <v>307.35500000000036</v>
      </c>
      <c r="CU82" s="17">
        <f>CT82*VLOOKUP('Données projet'!$B$13,Paramètres!$A$1:$I$89,3,0)*VLOOKUP('Données projet'!$B$13,Paramètres!$A$1:$I$89,5,0)</f>
        <v>278.09480400000029</v>
      </c>
      <c r="CV82" s="13">
        <f t="shared" si="95"/>
        <v>66.564226351179173</v>
      </c>
      <c r="CW82" s="20">
        <f t="shared" si="67"/>
        <v>600.28114452830425</v>
      </c>
      <c r="CX82" s="59">
        <f t="shared" si="68"/>
        <v>893.61447786163762</v>
      </c>
      <c r="CY82" s="59">
        <f ca="1">AVERAGE(OFFSET($CX$3,0,0,'Données projet'!$E$13+1,1))-AVERAGE(OFFSET($H$3,0,0,'Données projet'!$E$13+1,1))</f>
        <v>479.84731392413374</v>
      </c>
      <c r="CZ82" s="59">
        <f t="shared" si="96"/>
        <v>203.57601099841213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13.246346503276447</v>
      </c>
      <c r="DG82" s="21">
        <f>EXP(-LN(2)/25)*DG81+(1-EXP(-LN(2)/25))/(LN(2)/25)*Calculateur!DB82*Calculateur!DD82*VLOOKUP('Données projet'!$B$13,Paramètres!$A$1:$I$89,3,0)*0.475*44/12</f>
        <v>27.413063517975782</v>
      </c>
      <c r="DH82" s="21">
        <f>EXP(-LN(2)/2)*DH81+(1-EXP(-LN(2)/2))/(LN(2)/2)*DB82*DE82*VLOOKUP('Données projet'!$B$13,Paramètres!$A$1:$I$89,3,0)*0.475*44/12</f>
        <v>0.83136029285131385</v>
      </c>
      <c r="DI82" s="22">
        <f t="shared" si="69"/>
        <v>41.490770314103543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6.7984728957526396E-14</v>
      </c>
      <c r="P83" s="13">
        <f t="shared" si="87"/>
        <v>1.0682447123141398E-12</v>
      </c>
      <c r="Q83" s="20">
        <f t="shared" si="54"/>
        <v>1.978932943548152E-12</v>
      </c>
      <c r="R83" s="59">
        <f t="shared" si="55"/>
        <v>293.3333333333353</v>
      </c>
      <c r="S83" s="59">
        <f ca="1">AVERAGE(OFFSET($R$3,0,0,'Données projet'!$E$9+1,1))-AVERAGE(OFFSET($H$3,0,0,'Données projet'!$E$9+1,1))</f>
        <v>322.7909000321435</v>
      </c>
      <c r="T83" s="59">
        <f t="shared" si="88"/>
        <v>403.23516981532316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110.67519264081295</v>
      </c>
      <c r="AA83" s="21">
        <f>EXP(-LN(2)/25)*AA82+(1-EXP(-LN(2)/25))/(LN(2)/25)*Calculateur!V83*Calculateur!X83*VLOOKUP('Données projet'!$B$9,Paramètres!$A$1:$I$89,3,0)*0.475*44/12</f>
        <v>31.701371532487531</v>
      </c>
      <c r="AB83" s="21">
        <f>EXP(-LN(2)/2)*AB82+(1-EXP(-LN(2)/2))/(LN(2)/2)*V83*Y83*VLOOKUP('Données projet'!$B$9,Paramètres!$A$1:$I$89,3,0)*0.475*44/12</f>
        <v>1.8873123057138633E-2</v>
      </c>
      <c r="AC83" s="22">
        <f t="shared" si="57"/>
        <v>142.39543729635764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10.417499999999999</v>
      </c>
      <c r="AI83" s="13">
        <f>IF('Données projet'!$A$62&gt;35,AI82+AH83-AQ82,IF(A83&lt;'Données projet'!$A$62,$AF$205^A83,IF(A83='Données projet'!$A$62,'Données projet'!$B$62,AI82+AH83-AQ82)))</f>
        <v>353.83749999999998</v>
      </c>
      <c r="AJ83" s="13">
        <f>AI83*VLOOKUP('Données projet'!$B$10,Paramètres!$A$1:$I$89,3,0)*VLOOKUP('Données projet'!$B$10,Paramètres!$A$1:$I$89,5,0)</f>
        <v>165.59594999999999</v>
      </c>
      <c r="AK83" s="13">
        <f t="shared" si="89"/>
        <v>42.102161176994215</v>
      </c>
      <c r="AL83" s="20">
        <f t="shared" si="58"/>
        <v>361.74087696659825</v>
      </c>
      <c r="AM83" s="59">
        <f t="shared" si="59"/>
        <v>655.07421029993156</v>
      </c>
      <c r="AN83" s="59">
        <f ca="1">AVERAGE(OFFSET($AM$3,0,0,'Données projet'!$E$10+1,1))-AVERAGE(OFFSET($H$3,0,0,'Données projet'!$E$10+1,1))</f>
        <v>187.82209112143374</v>
      </c>
      <c r="AO83" s="59">
        <f t="shared" si="90"/>
        <v>158.99136654880203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39.192744220183151</v>
      </c>
      <c r="AV83" s="21">
        <f>EXP(-LN(2)/25)*AV82+(1-EXP(-LN(2)/25))/(LN(2)/25)*Calculateur!AQ83*Calculateur!AS83*VLOOKUP('Données projet'!$B$10,Paramètres!$A$1:$I$89,3,0)*0.475*44/12</f>
        <v>16.180410169659766</v>
      </c>
      <c r="AW83" s="21">
        <f>EXP(-LN(2)/2)*AW82+(1-EXP(-LN(2)/2))/(LN(2)/2)*AQ83*AT83*VLOOKUP('Données projet'!$B$10,Paramètres!$A$1:$I$89,3,0)*0.475*44/12</f>
        <v>1.7912422031816571</v>
      </c>
      <c r="AX83" s="21">
        <f t="shared" si="60"/>
        <v>57.164396593024577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133.33333333333334</v>
      </c>
      <c r="BB83" s="12">
        <f>VLOOKUP(A83,'Données projet'!$A$87:$I$107,9,0)</f>
        <v>2.0512820512820582</v>
      </c>
      <c r="BC83" s="12">
        <f t="array" ref="BC83">INDEX(BB:BB,MIN(IF(ISNUMBER(BB83:BB279),ROW(BB83:BB279),"")))</f>
        <v>2.0512820512820582</v>
      </c>
      <c r="BD83" s="12">
        <f>IF('Données projet'!$A$88&gt;35,BD82+BC83-BL82,IF(A83&lt;'Données projet'!$A$88,$BA$205^A83,IF(A83='Données projet'!$A$88,'Données projet'!$B$88,BD82+BC83-BL82)))</f>
        <v>133.33333333333326</v>
      </c>
      <c r="BE83" s="13">
        <f>BD83*VLOOKUP('Données projet'!$B$11,Paramètres!$A$1:$I$89,3,0)*VLOOKUP('Données projet'!$B$11,Paramètres!$A$1:$I$89,5,0)</f>
        <v>139.35999999999993</v>
      </c>
      <c r="BF83" s="13">
        <f t="shared" si="91"/>
        <v>36.150351407691339</v>
      </c>
      <c r="BG83" s="20">
        <f t="shared" si="61"/>
        <v>305.68052870172897</v>
      </c>
      <c r="BH83" s="59">
        <f t="shared" si="62"/>
        <v>599.01386203506229</v>
      </c>
      <c r="BI83" s="59">
        <f ca="1">AVERAGE(OFFSET($BH$3,0,0,'Données projet'!$E$11+1,1))-AVERAGE(OFFSET($H$3,0,0,'Données projet'!$E$11+1,1))</f>
        <v>140.32771978791288</v>
      </c>
      <c r="BJ83" s="59">
        <f t="shared" si="92"/>
        <v>135.76866977947634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7.0512820512820511</v>
      </c>
      <c r="BM83" s="16">
        <f>IF(ISNA(VLOOKUP(A83,'Données projet'!$A$87:$I$107,5,0)),0%,VLOOKUP(A83,'Données projet'!$A$87:$I$107,5,0)*VLOOKUP('Données projet'!$B$11,Paramètres!$A$1:$I$89,7,0))</f>
        <v>4.3000000000000003E-2</v>
      </c>
      <c r="BN83" s="16">
        <f>IF(ISNA(VLOOKUP(A83,'Données projet'!$A$87:$I$107,6,0)),0%,VLOOKUP(A83,'Données projet'!$A$87:$I$107,6,0)*VLOOKUP('Données projet'!$B$11,Paramètres!$A$1:$I$89,7,0))</f>
        <v>0.215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1.4172097805980877</v>
      </c>
      <c r="BQ83" s="21">
        <f>EXP(-LN(2)/25)*BQ82+(1-EXP(-LN(2)/25))/(LN(2)/25)*Calculateur!BL83*Calculateur!BN83*VLOOKUP('Données projet'!$B$11,Paramètres!$A$1:$I$89,3,0)*0.475*44/12</f>
        <v>16.122959782909497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17.540169563507586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6.7444444444444462</v>
      </c>
      <c r="BY83" s="12">
        <f>IF('Données projet'!$A$114&gt;35,BY82+BX83-CG82,IF(A83&lt;'Données projet'!$A$114,$BV$205^A83,IF(A83='Données projet'!$A$114,'Données projet'!$B$114,BY82+BX83-CG82)))</f>
        <v>188.80333333333334</v>
      </c>
      <c r="BZ83" s="13">
        <f>BY83*VLOOKUP('Données projet'!$B$12,Paramètres!$A$1:$I$89,3,0)*VLOOKUP('Données projet'!$B$12,Paramètres!$A$1:$I$89,5,0)</f>
        <v>191.44658000000004</v>
      </c>
      <c r="CA83" s="13">
        <f t="shared" si="93"/>
        <v>47.859629835500797</v>
      </c>
      <c r="CB83" s="20">
        <f t="shared" si="64"/>
        <v>416.79164879683066</v>
      </c>
      <c r="CC83" s="59">
        <f t="shared" si="65"/>
        <v>710.12498213016397</v>
      </c>
      <c r="CD83" s="59">
        <f ca="1">AVERAGE(OFFSET($CC$3,0,0,'Données projet'!$E$12+1,1))-AVERAGE(OFFSET($H$3,0,0,'Données projet'!$E$12+1,1))</f>
        <v>372.05986520199804</v>
      </c>
      <c r="CE83" s="59">
        <f t="shared" si="94"/>
        <v>184.37981929432044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40.027683734325194</v>
      </c>
      <c r="CM83" s="21">
        <f>EXP(-LN(2)/2)*CM82+(1-EXP(-LN(2)/2))/(LN(2)/2)*CG83*CJ83*VLOOKUP('Données projet'!$B$12,Paramètres!$A$1:$I$89,3,0)*0.475*44/12</f>
        <v>2.4888994686983255</v>
      </c>
      <c r="CN83" s="22">
        <f t="shared" si="66"/>
        <v>42.516583203023522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9.546999999999997</v>
      </c>
      <c r="CT83" s="12">
        <f>IF('Données projet'!$A$140&gt;35,CT82+CS83-DB82,IF(A83&lt;'Données projet'!$A$140,$CQ$205^A83,IF(A83='Données projet'!$A$140,'Données projet'!$B$140,CT82+CS83-DB82)))</f>
        <v>316.90200000000038</v>
      </c>
      <c r="CU83" s="17">
        <f>CT83*VLOOKUP('Données projet'!$B$13,Paramètres!$A$1:$I$89,3,0)*VLOOKUP('Données projet'!$B$13,Paramètres!$A$1:$I$89,5,0)</f>
        <v>286.73292960000038</v>
      </c>
      <c r="CV83" s="13">
        <f t="shared" si="95"/>
        <v>68.387896772756079</v>
      </c>
      <c r="CW83" s="20">
        <f t="shared" si="67"/>
        <v>618.50210593255088</v>
      </c>
      <c r="CX83" s="59">
        <f t="shared" si="68"/>
        <v>911.83543926588413</v>
      </c>
      <c r="CY83" s="59">
        <f ca="1">AVERAGE(OFFSET($CX$3,0,0,'Données projet'!$E$13+1,1))-AVERAGE(OFFSET($H$3,0,0,'Données projet'!$E$13+1,1))</f>
        <v>479.84731392413374</v>
      </c>
      <c r="CZ83" s="59">
        <f t="shared" si="96"/>
        <v>203.57601099841213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12.986593727820781</v>
      </c>
      <c r="DG83" s="21">
        <f>EXP(-LN(2)/25)*DG82+(1-EXP(-LN(2)/25))/(LN(2)/25)*Calculateur!DB83*Calculateur!DD83*VLOOKUP('Données projet'!$B$13,Paramètres!$A$1:$I$89,3,0)*0.475*44/12</f>
        <v>26.663451854486379</v>
      </c>
      <c r="DH83" s="21">
        <f>EXP(-LN(2)/2)*DH82+(1-EXP(-LN(2)/2))/(LN(2)/2)*DB83*DE83*VLOOKUP('Données projet'!$B$13,Paramètres!$A$1:$I$89,3,0)*0.475*44/12</f>
        <v>0.5878605006843981</v>
      </c>
      <c r="DI83" s="22">
        <f t="shared" si="69"/>
        <v>40.237906082991557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6.7984728957526396E-14</v>
      </c>
      <c r="P84" s="13">
        <f t="shared" si="87"/>
        <v>1.0682447123141398E-12</v>
      </c>
      <c r="Q84" s="20">
        <f t="shared" si="54"/>
        <v>1.978932943548152E-12</v>
      </c>
      <c r="R84" s="59">
        <f t="shared" si="55"/>
        <v>293.3333333333353</v>
      </c>
      <c r="S84" s="59">
        <f ca="1">AVERAGE(OFFSET($R$3,0,0,'Données projet'!$E$9+1,1))-AVERAGE(OFFSET($H$3,0,0,'Données projet'!$E$9+1,1))</f>
        <v>322.7909000321435</v>
      </c>
      <c r="T84" s="59">
        <f t="shared" si="88"/>
        <v>403.23516981532316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108.50491961832853</v>
      </c>
      <c r="AA84" s="21">
        <f>EXP(-LN(2)/25)*AA83+(1-EXP(-LN(2)/25))/(LN(2)/25)*Calculateur!V84*Calculateur!X84*VLOOKUP('Données projet'!$B$9,Paramètres!$A$1:$I$89,3,0)*0.475*44/12</f>
        <v>30.834495860828984</v>
      </c>
      <c r="AB84" s="21">
        <f>EXP(-LN(2)/2)*AB83+(1-EXP(-LN(2)/2))/(LN(2)/2)*V84*Y84*VLOOKUP('Données projet'!$B$9,Paramètres!$A$1:$I$89,3,0)*0.475*44/12</f>
        <v>1.3345313295870912E-2</v>
      </c>
      <c r="AC84" s="22">
        <f t="shared" si="57"/>
        <v>139.35276079245338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10.417499999999999</v>
      </c>
      <c r="AI84" s="13">
        <f>IF('Données projet'!$A$62&gt;35,AI83+AH84-AQ83,IF(A84&lt;'Données projet'!$A$62,$AF$205^A84,IF(A84='Données projet'!$A$62,'Données projet'!$B$62,AI83+AH84-AQ83)))</f>
        <v>364.255</v>
      </c>
      <c r="AJ84" s="13">
        <f>AI84*VLOOKUP('Données projet'!$B$10,Paramètres!$A$1:$I$89,3,0)*VLOOKUP('Données projet'!$B$10,Paramètres!$A$1:$I$89,5,0)</f>
        <v>170.47134</v>
      </c>
      <c r="AK84" s="13">
        <f t="shared" si="89"/>
        <v>43.195571049057939</v>
      </c>
      <c r="AL84" s="20">
        <f t="shared" si="58"/>
        <v>372.13653674377588</v>
      </c>
      <c r="AM84" s="59">
        <f t="shared" si="59"/>
        <v>665.46987007710914</v>
      </c>
      <c r="AN84" s="59">
        <f ca="1">AVERAGE(OFFSET($AM$3,0,0,'Données projet'!$E$10+1,1))-AVERAGE(OFFSET($H$3,0,0,'Données projet'!$E$10+1,1))</f>
        <v>187.82209112143374</v>
      </c>
      <c r="AO84" s="59">
        <f t="shared" si="90"/>
        <v>158.99136654880203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38.424198411238891</v>
      </c>
      <c r="AV84" s="21">
        <f>EXP(-LN(2)/25)*AV83+(1-EXP(-LN(2)/25))/(LN(2)/25)*Calculateur!AQ84*Calculateur!AS84*VLOOKUP('Données projet'!$B$10,Paramètres!$A$1:$I$89,3,0)*0.475*44/12</f>
        <v>15.737956002679629</v>
      </c>
      <c r="AW84" s="21">
        <f>EXP(-LN(2)/2)*AW83+(1-EXP(-LN(2)/2))/(LN(2)/2)*AQ84*AT84*VLOOKUP('Données projet'!$B$10,Paramètres!$A$1:$I$89,3,0)*0.475*44/12</f>
        <v>1.2665995086172814</v>
      </c>
      <c r="AX84" s="21">
        <f t="shared" si="60"/>
        <v>55.428753922535805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1.7948717948717898</v>
      </c>
      <c r="BD84" s="12">
        <f>IF('Données projet'!$A$88&gt;35,BD83+BC84-BL83,IF(A84&lt;'Données projet'!$A$88,$BA$205^A84,IF(A84='Données projet'!$A$88,'Données projet'!$B$88,BD83+BC84-BL83)))</f>
        <v>128.07692307692301</v>
      </c>
      <c r="BE84" s="13">
        <f>BD84*VLOOKUP('Données projet'!$B$11,Paramètres!$A$1:$I$89,3,0)*VLOOKUP('Données projet'!$B$11,Paramètres!$A$1:$I$89,5,0)</f>
        <v>133.86599999999993</v>
      </c>
      <c r="BF84" s="13">
        <f t="shared" si="91"/>
        <v>34.888149132612561</v>
      </c>
      <c r="BG84" s="20">
        <f t="shared" si="61"/>
        <v>293.91347640596678</v>
      </c>
      <c r="BH84" s="59">
        <f t="shared" si="62"/>
        <v>587.24680973930003</v>
      </c>
      <c r="BI84" s="59">
        <f ca="1">AVERAGE(OFFSET($BH$3,0,0,'Données projet'!$E$11+1,1))-AVERAGE(OFFSET($H$3,0,0,'Données projet'!$E$11+1,1))</f>
        <v>140.32771978791288</v>
      </c>
      <c r="BJ84" s="59">
        <f t="shared" si="92"/>
        <v>135.76866977947634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1.3894191612131717</v>
      </c>
      <c r="BQ84" s="21">
        <f>EXP(-LN(2)/25)*BQ83+(1-EXP(-LN(2)/25))/(LN(2)/25)*Calculateur!BL84*Calculateur!BN84*VLOOKUP('Données projet'!$B$11,Paramètres!$A$1:$I$89,3,0)*0.475*44/12</f>
        <v>15.682076599776231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17.071495760989404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6.7444444444444462</v>
      </c>
      <c r="BY84" s="12">
        <f>IF('Données projet'!$A$114&gt;35,BY83+BX84-CG83,IF(A84&lt;'Données projet'!$A$114,$BV$205^A84,IF(A84='Données projet'!$A$114,'Données projet'!$B$114,BY83+BX84-CG83)))</f>
        <v>195.54777777777778</v>
      </c>
      <c r="BZ84" s="13">
        <f>BY84*VLOOKUP('Données projet'!$B$12,Paramètres!$A$1:$I$89,3,0)*VLOOKUP('Données projet'!$B$12,Paramètres!$A$1:$I$89,5,0)</f>
        <v>198.28544666666667</v>
      </c>
      <c r="CA84" s="13">
        <f t="shared" si="93"/>
        <v>49.367172192409612</v>
      </c>
      <c r="CB84" s="20">
        <f t="shared" si="64"/>
        <v>431.32831117955783</v>
      </c>
      <c r="CC84" s="59">
        <f t="shared" si="65"/>
        <v>724.66164451289114</v>
      </c>
      <c r="CD84" s="59">
        <f ca="1">AVERAGE(OFFSET($CC$3,0,0,'Données projet'!$E$12+1,1))-AVERAGE(OFFSET($H$3,0,0,'Données projet'!$E$12+1,1))</f>
        <v>372.05986520199804</v>
      </c>
      <c r="CE84" s="59">
        <f t="shared" si="94"/>
        <v>184.37981929432044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38.933124617645667</v>
      </c>
      <c r="CM84" s="21">
        <f>EXP(-LN(2)/2)*CM83+(1-EXP(-LN(2)/2))/(LN(2)/2)*CG84*CJ84*VLOOKUP('Données projet'!$B$12,Paramètres!$A$1:$I$89,3,0)*0.475*44/12</f>
        <v>1.7599176920081814</v>
      </c>
      <c r="CN84" s="22">
        <f t="shared" si="66"/>
        <v>40.693042309653848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9.546999999999997</v>
      </c>
      <c r="CT84" s="12">
        <f>IF('Données projet'!$A$140&gt;35,CT83+CS84-DB83,IF(A84&lt;'Données projet'!$A$140,$CQ$205^A84,IF(A84='Données projet'!$A$140,'Données projet'!$B$140,CT83+CS84-DB83)))</f>
        <v>326.44900000000041</v>
      </c>
      <c r="CU84" s="17">
        <f>CT84*VLOOKUP('Données projet'!$B$13,Paramètres!$A$1:$I$89,3,0)*VLOOKUP('Données projet'!$B$13,Paramètres!$A$1:$I$89,5,0)</f>
        <v>295.37105520000034</v>
      </c>
      <c r="CV84" s="13">
        <f t="shared" si="95"/>
        <v>70.205182362680091</v>
      </c>
      <c r="CW84" s="20">
        <f t="shared" si="67"/>
        <v>636.71194708833502</v>
      </c>
      <c r="CX84" s="59">
        <f t="shared" si="68"/>
        <v>930.04528042166839</v>
      </c>
      <c r="CY84" s="59">
        <f ca="1">AVERAGE(OFFSET($CX$3,0,0,'Données projet'!$E$13+1,1))-AVERAGE(OFFSET($H$3,0,0,'Données projet'!$E$13+1,1))</f>
        <v>479.84731392413374</v>
      </c>
      <c r="CZ84" s="59">
        <f t="shared" si="96"/>
        <v>203.57601099841213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12.731934545858252</v>
      </c>
      <c r="DG84" s="21">
        <f>EXP(-LN(2)/25)*DG83+(1-EXP(-LN(2)/25))/(LN(2)/25)*Calculateur!DB84*Calculateur!DD84*VLOOKUP('Données projet'!$B$13,Paramètres!$A$1:$I$89,3,0)*0.475*44/12</f>
        <v>25.934338361355454</v>
      </c>
      <c r="DH84" s="21">
        <f>EXP(-LN(2)/2)*DH83+(1-EXP(-LN(2)/2))/(LN(2)/2)*DB84*DE84*VLOOKUP('Données projet'!$B$13,Paramètres!$A$1:$I$89,3,0)*0.475*44/12</f>
        <v>0.41568014642565698</v>
      </c>
      <c r="DI84" s="22">
        <f t="shared" si="69"/>
        <v>39.081953053639367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6.7984728957526396E-14</v>
      </c>
      <c r="P85" s="13">
        <f t="shared" si="87"/>
        <v>1.0682447123141398E-12</v>
      </c>
      <c r="Q85" s="20">
        <f t="shared" si="54"/>
        <v>1.978932943548152E-12</v>
      </c>
      <c r="R85" s="59">
        <f t="shared" si="55"/>
        <v>293.3333333333353</v>
      </c>
      <c r="S85" s="59">
        <f ca="1">AVERAGE(OFFSET($R$3,0,0,'Données projet'!$E$9+1,1))-AVERAGE(OFFSET($H$3,0,0,'Données projet'!$E$9+1,1))</f>
        <v>322.7909000321435</v>
      </c>
      <c r="T85" s="59">
        <f t="shared" si="88"/>
        <v>403.23516981532316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106.37720432607919</v>
      </c>
      <c r="AA85" s="21">
        <f>EXP(-LN(2)/25)*AA84+(1-EXP(-LN(2)/25))/(LN(2)/25)*Calculateur!V85*Calculateur!X85*VLOOKUP('Données projet'!$B$9,Paramètres!$A$1:$I$89,3,0)*0.475*44/12</f>
        <v>29.991324949998951</v>
      </c>
      <c r="AB85" s="21">
        <f>EXP(-LN(2)/2)*AB84+(1-EXP(-LN(2)/2))/(LN(2)/2)*V85*Y85*VLOOKUP('Données projet'!$B$9,Paramètres!$A$1:$I$89,3,0)*0.475*44/12</f>
        <v>9.4365615285693163E-3</v>
      </c>
      <c r="AC85" s="22">
        <f t="shared" si="57"/>
        <v>136.37796583760669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10.417499999999999</v>
      </c>
      <c r="AI85" s="13">
        <f>IF('Données projet'!$A$62&gt;35,AI84+AH85-AQ84,IF(A85&lt;'Données projet'!$A$62,$AF$205^A85,IF(A85='Données projet'!$A$62,'Données projet'!$B$62,AI84+AH85-AQ84)))</f>
        <v>374.67250000000001</v>
      </c>
      <c r="AJ85" s="13">
        <f>AI85*VLOOKUP('Données projet'!$B$10,Paramètres!$A$1:$I$89,3,0)*VLOOKUP('Données projet'!$B$10,Paramètres!$A$1:$I$89,5,0)</f>
        <v>175.34673000000001</v>
      </c>
      <c r="AK85" s="13">
        <f t="shared" si="89"/>
        <v>44.285346511760764</v>
      </c>
      <c r="AL85" s="20">
        <f t="shared" si="58"/>
        <v>382.52586659131663</v>
      </c>
      <c r="AM85" s="59">
        <f t="shared" si="59"/>
        <v>675.85919992464994</v>
      </c>
      <c r="AN85" s="59">
        <f ca="1">AVERAGE(OFFSET($AM$3,0,0,'Données projet'!$E$10+1,1))-AVERAGE(OFFSET($H$3,0,0,'Données projet'!$E$10+1,1))</f>
        <v>187.82209112143374</v>
      </c>
      <c r="AO85" s="59">
        <f t="shared" si="90"/>
        <v>158.99136654880203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37.670723316841368</v>
      </c>
      <c r="AV85" s="21">
        <f>EXP(-LN(2)/25)*AV84+(1-EXP(-LN(2)/25))/(LN(2)/25)*Calculateur!AQ85*Calculateur!AS85*VLOOKUP('Données projet'!$B$10,Paramètres!$A$1:$I$89,3,0)*0.475*44/12</f>
        <v>15.307600768163219</v>
      </c>
      <c r="AW85" s="21">
        <f>EXP(-LN(2)/2)*AW84+(1-EXP(-LN(2)/2))/(LN(2)/2)*AQ85*AT85*VLOOKUP('Données projet'!$B$10,Paramètres!$A$1:$I$89,3,0)*0.475*44/12</f>
        <v>0.89562110159082875</v>
      </c>
      <c r="AX85" s="21">
        <f t="shared" si="60"/>
        <v>53.873945186595414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1.7948717948717898</v>
      </c>
      <c r="BD85" s="12">
        <f>IF('Données projet'!$A$88&gt;35,BD84+BC85-BL84,IF(A85&lt;'Données projet'!$A$88,$BA$205^A85,IF(A85='Données projet'!$A$88,'Données projet'!$B$88,BD84+BC85-BL84)))</f>
        <v>129.8717948717948</v>
      </c>
      <c r="BE85" s="13">
        <f>BD85*VLOOKUP('Données projet'!$B$11,Paramètres!$A$1:$I$89,3,0)*VLOOKUP('Données projet'!$B$11,Paramètres!$A$1:$I$89,5,0)</f>
        <v>135.74199999999996</v>
      </c>
      <c r="BF85" s="13">
        <f t="shared" si="91"/>
        <v>35.319810973036205</v>
      </c>
      <c r="BG85" s="20">
        <f t="shared" si="61"/>
        <v>297.93265411137128</v>
      </c>
      <c r="BH85" s="59">
        <f t="shared" si="62"/>
        <v>591.26598744470459</v>
      </c>
      <c r="BI85" s="59">
        <f ca="1">AVERAGE(OFFSET($BH$3,0,0,'Données projet'!$E$11+1,1))-AVERAGE(OFFSET($H$3,0,0,'Données projet'!$E$11+1,1))</f>
        <v>140.32771978791288</v>
      </c>
      <c r="BJ85" s="59">
        <f t="shared" si="92"/>
        <v>135.76866977947634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1.3621734989237897</v>
      </c>
      <c r="BQ85" s="21">
        <f>EXP(-LN(2)/25)*BQ84+(1-EXP(-LN(2)/25))/(LN(2)/25)*Calculateur!BL85*Calculateur!BN85*VLOOKUP('Données projet'!$B$11,Paramètres!$A$1:$I$89,3,0)*0.475*44/12</f>
        <v>15.253249390470783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16.615422889394573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6.7444444444444462</v>
      </c>
      <c r="BY85" s="12">
        <f>IF('Données projet'!$A$114&gt;35,BY84+BX85-CG84,IF(A85&lt;'Données projet'!$A$114,$BV$205^A85,IF(A85='Données projet'!$A$114,'Données projet'!$B$114,BY84+BX85-CG84)))</f>
        <v>202.29222222222222</v>
      </c>
      <c r="BZ85" s="13">
        <f>BY85*VLOOKUP('Données projet'!$B$12,Paramètres!$A$1:$I$89,3,0)*VLOOKUP('Données projet'!$B$12,Paramètres!$A$1:$I$89,5,0)</f>
        <v>205.12431333333336</v>
      </c>
      <c r="CA85" s="13">
        <f t="shared" si="93"/>
        <v>50.868673181302917</v>
      </c>
      <c r="CB85" s="20">
        <f t="shared" si="64"/>
        <v>445.85445151299149</v>
      </c>
      <c r="CC85" s="59">
        <f t="shared" si="65"/>
        <v>739.1877848463248</v>
      </c>
      <c r="CD85" s="59">
        <f ca="1">AVERAGE(OFFSET($CC$3,0,0,'Données projet'!$E$12+1,1))-AVERAGE(OFFSET($H$3,0,0,'Données projet'!$E$12+1,1))</f>
        <v>372.05986520199804</v>
      </c>
      <c r="CE85" s="59">
        <f t="shared" si="94"/>
        <v>184.37981929432044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37.868496277572106</v>
      </c>
      <c r="CM85" s="21">
        <f>EXP(-LN(2)/2)*CM84+(1-EXP(-LN(2)/2))/(LN(2)/2)*CG85*CJ85*VLOOKUP('Données projet'!$B$12,Paramètres!$A$1:$I$89,3,0)*0.475*44/12</f>
        <v>1.244449734349163</v>
      </c>
      <c r="CN85" s="22">
        <f t="shared" si="66"/>
        <v>39.112946011921267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9.546999999999997</v>
      </c>
      <c r="CT85" s="12">
        <f>IF('Données projet'!$A$140&gt;35,CT84+CS85-DB84,IF(A85&lt;'Données projet'!$A$140,$CQ$205^A85,IF(A85='Données projet'!$A$140,'Données projet'!$B$140,CT84+CS85-DB84)))</f>
        <v>335.99600000000044</v>
      </c>
      <c r="CU85" s="17">
        <f>CT85*VLOOKUP('Données projet'!$B$13,Paramètres!$A$1:$I$89,3,0)*VLOOKUP('Données projet'!$B$13,Paramètres!$A$1:$I$89,5,0)</f>
        <v>304.00918080000037</v>
      </c>
      <c r="CV85" s="13">
        <f t="shared" si="95"/>
        <v>72.016291285794935</v>
      </c>
      <c r="CW85" s="20">
        <f t="shared" si="67"/>
        <v>654.91103054942675</v>
      </c>
      <c r="CX85" s="59">
        <f t="shared" si="68"/>
        <v>948.24436388276013</v>
      </c>
      <c r="CY85" s="59">
        <f ca="1">AVERAGE(OFFSET($CX$3,0,0,'Données projet'!$E$13+1,1))-AVERAGE(OFFSET($H$3,0,0,'Données projet'!$E$13+1,1))</f>
        <v>479.84731392413374</v>
      </c>
      <c r="CZ85" s="59">
        <f t="shared" si="96"/>
        <v>203.57601099841213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12.482269075127244</v>
      </c>
      <c r="DG85" s="21">
        <f>EXP(-LN(2)/25)*DG84+(1-EXP(-LN(2)/25))/(LN(2)/25)*Calculateur!DB85*Calculateur!DD85*VLOOKUP('Données projet'!$B$13,Paramètres!$A$1:$I$89,3,0)*0.475*44/12</f>
        <v>25.225162515036608</v>
      </c>
      <c r="DH85" s="21">
        <f>EXP(-LN(2)/2)*DH84+(1-EXP(-LN(2)/2))/(LN(2)/2)*DB85*DE85*VLOOKUP('Données projet'!$B$13,Paramètres!$A$1:$I$89,3,0)*0.475*44/12</f>
        <v>0.29393025034219911</v>
      </c>
      <c r="DI85" s="22">
        <f t="shared" si="69"/>
        <v>38.00136184050605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6.7984728957526396E-14</v>
      </c>
      <c r="P86" s="13">
        <f t="shared" si="87"/>
        <v>1.0682447123141398E-12</v>
      </c>
      <c r="Q86" s="20">
        <f t="shared" si="54"/>
        <v>1.978932943548152E-12</v>
      </c>
      <c r="R86" s="59">
        <f t="shared" si="55"/>
        <v>293.3333333333353</v>
      </c>
      <c r="S86" s="59">
        <f ca="1">AVERAGE(OFFSET($R$3,0,0,'Données projet'!$E$9+1,1))-AVERAGE(OFFSET($H$3,0,0,'Données projet'!$E$9+1,1))</f>
        <v>322.7909000321435</v>
      </c>
      <c r="T86" s="59">
        <f t="shared" si="88"/>
        <v>403.23516981532316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104.29121223293269</v>
      </c>
      <c r="AA86" s="21">
        <f>EXP(-LN(2)/25)*AA85+(1-EXP(-LN(2)/25))/(LN(2)/25)*Calculateur!V86*Calculateur!X86*VLOOKUP('Données projet'!$B$9,Paramètres!$A$1:$I$89,3,0)*0.475*44/12</f>
        <v>29.171210592065997</v>
      </c>
      <c r="AB86" s="21">
        <f>EXP(-LN(2)/2)*AB85+(1-EXP(-LN(2)/2))/(LN(2)/2)*V86*Y86*VLOOKUP('Données projet'!$B$9,Paramètres!$A$1:$I$89,3,0)*0.475*44/12</f>
        <v>6.6726566479354561E-3</v>
      </c>
      <c r="AC86" s="22">
        <f t="shared" si="57"/>
        <v>133.46909548164663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10.417499999999999</v>
      </c>
      <c r="AI86" s="13">
        <f>IF('Données projet'!$A$62&gt;35,AI85+AH86-AQ85,IF(A86&lt;'Données projet'!$A$62,$AF$205^A86,IF(A86='Données projet'!$A$62,'Données projet'!$B$62,AI85+AH86-AQ85)))</f>
        <v>385.09000000000003</v>
      </c>
      <c r="AJ86" s="13">
        <f>AI86*VLOOKUP('Données projet'!$B$10,Paramètres!$A$1:$I$89,3,0)*VLOOKUP('Données projet'!$B$10,Paramètres!$A$1:$I$89,5,0)</f>
        <v>180.22212000000002</v>
      </c>
      <c r="AK86" s="13">
        <f t="shared" si="89"/>
        <v>45.371600226761309</v>
      </c>
      <c r="AL86" s="20">
        <f t="shared" si="58"/>
        <v>392.90906272827596</v>
      </c>
      <c r="AM86" s="59">
        <f t="shared" si="59"/>
        <v>686.24239606160927</v>
      </c>
      <c r="AN86" s="59">
        <f ca="1">AVERAGE(OFFSET($AM$3,0,0,'Données projet'!$E$10+1,1))-AVERAGE(OFFSET($H$3,0,0,'Données projet'!$E$10+1,1))</f>
        <v>187.82209112143374</v>
      </c>
      <c r="AO86" s="59">
        <f t="shared" si="90"/>
        <v>158.99136654880203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36.932023409470553</v>
      </c>
      <c r="AV86" s="21">
        <f>EXP(-LN(2)/25)*AV85+(1-EXP(-LN(2)/25))/(LN(2)/25)*Calculateur!AQ86*Calculateur!AS86*VLOOKUP('Données projet'!$B$10,Paramètres!$A$1:$I$89,3,0)*0.475*44/12</f>
        <v>14.889013620166057</v>
      </c>
      <c r="AW86" s="21">
        <f>EXP(-LN(2)/2)*AW85+(1-EXP(-LN(2)/2))/(LN(2)/2)*AQ86*AT86*VLOOKUP('Données projet'!$B$10,Paramètres!$A$1:$I$89,3,0)*0.475*44/12</f>
        <v>0.63329975430864083</v>
      </c>
      <c r="AX86" s="21">
        <f t="shared" si="60"/>
        <v>52.454336783945251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1.7948717948717898</v>
      </c>
      <c r="BD86" s="12">
        <f>IF('Données projet'!$A$88&gt;35,BD85+BC86-BL85,IF(A86&lt;'Données projet'!$A$88,$BA$205^A86,IF(A86='Données projet'!$A$88,'Données projet'!$B$88,BD85+BC86-BL85)))</f>
        <v>131.6666666666666</v>
      </c>
      <c r="BE86" s="13">
        <f>BD86*VLOOKUP('Données projet'!$B$11,Paramètres!$A$1:$I$89,3,0)*VLOOKUP('Données projet'!$B$11,Paramètres!$A$1:$I$89,5,0)</f>
        <v>137.61799999999994</v>
      </c>
      <c r="BF86" s="13">
        <f t="shared" si="91"/>
        <v>35.750778939526811</v>
      </c>
      <c r="BG86" s="20">
        <f t="shared" si="61"/>
        <v>301.95062331967574</v>
      </c>
      <c r="BH86" s="59">
        <f t="shared" si="62"/>
        <v>595.283956653009</v>
      </c>
      <c r="BI86" s="59">
        <f ca="1">AVERAGE(OFFSET($BH$3,0,0,'Données projet'!$E$11+1,1))-AVERAGE(OFFSET($H$3,0,0,'Données projet'!$E$11+1,1))</f>
        <v>140.32771978791288</v>
      </c>
      <c r="BJ86" s="59">
        <f t="shared" si="92"/>
        <v>135.76866977947634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1.3354621074536894</v>
      </c>
      <c r="BQ86" s="21">
        <f>EXP(-LN(2)/25)*BQ85+(1-EXP(-LN(2)/25))/(LN(2)/25)*Calculateur!BL86*Calculateur!BN86*VLOOKUP('Données projet'!$B$11,Paramètres!$A$1:$I$89,3,0)*0.475*44/12</f>
        <v>14.836148483754837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16.171610591208527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6.7444444444444462</v>
      </c>
      <c r="BY86" s="12">
        <f>IF('Données projet'!$A$114&gt;35,BY85+BX86-CG85,IF(A86&lt;'Données projet'!$A$114,$BV$205^A86,IF(A86='Données projet'!$A$114,'Données projet'!$B$114,BY85+BX86-CG85)))</f>
        <v>209.03666666666666</v>
      </c>
      <c r="BZ86" s="13">
        <f>BY86*VLOOKUP('Données projet'!$B$12,Paramètres!$A$1:$I$89,3,0)*VLOOKUP('Données projet'!$B$12,Paramètres!$A$1:$I$89,5,0)</f>
        <v>211.96317999999999</v>
      </c>
      <c r="CA86" s="13">
        <f t="shared" si="93"/>
        <v>52.364357316031814</v>
      </c>
      <c r="CB86" s="20">
        <f t="shared" si="64"/>
        <v>460.37046082542201</v>
      </c>
      <c r="CC86" s="59">
        <f t="shared" si="65"/>
        <v>753.70379415875527</v>
      </c>
      <c r="CD86" s="59">
        <f ca="1">AVERAGE(OFFSET($CC$3,0,0,'Données projet'!$E$12+1,1))-AVERAGE(OFFSET($H$3,0,0,'Données projet'!$E$12+1,1))</f>
        <v>372.05986520199804</v>
      </c>
      <c r="CE86" s="59">
        <f t="shared" si="94"/>
        <v>184.37981929432044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36.832980255444227</v>
      </c>
      <c r="CM86" s="21">
        <f>EXP(-LN(2)/2)*CM85+(1-EXP(-LN(2)/2))/(LN(2)/2)*CG86*CJ86*VLOOKUP('Données projet'!$B$12,Paramètres!$A$1:$I$89,3,0)*0.475*44/12</f>
        <v>0.8799588460040908</v>
      </c>
      <c r="CN86" s="22">
        <f t="shared" si="66"/>
        <v>37.71293910144832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9.546999999999997</v>
      </c>
      <c r="CT86" s="12">
        <f>IF('Données projet'!$A$140&gt;35,CT85+CS86-DB85,IF(A86&lt;'Données projet'!$A$140,$CQ$205^A86,IF(A86='Données projet'!$A$140,'Données projet'!$B$140,CT85+CS86-DB85)))</f>
        <v>345.54300000000046</v>
      </c>
      <c r="CU86" s="17">
        <f>CT86*VLOOKUP('Données projet'!$B$13,Paramètres!$A$1:$I$89,3,0)*VLOOKUP('Données projet'!$B$13,Paramètres!$A$1:$I$89,5,0)</f>
        <v>312.64730640000039</v>
      </c>
      <c r="CV86" s="13">
        <f t="shared" si="95"/>
        <v>73.821419204446315</v>
      </c>
      <c r="CW86" s="20">
        <f t="shared" si="67"/>
        <v>673.09969709441123</v>
      </c>
      <c r="CX86" s="59">
        <f t="shared" si="68"/>
        <v>966.4330304277446</v>
      </c>
      <c r="CY86" s="59">
        <f ca="1">AVERAGE(OFFSET($CX$3,0,0,'Données projet'!$E$13+1,1))-AVERAGE(OFFSET($H$3,0,0,'Données projet'!$E$13+1,1))</f>
        <v>479.84731392413374</v>
      </c>
      <c r="CZ86" s="59">
        <f t="shared" si="96"/>
        <v>203.57601099841213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12.237499391996371</v>
      </c>
      <c r="DG86" s="21">
        <f>EXP(-LN(2)/25)*DG85+(1-EXP(-LN(2)/25))/(LN(2)/25)*Calculateur!DB86*Calculateur!DD86*VLOOKUP('Données projet'!$B$13,Paramètres!$A$1:$I$89,3,0)*0.475*44/12</f>
        <v>24.535379119529289</v>
      </c>
      <c r="DH86" s="21">
        <f>EXP(-LN(2)/2)*DH85+(1-EXP(-LN(2)/2))/(LN(2)/2)*DB86*DE86*VLOOKUP('Données projet'!$B$13,Paramètres!$A$1:$I$89,3,0)*0.475*44/12</f>
        <v>0.20784007321282855</v>
      </c>
      <c r="DI86" s="22">
        <f t="shared" si="69"/>
        <v>36.98071858473849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6.7984728957526396E-14</v>
      </c>
      <c r="P87" s="13">
        <f t="shared" si="87"/>
        <v>1.0682447123141398E-12</v>
      </c>
      <c r="Q87" s="20">
        <f t="shared" si="54"/>
        <v>1.978932943548152E-12</v>
      </c>
      <c r="R87" s="59">
        <f t="shared" si="55"/>
        <v>293.3333333333353</v>
      </c>
      <c r="S87" s="59">
        <f ca="1">AVERAGE(OFFSET($R$3,0,0,'Données projet'!$E$9+1,1))-AVERAGE(OFFSET($H$3,0,0,'Données projet'!$E$9+1,1))</f>
        <v>322.7909000321435</v>
      </c>
      <c r="T87" s="59">
        <f t="shared" si="88"/>
        <v>403.23516981532316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102.24612517240324</v>
      </c>
      <c r="AA87" s="21">
        <f>EXP(-LN(2)/25)*AA86+(1-EXP(-LN(2)/25))/(LN(2)/25)*Calculateur!V87*Calculateur!X87*VLOOKUP('Données projet'!$B$9,Paramètres!$A$1:$I$89,3,0)*0.475*44/12</f>
        <v>28.373522304378657</v>
      </c>
      <c r="AB87" s="21">
        <f>EXP(-LN(2)/2)*AB86+(1-EXP(-LN(2)/2))/(LN(2)/2)*V87*Y87*VLOOKUP('Données projet'!$B$9,Paramètres!$A$1:$I$89,3,0)*0.475*44/12</f>
        <v>4.7182807642846582E-3</v>
      </c>
      <c r="AC87" s="22">
        <f t="shared" si="57"/>
        <v>130.62436575754617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10.417499999999999</v>
      </c>
      <c r="AI87" s="13">
        <f>IF('Données projet'!$A$62&gt;35,AI86+AH87-AQ86,IF(A87&lt;'Données projet'!$A$62,$AF$205^A87,IF(A87='Données projet'!$A$62,'Données projet'!$B$62,AI86+AH87-AQ86)))</f>
        <v>395.50750000000005</v>
      </c>
      <c r="AJ87" s="13">
        <f>AI87*VLOOKUP('Données projet'!$B$10,Paramètres!$A$1:$I$89,3,0)*VLOOKUP('Données projet'!$B$10,Paramètres!$A$1:$I$89,5,0)</f>
        <v>185.09751</v>
      </c>
      <c r="AK87" s="13">
        <f t="shared" si="89"/>
        <v>46.454438413259567</v>
      </c>
      <c r="AL87" s="20">
        <f t="shared" si="58"/>
        <v>403.28631015309378</v>
      </c>
      <c r="AM87" s="59">
        <f t="shared" si="59"/>
        <v>696.61964348642709</v>
      </c>
      <c r="AN87" s="59">
        <f ca="1">AVERAGE(OFFSET($AM$3,0,0,'Données projet'!$E$10+1,1))-AVERAGE(OFFSET($H$3,0,0,'Données projet'!$E$10+1,1))</f>
        <v>187.82209112143374</v>
      </c>
      <c r="AO87" s="59">
        <f t="shared" si="90"/>
        <v>158.99136654880203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36.207808956720825</v>
      </c>
      <c r="AV87" s="21">
        <f>EXP(-LN(2)/25)*AV86+(1-EXP(-LN(2)/25))/(LN(2)/25)*Calculateur!AQ87*Calculateur!AS87*VLOOKUP('Données projet'!$B$10,Paramètres!$A$1:$I$89,3,0)*0.475*44/12</f>
        <v>14.481872759743419</v>
      </c>
      <c r="AW87" s="21">
        <f>EXP(-LN(2)/2)*AW86+(1-EXP(-LN(2)/2))/(LN(2)/2)*AQ87*AT87*VLOOKUP('Données projet'!$B$10,Paramètres!$A$1:$I$89,3,0)*0.475*44/12</f>
        <v>0.44781055079541443</v>
      </c>
      <c r="AX87" s="21">
        <f t="shared" si="60"/>
        <v>51.13749226725966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1.7948717948717898</v>
      </c>
      <c r="BD87" s="12">
        <f>IF('Données projet'!$A$88&gt;35,BD86+BC87-BL86,IF(A87&lt;'Données projet'!$A$88,$BA$205^A87,IF(A87='Données projet'!$A$88,'Données projet'!$B$88,BD86+BC87-BL86)))</f>
        <v>133.4615384615384</v>
      </c>
      <c r="BE87" s="13">
        <f>BD87*VLOOKUP('Données projet'!$B$11,Paramètres!$A$1:$I$89,3,0)*VLOOKUP('Données projet'!$B$11,Paramètres!$A$1:$I$89,5,0)</f>
        <v>139.49399999999994</v>
      </c>
      <c r="BF87" s="13">
        <f t="shared" si="91"/>
        <v>36.181063584224482</v>
      </c>
      <c r="BG87" s="20">
        <f t="shared" si="61"/>
        <v>305.96740240919087</v>
      </c>
      <c r="BH87" s="59">
        <f t="shared" si="62"/>
        <v>599.30073574252424</v>
      </c>
      <c r="BI87" s="59">
        <f ca="1">AVERAGE(OFFSET($BH$3,0,0,'Données projet'!$E$11+1,1))-AVERAGE(OFFSET($H$3,0,0,'Données projet'!$E$11+1,1))</f>
        <v>140.32771978791288</v>
      </c>
      <c r="BJ87" s="59">
        <f t="shared" si="92"/>
        <v>135.76866977947634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1.3092745100779779</v>
      </c>
      <c r="BQ87" s="21">
        <f>EXP(-LN(2)/25)*BQ86+(1-EXP(-LN(2)/25))/(LN(2)/25)*Calculateur!BL87*Calculateur!BN87*VLOOKUP('Données projet'!$B$11,Paramètres!$A$1:$I$89,3,0)*0.475*44/12</f>
        <v>14.430453223267421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15.739727733345399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6.7444444444444462</v>
      </c>
      <c r="BY87" s="12">
        <f>IF('Données projet'!$A$114&gt;35,BY86+BX87-CG86,IF(A87&lt;'Données projet'!$A$114,$BV$205^A87,IF(A87='Données projet'!$A$114,'Données projet'!$B$114,BY86+BX87-CG86)))</f>
        <v>215.7811111111111</v>
      </c>
      <c r="BZ87" s="13">
        <f>BY87*VLOOKUP('Données projet'!$B$12,Paramètres!$A$1:$I$89,3,0)*VLOOKUP('Données projet'!$B$12,Paramètres!$A$1:$I$89,5,0)</f>
        <v>218.80204666666666</v>
      </c>
      <c r="CA87" s="13">
        <f t="shared" si="93"/>
        <v>53.854433800339066</v>
      </c>
      <c r="CB87" s="20">
        <f t="shared" si="64"/>
        <v>474.87670348003502</v>
      </c>
      <c r="CC87" s="59">
        <f t="shared" si="65"/>
        <v>768.21003681336833</v>
      </c>
      <c r="CD87" s="59">
        <f ca="1">AVERAGE(OFFSET($CC$3,0,0,'Données projet'!$E$12+1,1))-AVERAGE(OFFSET($H$3,0,0,'Données projet'!$E$12+1,1))</f>
        <v>372.05986520199804</v>
      </c>
      <c r="CE87" s="59">
        <f t="shared" si="94"/>
        <v>184.37981929432044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35.825780473396854</v>
      </c>
      <c r="CM87" s="21">
        <f>EXP(-LN(2)/2)*CM86+(1-EXP(-LN(2)/2))/(LN(2)/2)*CG87*CJ87*VLOOKUP('Données projet'!$B$12,Paramètres!$A$1:$I$89,3,0)*0.475*44/12</f>
        <v>0.62222486717458159</v>
      </c>
      <c r="CN87" s="22">
        <f t="shared" si="66"/>
        <v>36.448005340571434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355.09</v>
      </c>
      <c r="CR87" s="12">
        <f>VLOOKUP(A87,'Données projet'!$A$139:$I$159,9,0)</f>
        <v>9.546999999999997</v>
      </c>
      <c r="CS87" s="12">
        <f t="array" ref="CS87">INDEX(CR:CR,MIN(IF(ISNUMBER(CR87:CR283),ROW(CR87:CR283),"")))</f>
        <v>9.546999999999997</v>
      </c>
      <c r="CT87" s="12">
        <f>IF('Données projet'!$A$140&gt;35,CT86+CS87-DB86,IF(A87&lt;'Données projet'!$A$140,$CQ$205^A87,IF(A87='Données projet'!$A$140,'Données projet'!$B$140,CT86+CS87-DB86)))</f>
        <v>355.09000000000049</v>
      </c>
      <c r="CU87" s="17">
        <f>CT87*VLOOKUP('Données projet'!$B$13,Paramètres!$A$1:$I$89,3,0)*VLOOKUP('Données projet'!$B$13,Paramètres!$A$1:$I$89,5,0)</f>
        <v>321.28543200000041</v>
      </c>
      <c r="CV87" s="13">
        <f t="shared" si="95"/>
        <v>75.620750353808944</v>
      </c>
      <c r="CW87" s="20">
        <f t="shared" si="67"/>
        <v>691.27826759955133</v>
      </c>
      <c r="CX87" s="59">
        <f t="shared" si="68"/>
        <v>984.61160093288458</v>
      </c>
      <c r="CY87" s="59">
        <f ca="1">AVERAGE(OFFSET($CX$3,0,0,'Données projet'!$E$13+1,1))-AVERAGE(OFFSET($H$3,0,0,'Données projet'!$E$13+1,1))</f>
        <v>479.84731392413374</v>
      </c>
      <c r="CZ87" s="59">
        <f t="shared" si="96"/>
        <v>203.57601099841213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66.69</v>
      </c>
      <c r="DC87" s="16">
        <f>IF(ISNA(VLOOKUP(A87,'Données projet'!$A$139:$I$159,5,0)),0%,VLOOKUP(A87,'Données projet'!$A$139:$I$159,5,0)*VLOOKUP('Données projet'!$B$13,Paramètres!$A$1:$I$89,7,0))</f>
        <v>0.15049999999999999</v>
      </c>
      <c r="DD87" s="16">
        <f>IF(ISNA(VLOOKUP(A87,'Données projet'!$A$139:$I$159,6,0)),0%,VLOOKUP(A87,'Données projet'!$A$139:$I$159,6,0)*VLOOKUP('Données projet'!$B$13,Paramètres!$A$1:$I$89,7,0))</f>
        <v>8.6000000000000007E-2</v>
      </c>
      <c r="DE87" s="16">
        <f>IF(ISNA(VLOOKUP(A87,'Données projet'!$A$139:$I$159,7,0)),0%,VLOOKUP(A87,'Données projet'!$A$139:$I$159,7,0))</f>
        <v>0.1</v>
      </c>
      <c r="DF87" s="21">
        <f>EXP(-LN(2)/35)*DF86+(1-EXP(-LN(2)/35))/(LN(2)/35)*DB87*DC87*VLOOKUP('Données projet'!$B$13,Paramètres!$A$1:$I$89,3,0)*0.475*44/12</f>
        <v>22.036678946661006</v>
      </c>
      <c r="DG87" s="21">
        <f>EXP(-LN(2)/25)*DG86+(1-EXP(-LN(2)/25))/(LN(2)/25)*Calculateur!DB87*Calculateur!DD87*VLOOKUP('Données projet'!$B$13,Paramètres!$A$1:$I$89,3,0)*0.475*44/12</f>
        <v>29.578527314097339</v>
      </c>
      <c r="DH87" s="21">
        <f>EXP(-LN(2)/2)*DH86+(1-EXP(-LN(2)/2))/(LN(2)/2)*DB87*DE87*VLOOKUP('Données projet'!$B$13,Paramètres!$A$1:$I$89,3,0)*0.475*44/12</f>
        <v>5.8403114480929164</v>
      </c>
      <c r="DI87" s="22">
        <f t="shared" si="69"/>
        <v>57.455517708851261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6.7984728957526396E-14</v>
      </c>
      <c r="P88" s="13">
        <f t="shared" si="87"/>
        <v>1.0682447123141398E-12</v>
      </c>
      <c r="Q88" s="20">
        <f t="shared" si="54"/>
        <v>1.978932943548152E-12</v>
      </c>
      <c r="R88" s="59">
        <f t="shared" si="55"/>
        <v>293.3333333333353</v>
      </c>
      <c r="S88" s="59">
        <f ca="1">AVERAGE(OFFSET($R$3,0,0,'Données projet'!$E$9+1,1))-AVERAGE(OFFSET($H$3,0,0,'Données projet'!$E$9+1,1))</f>
        <v>322.7909000321435</v>
      </c>
      <c r="T88" s="59">
        <f t="shared" si="88"/>
        <v>403.23516981532316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100.24114102175083</v>
      </c>
      <c r="AA88" s="21">
        <f>EXP(-LN(2)/25)*AA87+(1-EXP(-LN(2)/25))/(LN(2)/25)*Calculateur!V88*Calculateur!X88*VLOOKUP('Données projet'!$B$9,Paramètres!$A$1:$I$89,3,0)*0.475*44/12</f>
        <v>27.597646844866734</v>
      </c>
      <c r="AB88" s="21">
        <f>EXP(-LN(2)/2)*AB87+(1-EXP(-LN(2)/2))/(LN(2)/2)*V88*Y88*VLOOKUP('Données projet'!$B$9,Paramètres!$A$1:$I$89,3,0)*0.475*44/12</f>
        <v>3.336328323967728E-3</v>
      </c>
      <c r="AC88" s="22">
        <f t="shared" si="57"/>
        <v>127.84212419494153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10.417499999999999</v>
      </c>
      <c r="AI88" s="13">
        <f>IF('Données projet'!$A$62&gt;35,AI87+AH88-AQ87,IF(A88&lt;'Données projet'!$A$62,$AF$205^A88,IF(A88='Données projet'!$A$62,'Données projet'!$B$62,AI87+AH88-AQ87)))</f>
        <v>405.92500000000007</v>
      </c>
      <c r="AJ88" s="13">
        <f>AI88*VLOOKUP('Données projet'!$B$10,Paramètres!$A$1:$I$89,3,0)*VLOOKUP('Données projet'!$B$10,Paramètres!$A$1:$I$89,5,0)</f>
        <v>189.97290000000001</v>
      </c>
      <c r="AK88" s="13">
        <f t="shared" si="89"/>
        <v>47.533961376261203</v>
      </c>
      <c r="AL88" s="20">
        <f t="shared" si="58"/>
        <v>413.6577835636549</v>
      </c>
      <c r="AM88" s="59">
        <f t="shared" si="59"/>
        <v>706.99111689698816</v>
      </c>
      <c r="AN88" s="59">
        <f ca="1">AVERAGE(OFFSET($AM$3,0,0,'Données projet'!$E$10+1,1))-AVERAGE(OFFSET($H$3,0,0,'Données projet'!$E$10+1,1))</f>
        <v>187.82209112143374</v>
      </c>
      <c r="AO88" s="59">
        <f t="shared" si="90"/>
        <v>158.99136654880203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35.497795907662322</v>
      </c>
      <c r="AV88" s="21">
        <f>EXP(-LN(2)/25)*AV87+(1-EXP(-LN(2)/25))/(LN(2)/25)*Calculateur!AQ88*Calculateur!AS88*VLOOKUP('Données projet'!$B$10,Paramètres!$A$1:$I$89,3,0)*0.475*44/12</f>
        <v>14.085865187559646</v>
      </c>
      <c r="AW88" s="21">
        <f>EXP(-LN(2)/2)*AW87+(1-EXP(-LN(2)/2))/(LN(2)/2)*AQ88*AT88*VLOOKUP('Données projet'!$B$10,Paramètres!$A$1:$I$89,3,0)*0.475*44/12</f>
        <v>0.31664987715432047</v>
      </c>
      <c r="AX88" s="21">
        <f t="shared" si="60"/>
        <v>49.900310972376289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135.25641025641025</v>
      </c>
      <c r="BB88" s="12">
        <f>VLOOKUP(A88,'Données projet'!$A$87:$I$107,9,0)</f>
        <v>1.7948717948717898</v>
      </c>
      <c r="BC88" s="12">
        <f t="array" ref="BC88">INDEX(BB:BB,MIN(IF(ISNUMBER(BB88:BB284),ROW(BB88:BB284),"")))</f>
        <v>1.7948717948717898</v>
      </c>
      <c r="BD88" s="12">
        <f>IF('Données projet'!$A$88&gt;35,BD87+BC88-BL87,IF(A88&lt;'Données projet'!$A$88,$BA$205^A88,IF(A88='Données projet'!$A$88,'Données projet'!$B$88,BD87+BC88-BL87)))</f>
        <v>135.25641025641019</v>
      </c>
      <c r="BE88" s="13">
        <f>BD88*VLOOKUP('Données projet'!$B$11,Paramètres!$A$1:$I$89,3,0)*VLOOKUP('Données projet'!$B$11,Paramètres!$A$1:$I$89,5,0)</f>
        <v>141.36999999999995</v>
      </c>
      <c r="BF88" s="13">
        <f t="shared" si="91"/>
        <v>36.610675159135553</v>
      </c>
      <c r="BG88" s="20">
        <f t="shared" si="61"/>
        <v>309.98300923549431</v>
      </c>
      <c r="BH88" s="59">
        <f t="shared" si="62"/>
        <v>603.31634256882762</v>
      </c>
      <c r="BI88" s="59">
        <f ca="1">AVERAGE(OFFSET($BH$3,0,0,'Données projet'!$E$11+1,1))-AVERAGE(OFFSET($H$3,0,0,'Données projet'!$E$11+1,1))</f>
        <v>140.32771978791288</v>
      </c>
      <c r="BJ88" s="59">
        <f t="shared" si="92"/>
        <v>135.76866977947634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6.4102564102564097</v>
      </c>
      <c r="BM88" s="16">
        <f>IF(ISNA(VLOOKUP(A88,'Données projet'!$A$87:$I$107,5,0)),0%,VLOOKUP(A88,'Données projet'!$A$87:$I$107,5,0)*VLOOKUP('Données projet'!$B$11,Paramètres!$A$1:$I$89,7,0))</f>
        <v>4.3000000000000003E-2</v>
      </c>
      <c r="BN88" s="16">
        <f>IF(ISNA(VLOOKUP(A88,'Données projet'!$A$87:$I$107,6,0)),0%,VLOOKUP(A88,'Données projet'!$A$87:$I$107,6,0)*VLOOKUP('Données projet'!$B$11,Paramètres!$A$1:$I$89,7,0))</f>
        <v>0.215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1.6020864518573896</v>
      </c>
      <c r="BQ88" s="21">
        <f>EXP(-LN(2)/25)*BQ87+(1-EXP(-LN(2)/25))/(LN(2)/25)*Calculateur!BL88*Calculateur!BN88*VLOOKUP('Données projet'!$B$11,Paramètres!$A$1:$I$89,3,0)*0.475*44/12</f>
        <v>15.622011798734682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17.224098250592071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6.7444444444444462</v>
      </c>
      <c r="BY88" s="12">
        <f>IF('Données projet'!$A$114&gt;35,BY87+BX88-CG87,IF(A88&lt;'Données projet'!$A$114,$BV$205^A88,IF(A88='Données projet'!$A$114,'Données projet'!$B$114,BY87+BX88-CG87)))</f>
        <v>222.52555555555554</v>
      </c>
      <c r="BZ88" s="13">
        <f>BY88*VLOOKUP('Données projet'!$B$12,Paramètres!$A$1:$I$89,3,0)*VLOOKUP('Données projet'!$B$12,Paramètres!$A$1:$I$89,5,0)</f>
        <v>225.64091333333332</v>
      </c>
      <c r="CA88" s="13">
        <f t="shared" si="93"/>
        <v>55.339098017434395</v>
      </c>
      <c r="CB88" s="20">
        <f t="shared" si="64"/>
        <v>489.37351976925379</v>
      </c>
      <c r="CC88" s="59">
        <f t="shared" si="65"/>
        <v>782.70685310258705</v>
      </c>
      <c r="CD88" s="59">
        <f ca="1">AVERAGE(OFFSET($CC$3,0,0,'Données projet'!$E$12+1,1))-AVERAGE(OFFSET($H$3,0,0,'Données projet'!$E$12+1,1))</f>
        <v>372.05986520199804</v>
      </c>
      <c r="CE88" s="59">
        <f t="shared" si="94"/>
        <v>184.37981929432044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34.8461226223559</v>
      </c>
      <c r="CM88" s="21">
        <f>EXP(-LN(2)/2)*CM87+(1-EXP(-LN(2)/2))/(LN(2)/2)*CG88*CJ88*VLOOKUP('Données projet'!$B$12,Paramètres!$A$1:$I$89,3,0)*0.475*44/12</f>
        <v>0.43997942300204551</v>
      </c>
      <c r="CN88" s="22">
        <f t="shared" si="66"/>
        <v>35.286102045357943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9.1730000000000018</v>
      </c>
      <c r="CT88" s="12">
        <f>IF('Données projet'!$A$140&gt;35,CT87+CS88-DB87,IF(A88&lt;'Données projet'!$A$140,$CQ$205^A88,IF(A88='Données projet'!$A$140,'Données projet'!$B$140,CT87+CS88-DB87)))</f>
        <v>297.57300000000049</v>
      </c>
      <c r="CU88" s="17">
        <f>CT88*VLOOKUP('Données projet'!$B$13,Paramètres!$A$1:$I$89,3,0)*VLOOKUP('Données projet'!$B$13,Paramètres!$A$1:$I$89,5,0)</f>
        <v>269.24405040000045</v>
      </c>
      <c r="CV88" s="13">
        <f t="shared" si="95"/>
        <v>64.688811534365087</v>
      </c>
      <c r="CW88" s="20">
        <f t="shared" si="67"/>
        <v>581.59973453568659</v>
      </c>
      <c r="CX88" s="59">
        <f t="shared" si="68"/>
        <v>874.93306786901985</v>
      </c>
      <c r="CY88" s="59">
        <f ca="1">AVERAGE(OFFSET($CX$3,0,0,'Données projet'!$E$13+1,1))-AVERAGE(OFFSET($H$3,0,0,'Données projet'!$E$13+1,1))</f>
        <v>479.84731392413374</v>
      </c>
      <c r="CZ88" s="59">
        <f t="shared" si="96"/>
        <v>203.57601099841213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21.604553113563949</v>
      </c>
      <c r="DG88" s="21">
        <f>EXP(-LN(2)/25)*DG87+(1-EXP(-LN(2)/25))/(LN(2)/25)*Calculateur!DB88*Calculateur!DD88*VLOOKUP('Données projet'!$B$13,Paramètres!$A$1:$I$89,3,0)*0.475*44/12</f>
        <v>28.7697009292262</v>
      </c>
      <c r="DH88" s="21">
        <f>EXP(-LN(2)/2)*DH87+(1-EXP(-LN(2)/2))/(LN(2)/2)*DB88*DE88*VLOOKUP('Données projet'!$B$13,Paramètres!$A$1:$I$89,3,0)*0.475*44/12</f>
        <v>4.1297238291879266</v>
      </c>
      <c r="DI88" s="22">
        <f t="shared" si="69"/>
        <v>54.503977871978073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6.7984728957526396E-14</v>
      </c>
      <c r="P89" s="13">
        <f t="shared" si="87"/>
        <v>1.0682447123141398E-12</v>
      </c>
      <c r="Q89" s="20">
        <f t="shared" si="54"/>
        <v>1.978932943548152E-12</v>
      </c>
      <c r="R89" s="59">
        <f t="shared" si="55"/>
        <v>293.3333333333353</v>
      </c>
      <c r="S89" s="59">
        <f ca="1">AVERAGE(OFFSET($R$3,0,0,'Données projet'!$E$9+1,1))-AVERAGE(OFFSET($H$3,0,0,'Données projet'!$E$9+1,1))</f>
        <v>322.7909000321435</v>
      </c>
      <c r="T89" s="59">
        <f t="shared" si="88"/>
        <v>403.23516981532316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98.27547338737314</v>
      </c>
      <c r="AA89" s="21">
        <f>EXP(-LN(2)/25)*AA88+(1-EXP(-LN(2)/25))/(LN(2)/25)*Calculateur!V89*Calculateur!X89*VLOOKUP('Données projet'!$B$9,Paramètres!$A$1:$I$89,3,0)*0.475*44/12</f>
        <v>26.84298774059668</v>
      </c>
      <c r="AB89" s="21">
        <f>EXP(-LN(2)/2)*AB88+(1-EXP(-LN(2)/2))/(LN(2)/2)*V89*Y89*VLOOKUP('Données projet'!$B$9,Paramètres!$A$1:$I$89,3,0)*0.475*44/12</f>
        <v>2.3591403821423291E-3</v>
      </c>
      <c r="AC89" s="22">
        <f t="shared" si="57"/>
        <v>125.12082026835196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10.417499999999999</v>
      </c>
      <c r="AI89" s="13">
        <f>IF('Données projet'!$A$62&gt;35,AI88+AH89-AQ88,IF(A89&lt;'Données projet'!$A$62,$AF$205^A89,IF(A89='Données projet'!$A$62,'Données projet'!$B$62,AI88+AH89-AQ88)))</f>
        <v>416.34250000000009</v>
      </c>
      <c r="AJ89" s="13">
        <f>AI89*VLOOKUP('Données projet'!$B$10,Paramètres!$A$1:$I$89,3,0)*VLOOKUP('Données projet'!$B$10,Paramètres!$A$1:$I$89,5,0)</f>
        <v>194.84829000000002</v>
      </c>
      <c r="AK89" s="13">
        <f t="shared" si="89"/>
        <v>48.610263979086888</v>
      </c>
      <c r="AL89" s="20">
        <f t="shared" si="58"/>
        <v>424.02364818024301</v>
      </c>
      <c r="AM89" s="59">
        <f t="shared" si="59"/>
        <v>717.35698151357633</v>
      </c>
      <c r="AN89" s="59">
        <f ca="1">AVERAGE(OFFSET($AM$3,0,0,'Données projet'!$E$10+1,1))-AVERAGE(OFFSET($H$3,0,0,'Données projet'!$E$10+1,1))</f>
        <v>187.82209112143374</v>
      </c>
      <c r="AO89" s="59">
        <f t="shared" si="90"/>
        <v>158.99136654880203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34.801705781430655</v>
      </c>
      <c r="AV89" s="21">
        <f>EXP(-LN(2)/25)*AV88+(1-EXP(-LN(2)/25))/(LN(2)/25)*Calculateur!AQ89*Calculateur!AS89*VLOOKUP('Données projet'!$B$10,Paramètres!$A$1:$I$89,3,0)*0.475*44/12</f>
        <v>13.700686463262372</v>
      </c>
      <c r="AW89" s="21">
        <f>EXP(-LN(2)/2)*AW88+(1-EXP(-LN(2)/2))/(LN(2)/2)*AQ89*AT89*VLOOKUP('Données projet'!$B$10,Paramètres!$A$1:$I$89,3,0)*0.475*44/12</f>
        <v>0.22390527539770724</v>
      </c>
      <c r="AX89" s="21">
        <f t="shared" si="60"/>
        <v>48.726297520090732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1.7948717948717956</v>
      </c>
      <c r="BD89" s="12">
        <f>IF('Données projet'!$A$88&gt;35,BD88+BC89-BL88,IF(A89&lt;'Données projet'!$A$88,$BA$205^A89,IF(A89='Données projet'!$A$88,'Données projet'!$B$88,BD88+BC89-BL88)))</f>
        <v>130.64102564102558</v>
      </c>
      <c r="BE89" s="13">
        <f>BD89*VLOOKUP('Données projet'!$B$11,Paramètres!$A$1:$I$89,3,0)*VLOOKUP('Données projet'!$B$11,Paramètres!$A$1:$I$89,5,0)</f>
        <v>136.54599999999996</v>
      </c>
      <c r="BF89" s="13">
        <f t="shared" si="91"/>
        <v>35.504595871947302</v>
      </c>
      <c r="BG89" s="20">
        <f t="shared" si="61"/>
        <v>299.65478781030816</v>
      </c>
      <c r="BH89" s="59">
        <f t="shared" si="62"/>
        <v>592.98812114364148</v>
      </c>
      <c r="BI89" s="59">
        <f ca="1">AVERAGE(OFFSET($BH$3,0,0,'Données projet'!$E$11+1,1))-AVERAGE(OFFSET($H$3,0,0,'Données projet'!$E$11+1,1))</f>
        <v>140.32771978791288</v>
      </c>
      <c r="BJ89" s="59">
        <f t="shared" si="92"/>
        <v>135.76866977947634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1.5706705137127137</v>
      </c>
      <c r="BQ89" s="21">
        <f>EXP(-LN(2)/25)*BQ88+(1-EXP(-LN(2)/25))/(LN(2)/25)*Calculateur!BL89*Calculateur!BN89*VLOOKUP('Données projet'!$B$11,Paramètres!$A$1:$I$89,3,0)*0.475*44/12</f>
        <v>15.194827064572387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16.7654975782851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>
        <f>VLOOKUP(A89,'Données projet'!$A$113:$I$133,2,0)</f>
        <v>229.27</v>
      </c>
      <c r="BW89" s="12">
        <f>VLOOKUP(A89,'Données projet'!$A$113:$I$133,9,0)</f>
        <v>6.7444444444444462</v>
      </c>
      <c r="BX89" s="12">
        <f t="array" ref="BX89">INDEX(BW:BW,MIN(IF(ISNUMBER(BW89:BW285),ROW(BW89:BW285),"")))</f>
        <v>6.7444444444444462</v>
      </c>
      <c r="BY89" s="12">
        <f>IF('Données projet'!$A$114&gt;35,BY88+BX89-CG88,IF(A89&lt;'Données projet'!$A$114,$BV$205^A89,IF(A89='Données projet'!$A$114,'Données projet'!$B$114,BY88+BX89-CG88)))</f>
        <v>229.26999999999998</v>
      </c>
      <c r="BZ89" s="13">
        <f>BY89*VLOOKUP('Données projet'!$B$12,Paramètres!$A$1:$I$89,3,0)*VLOOKUP('Données projet'!$B$12,Paramètres!$A$1:$I$89,5,0)</f>
        <v>232.47978000000001</v>
      </c>
      <c r="CA89" s="13">
        <f t="shared" si="93"/>
        <v>56.81853283390906</v>
      </c>
      <c r="CB89" s="20">
        <f t="shared" si="64"/>
        <v>503.86122818572488</v>
      </c>
      <c r="CC89" s="59">
        <f t="shared" si="65"/>
        <v>797.1945615190582</v>
      </c>
      <c r="CD89" s="59">
        <f ca="1">AVERAGE(OFFSET($CC$3,0,0,'Données projet'!$E$12+1,1))-AVERAGE(OFFSET($H$3,0,0,'Données projet'!$E$12+1,1))</f>
        <v>372.05986520199804</v>
      </c>
      <c r="CE89" s="59">
        <f t="shared" si="94"/>
        <v>184.37981929432044</v>
      </c>
      <c r="CF89" s="15">
        <f>IF(ISNA(VLOOKUP(A89,'Données projet'!$A$113:$I$133,3,0)),0,VLOOKUP(A89,'Données projet'!$A$113:$I$133,3,0))</f>
        <v>4</v>
      </c>
      <c r="CG89" s="15">
        <f>IF(ISNA(VLOOKUP(A89,'Données projet'!$A$113:$I$133,4,0)),0,VLOOKUP(A89,'Données projet'!$A$113:$I$133,4,0))</f>
        <v>37.54000000000002</v>
      </c>
      <c r="CH89" s="16">
        <f>IF(ISNA(VLOOKUP(A89,'Données projet'!$A$113:$I$133,5,0)),0%,VLOOKUP(A89,'Données projet'!$A$113:$I$133,5,0)*VLOOKUP('Données projet'!$B$12,Paramètres!$A$1:$I$89,7,0))</f>
        <v>0.15049999999999999</v>
      </c>
      <c r="CI89" s="16">
        <f>IF(ISNA(VLOOKUP(A89,'Données projet'!$A$113:$I$133,6,0)),0%,VLOOKUP(A89,'Données projet'!$A$113:$I$133,6,0)*VLOOKUP('Données projet'!$B$12,Paramètres!$A$1:$I$89,7,0))</f>
        <v>8.6000000000000007E-2</v>
      </c>
      <c r="CJ89" s="16">
        <f>IF(ISNA(VLOOKUP(A89,'Données projet'!$A$113:$I$133,7,0)),0%,VLOOKUP(A89,'Données projet'!$A$113:$I$133,7,0))</f>
        <v>0.1</v>
      </c>
      <c r="CK89" s="21">
        <f>EXP(-LN(2)/35)*CK88+(1-EXP(-LN(2)/35))/(LN(2)/35)*CG89*CH89*VLOOKUP('Données projet'!$B$12,Paramètres!$A$1:$I$89,3,0)*0.475*44/12</f>
        <v>6.333092533580313</v>
      </c>
      <c r="CL89" s="21">
        <f>EXP(-LN(2)/25)*CL88+(1-EXP(-LN(2)/25))/(LN(2)/25)*Calculateur!CG89*Calculateur!CI89*VLOOKUP('Données projet'!$B$12,Paramètres!$A$1:$I$89,3,0)*0.475*44/12</f>
        <v>37.49791455830001</v>
      </c>
      <c r="CM89" s="21">
        <f>EXP(-LN(2)/2)*CM88+(1-EXP(-LN(2)/2))/(LN(2)/2)*CG89*CJ89*VLOOKUP('Données projet'!$B$12,Paramètres!$A$1:$I$89,3,0)*0.475*44/12</f>
        <v>3.9027004715399207</v>
      </c>
      <c r="CN89" s="22">
        <f t="shared" si="66"/>
        <v>47.733707563420246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9.1730000000000018</v>
      </c>
      <c r="CT89" s="12">
        <f>IF('Données projet'!$A$140&gt;35,CT88+CS89-DB88,IF(A89&lt;'Données projet'!$A$140,$CQ$205^A89,IF(A89='Données projet'!$A$140,'Données projet'!$B$140,CT88+CS89-DB88)))</f>
        <v>306.74600000000049</v>
      </c>
      <c r="CU89" s="17">
        <f>CT89*VLOOKUP('Données projet'!$B$13,Paramètres!$A$1:$I$89,3,0)*VLOOKUP('Données projet'!$B$13,Paramètres!$A$1:$I$89,5,0)</f>
        <v>277.54378080000043</v>
      </c>
      <c r="CV89" s="13">
        <f t="shared" si="95"/>
        <v>66.447673279805883</v>
      </c>
      <c r="CW89" s="20">
        <f t="shared" si="67"/>
        <v>599.11844918899601</v>
      </c>
      <c r="CX89" s="59">
        <f t="shared" si="68"/>
        <v>892.45178252232927</v>
      </c>
      <c r="CY89" s="59">
        <f ca="1">AVERAGE(OFFSET($CX$3,0,0,'Données projet'!$E$13+1,1))-AVERAGE(OFFSET($H$3,0,0,'Données projet'!$E$13+1,1))</f>
        <v>479.84731392413374</v>
      </c>
      <c r="CZ89" s="59">
        <f t="shared" si="96"/>
        <v>203.57601099841213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21.180901004483189</v>
      </c>
      <c r="DG89" s="21">
        <f>EXP(-LN(2)/25)*DG88+(1-EXP(-LN(2)/25))/(LN(2)/25)*Calculateur!DB89*Calculateur!DD89*VLOOKUP('Données projet'!$B$13,Paramètres!$A$1:$I$89,3,0)*0.475*44/12</f>
        <v>27.982991944383691</v>
      </c>
      <c r="DH89" s="21">
        <f>EXP(-LN(2)/2)*DH88+(1-EXP(-LN(2)/2))/(LN(2)/2)*DB89*DE89*VLOOKUP('Données projet'!$B$13,Paramètres!$A$1:$I$89,3,0)*0.475*44/12</f>
        <v>2.9201557240464586</v>
      </c>
      <c r="DI89" s="22">
        <f t="shared" si="69"/>
        <v>52.08404867291334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6.7984728957526396E-14</v>
      </c>
      <c r="P90" s="13">
        <f t="shared" si="87"/>
        <v>1.0682447123141398E-12</v>
      </c>
      <c r="Q90" s="20">
        <f t="shared" si="54"/>
        <v>1.978932943548152E-12</v>
      </c>
      <c r="R90" s="59">
        <f t="shared" si="55"/>
        <v>293.3333333333353</v>
      </c>
      <c r="S90" s="59">
        <f ca="1">AVERAGE(OFFSET($R$3,0,0,'Données projet'!$E$9+1,1))-AVERAGE(OFFSET($H$3,0,0,'Données projet'!$E$9+1,1))</f>
        <v>322.7909000321435</v>
      </c>
      <c r="T90" s="59">
        <f t="shared" si="88"/>
        <v>403.23516981532316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96.348351296366729</v>
      </c>
      <c r="AA90" s="21">
        <f>EXP(-LN(2)/25)*AA89+(1-EXP(-LN(2)/25))/(LN(2)/25)*Calculateur!V90*Calculateur!X90*VLOOKUP('Données projet'!$B$9,Paramètres!$A$1:$I$89,3,0)*0.475*44/12</f>
        <v>26.108964829218689</v>
      </c>
      <c r="AB90" s="21">
        <f>EXP(-LN(2)/2)*AB89+(1-EXP(-LN(2)/2))/(LN(2)/2)*V90*Y90*VLOOKUP('Données projet'!$B$9,Paramètres!$A$1:$I$89,3,0)*0.475*44/12</f>
        <v>1.668164161983864E-3</v>
      </c>
      <c r="AC90" s="22">
        <f t="shared" si="57"/>
        <v>122.45898428974741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426.76</v>
      </c>
      <c r="AG90" s="12">
        <f>VLOOKUP(A90,'Données projet'!$A$61:$I$81,9,0)</f>
        <v>10.417499999999999</v>
      </c>
      <c r="AH90" s="12">
        <f t="array" ref="AH90">INDEX(AG:AG,MIN(IF(ISNUMBER(AG90:AG286),ROW(AG90:AG286),"")))</f>
        <v>10.417499999999999</v>
      </c>
      <c r="AI90" s="13">
        <f>IF('Données projet'!$A$62&gt;35,AI89+AH90-AQ89,IF(A90&lt;'Données projet'!$A$62,$AF$205^A90,IF(A90='Données projet'!$A$62,'Données projet'!$B$62,AI89+AH90-AQ89)))</f>
        <v>426.7600000000001</v>
      </c>
      <c r="AJ90" s="13">
        <f>AI90*VLOOKUP('Données projet'!$B$10,Paramètres!$A$1:$I$89,3,0)*VLOOKUP('Données projet'!$B$10,Paramètres!$A$1:$I$89,5,0)</f>
        <v>199.72368000000006</v>
      </c>
      <c r="AK90" s="13">
        <f t="shared" si="89"/>
        <v>49.68343606725896</v>
      </c>
      <c r="AL90" s="20">
        <f t="shared" si="58"/>
        <v>434.38406048380944</v>
      </c>
      <c r="AM90" s="59">
        <f t="shared" si="59"/>
        <v>727.71739381714269</v>
      </c>
      <c r="AN90" s="59">
        <f ca="1">AVERAGE(OFFSET($AM$3,0,0,'Données projet'!$E$10+1,1))-AVERAGE(OFFSET($H$3,0,0,'Données projet'!$E$10+1,1))</f>
        <v>187.82209112143374</v>
      </c>
      <c r="AO90" s="59">
        <f t="shared" si="90"/>
        <v>158.99136654880203</v>
      </c>
      <c r="AP90" s="15">
        <f>IF(ISNA(VLOOKUP(A90,'Données projet'!$A$61:$I$81,3,0)),0,VLOOKUP(A90,'Données projet'!$A$61:$I$81,3,0))</f>
        <v>4</v>
      </c>
      <c r="AQ90" s="15">
        <f>IF(ISNA(VLOOKUP(A90,'Données projet'!$A$61:$I$81,4,0)),0,VLOOKUP(A90,'Données projet'!$A$61:$I$81,4,0))</f>
        <v>92.519999999999982</v>
      </c>
      <c r="AR90" s="16">
        <f>IF(ISNA(VLOOKUP(A90,'Données projet'!$A$61:$I$81,5,0)),0%,VLOOKUP(A90,'Données projet'!$A$61:$I$81,5,0)*VLOOKUP('Données projet'!$B$10,Paramètres!$A$1:$I$89,7,0))</f>
        <v>0.33</v>
      </c>
      <c r="AS90" s="16">
        <f>IF(ISNA(VLOOKUP(A90,'Données projet'!$A$61:$I$81,6,0)),0%,VLOOKUP(A90,'Données projet'!$A$61:$I$81,6,0)*VLOOKUP('Données projet'!$B$10,Paramètres!$A$1:$I$89,7,0))</f>
        <v>0.11000000000000001</v>
      </c>
      <c r="AT90" s="16">
        <f>IF(ISNA(VLOOKUP(A90,'Données projet'!$A$61:$I$81,7,0)),0%,VLOOKUP(A90,'Données projet'!$A$61:$I$81,7,0))</f>
        <v>0.2</v>
      </c>
      <c r="AU90" s="21">
        <f>EXP(-LN(2)/35)*AU89+(1-EXP(-LN(2)/35))/(LN(2)/35)*AQ90*AR90*VLOOKUP('Données projet'!$B$10,Paramètres!$A$1:$I$89,3,0)*0.475*44/12</f>
        <v>53.074264891363939</v>
      </c>
      <c r="AV90" s="21">
        <f>EXP(-LN(2)/25)*AV89+(1-EXP(-LN(2)/25))/(LN(2)/25)*Calculateur!AQ90*Calculateur!AS90*VLOOKUP('Données projet'!$B$10,Paramètres!$A$1:$I$89,3,0)*0.475*44/12</f>
        <v>19.619495897625399</v>
      </c>
      <c r="AW90" s="21">
        <f>EXP(-LN(2)/2)*AW89+(1-EXP(-LN(2)/2))/(LN(2)/2)*AQ90*AT90*VLOOKUP('Données projet'!$B$10,Paramètres!$A$1:$I$89,3,0)*0.475*44/12</f>
        <v>9.9633117094222658</v>
      </c>
      <c r="AX90" s="21">
        <f t="shared" si="60"/>
        <v>82.657072498411608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1.7948717948717956</v>
      </c>
      <c r="BD90" s="12">
        <f>IF('Données projet'!$A$88&gt;35,BD89+BC90-BL89,IF(A90&lt;'Données projet'!$A$88,$BA$205^A90,IF(A90='Données projet'!$A$88,'Données projet'!$B$88,BD89+BC90-BL89)))</f>
        <v>132.43589743589737</v>
      </c>
      <c r="BE90" s="13">
        <f>BD90*VLOOKUP('Données projet'!$B$11,Paramètres!$A$1:$I$89,3,0)*VLOOKUP('Données projet'!$B$11,Paramètres!$A$1:$I$89,5,0)</f>
        <v>138.42199999999994</v>
      </c>
      <c r="BF90" s="13">
        <f t="shared" si="91"/>
        <v>35.935269711934978</v>
      </c>
      <c r="BG90" s="20">
        <f t="shared" si="61"/>
        <v>303.67224474828663</v>
      </c>
      <c r="BH90" s="59">
        <f t="shared" si="62"/>
        <v>597.00557808161989</v>
      </c>
      <c r="BI90" s="59">
        <f ca="1">AVERAGE(OFFSET($BH$3,0,0,'Données projet'!$E$11+1,1))-AVERAGE(OFFSET($H$3,0,0,'Données projet'!$E$11+1,1))</f>
        <v>140.32771978791288</v>
      </c>
      <c r="BJ90" s="59">
        <f t="shared" si="92"/>
        <v>135.76866977947634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1.5398706229532246</v>
      </c>
      <c r="BQ90" s="21">
        <f>EXP(-LN(2)/25)*BQ89+(1-EXP(-LN(2)/25))/(LN(2)/25)*Calculateur!BL90*Calculateur!BN90*VLOOKUP('Données projet'!$B$11,Paramètres!$A$1:$I$89,3,0)*0.475*44/12</f>
        <v>14.779323719430428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16.319194342383653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6.7600000000000007</v>
      </c>
      <c r="BY90" s="12">
        <f>IF('Données projet'!$A$114&gt;35,BY89+BX90-CG89,IF(A90&lt;'Données projet'!$A$114,$BV$205^A90,IF(A90='Données projet'!$A$114,'Données projet'!$B$114,BY89+BX90-CG89)))</f>
        <v>198.48999999999995</v>
      </c>
      <c r="BZ90" s="13">
        <f>BY90*VLOOKUP('Données projet'!$B$12,Paramètres!$A$1:$I$89,3,0)*VLOOKUP('Données projet'!$B$12,Paramètres!$A$1:$I$89,5,0)</f>
        <v>201.26885999999993</v>
      </c>
      <c r="CA90" s="13">
        <f t="shared" si="93"/>
        <v>50.022922026408203</v>
      </c>
      <c r="CB90" s="20">
        <f t="shared" si="64"/>
        <v>437.66652036266078</v>
      </c>
      <c r="CC90" s="59">
        <f t="shared" si="65"/>
        <v>730.99985369599403</v>
      </c>
      <c r="CD90" s="59">
        <f ca="1">AVERAGE(OFFSET($CC$3,0,0,'Données projet'!$E$12+1,1))-AVERAGE(OFFSET($H$3,0,0,'Données projet'!$E$12+1,1))</f>
        <v>372.05986520199804</v>
      </c>
      <c r="CE90" s="59">
        <f t="shared" si="94"/>
        <v>184.37981929432044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6.2089044518018284</v>
      </c>
      <c r="CL90" s="21">
        <f>EXP(-LN(2)/25)*CL89+(1-EXP(-LN(2)/25))/(LN(2)/25)*Calculateur!CG90*Calculateur!CI90*VLOOKUP('Données projet'!$B$12,Paramètres!$A$1:$I$89,3,0)*0.475*44/12</f>
        <v>36.472532112773671</v>
      </c>
      <c r="CM90" s="21">
        <f>EXP(-LN(2)/2)*CM89+(1-EXP(-LN(2)/2))/(LN(2)/2)*CG90*CJ90*VLOOKUP('Données projet'!$B$12,Paramètres!$A$1:$I$89,3,0)*0.475*44/12</f>
        <v>2.7596259683658149</v>
      </c>
      <c r="CN90" s="22">
        <f t="shared" si="66"/>
        <v>45.441062532941316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9.1730000000000018</v>
      </c>
      <c r="CT90" s="12">
        <f>IF('Données projet'!$A$140&gt;35,CT89+CS90-DB89,IF(A90&lt;'Données projet'!$A$140,$CQ$205^A90,IF(A90='Données projet'!$A$140,'Données projet'!$B$140,CT89+CS90-DB89)))</f>
        <v>315.91900000000049</v>
      </c>
      <c r="CU90" s="17">
        <f>CT90*VLOOKUP('Données projet'!$B$13,Paramètres!$A$1:$I$89,3,0)*VLOOKUP('Données projet'!$B$13,Paramètres!$A$1:$I$89,5,0)</f>
        <v>285.84351120000042</v>
      </c>
      <c r="CV90" s="13">
        <f t="shared" si="95"/>
        <v>68.200422369637309</v>
      </c>
      <c r="CW90" s="20">
        <f t="shared" si="67"/>
        <v>616.62651763378562</v>
      </c>
      <c r="CX90" s="59">
        <f t="shared" si="68"/>
        <v>909.95985096711888</v>
      </c>
      <c r="CY90" s="59">
        <f ca="1">AVERAGE(OFFSET($CX$3,0,0,'Données projet'!$E$13+1,1))-AVERAGE(OFFSET($H$3,0,0,'Données projet'!$E$13+1,1))</f>
        <v>479.84731392413374</v>
      </c>
      <c r="CZ90" s="59">
        <f t="shared" si="96"/>
        <v>203.57601099841213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20.765556454859233</v>
      </c>
      <c r="DG90" s="21">
        <f>EXP(-LN(2)/25)*DG89+(1-EXP(-LN(2)/25))/(LN(2)/25)*Calculateur!DB90*Calculateur!DD90*VLOOKUP('Données projet'!$B$13,Paramètres!$A$1:$I$89,3,0)*0.475*44/12</f>
        <v>27.217795558102928</v>
      </c>
      <c r="DH90" s="21">
        <f>EXP(-LN(2)/2)*DH89+(1-EXP(-LN(2)/2))/(LN(2)/2)*DB90*DE90*VLOOKUP('Données projet'!$B$13,Paramètres!$A$1:$I$89,3,0)*0.475*44/12</f>
        <v>2.0648619145939637</v>
      </c>
      <c r="DI90" s="22">
        <f t="shared" si="69"/>
        <v>50.04821392755612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6.7984728957526396E-14</v>
      </c>
      <c r="P91" s="13">
        <f t="shared" si="87"/>
        <v>1.0682447123141398E-12</v>
      </c>
      <c r="Q91" s="20">
        <f t="shared" si="54"/>
        <v>1.978932943548152E-12</v>
      </c>
      <c r="R91" s="59">
        <f t="shared" si="55"/>
        <v>293.3333333333353</v>
      </c>
      <c r="S91" s="59">
        <f ca="1">AVERAGE(OFFSET($R$3,0,0,'Données projet'!$E$9+1,1))-AVERAGE(OFFSET($H$3,0,0,'Données projet'!$E$9+1,1))</f>
        <v>322.7909000321435</v>
      </c>
      <c r="T91" s="59">
        <f t="shared" si="88"/>
        <v>403.23516981532316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94.459018894136534</v>
      </c>
      <c r="AA91" s="21">
        <f>EXP(-LN(2)/25)*AA90+(1-EXP(-LN(2)/25))/(LN(2)/25)*Calculateur!V91*Calculateur!X91*VLOOKUP('Données projet'!$B$9,Paramètres!$A$1:$I$89,3,0)*0.475*44/12</f>
        <v>25.395013812952914</v>
      </c>
      <c r="AB91" s="21">
        <f>EXP(-LN(2)/2)*AB90+(1-EXP(-LN(2)/2))/(LN(2)/2)*V91*Y91*VLOOKUP('Données projet'!$B$9,Paramètres!$A$1:$I$89,3,0)*0.475*44/12</f>
        <v>1.1795701910711645E-3</v>
      </c>
      <c r="AC91" s="22">
        <f t="shared" si="57"/>
        <v>119.85521227728051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9.4258333333333351</v>
      </c>
      <c r="AI91" s="13">
        <f>IF('Données projet'!$A$62&gt;35,AI90+AH91-AQ90,IF(A91&lt;'Données projet'!$A$62,$AF$205^A91,IF(A91='Données projet'!$A$62,'Données projet'!$B$62,AI90+AH91-AQ90)))</f>
        <v>343.66583333333347</v>
      </c>
      <c r="AJ91" s="13">
        <f>AI91*VLOOKUP('Données projet'!$B$10,Paramètres!$A$1:$I$89,3,0)*VLOOKUP('Données projet'!$B$10,Paramètres!$A$1:$I$89,5,0)</f>
        <v>160.83561000000006</v>
      </c>
      <c r="AK91" s="13">
        <f t="shared" si="89"/>
        <v>41.030932398377978</v>
      </c>
      <c r="AL91" s="20">
        <f t="shared" si="58"/>
        <v>351.58422801050841</v>
      </c>
      <c r="AM91" s="59">
        <f t="shared" si="59"/>
        <v>644.91756134384173</v>
      </c>
      <c r="AN91" s="59">
        <f ca="1">AVERAGE(OFFSET($AM$3,0,0,'Données projet'!$E$10+1,1))-AVERAGE(OFFSET($H$3,0,0,'Données projet'!$E$10+1,1))</f>
        <v>187.82209112143374</v>
      </c>
      <c r="AO91" s="59">
        <f t="shared" si="90"/>
        <v>158.99136654880203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52.033510928949397</v>
      </c>
      <c r="AV91" s="21">
        <f>EXP(-LN(2)/25)*AV90+(1-EXP(-LN(2)/25))/(LN(2)/25)*Calculateur!AQ91*Calculateur!AS91*VLOOKUP('Données projet'!$B$10,Paramètres!$A$1:$I$89,3,0)*0.475*44/12</f>
        <v>19.082999750560383</v>
      </c>
      <c r="AW91" s="21">
        <f>EXP(-LN(2)/2)*AW90+(1-EXP(-LN(2)/2))/(LN(2)/2)*AQ91*AT91*VLOOKUP('Données projet'!$B$10,Paramètres!$A$1:$I$89,3,0)*0.475*44/12</f>
        <v>7.0451252728078178</v>
      </c>
      <c r="AX91" s="21">
        <f t="shared" si="60"/>
        <v>78.16163595231761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1.7948717948717956</v>
      </c>
      <c r="BD91" s="12">
        <f>IF('Données projet'!$A$88&gt;35,BD90+BC91-BL90,IF(A91&lt;'Données projet'!$A$88,$BA$205^A91,IF(A91='Données projet'!$A$88,'Données projet'!$B$88,BD90+BC91-BL90)))</f>
        <v>134.23076923076917</v>
      </c>
      <c r="BE91" s="13">
        <f>BD91*VLOOKUP('Données projet'!$B$11,Paramètres!$A$1:$I$89,3,0)*VLOOKUP('Données projet'!$B$11,Paramètres!$A$1:$I$89,5,0)</f>
        <v>140.29799999999997</v>
      </c>
      <c r="BF91" s="13">
        <f t="shared" si="91"/>
        <v>36.365264659858738</v>
      </c>
      <c r="BG91" s="20">
        <f t="shared" si="61"/>
        <v>307.68851928258727</v>
      </c>
      <c r="BH91" s="59">
        <f t="shared" si="62"/>
        <v>601.02185261592058</v>
      </c>
      <c r="BI91" s="59">
        <f ca="1">AVERAGE(OFFSET($BH$3,0,0,'Données projet'!$E$11+1,1))-AVERAGE(OFFSET($H$3,0,0,'Données projet'!$E$11+1,1))</f>
        <v>140.32771978791288</v>
      </c>
      <c r="BJ91" s="59">
        <f t="shared" si="92"/>
        <v>135.76866977947634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1.5096746992654508</v>
      </c>
      <c r="BQ91" s="21">
        <f>EXP(-LN(2)/25)*BQ90+(1-EXP(-LN(2)/25))/(LN(2)/25)*Calculateur!BL91*Calculateur!BN91*VLOOKUP('Données projet'!$B$11,Paramètres!$A$1:$I$89,3,0)*0.475*44/12</f>
        <v>14.375182335111747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15.884857034377198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6.7600000000000007</v>
      </c>
      <c r="BY91" s="12">
        <f>IF('Données projet'!$A$114&gt;35,BY90+BX91-CG90,IF(A91&lt;'Données projet'!$A$114,$BV$205^A91,IF(A91='Données projet'!$A$114,'Données projet'!$B$114,BY90+BX91-CG90)))</f>
        <v>205.24999999999994</v>
      </c>
      <c r="BZ91" s="13">
        <f>BY91*VLOOKUP('Données projet'!$B$12,Paramètres!$A$1:$I$89,3,0)*VLOOKUP('Données projet'!$B$12,Paramètres!$A$1:$I$89,5,0)</f>
        <v>208.12349999999995</v>
      </c>
      <c r="CA91" s="13">
        <f t="shared" si="93"/>
        <v>51.525309267242157</v>
      </c>
      <c r="CB91" s="20">
        <f t="shared" si="64"/>
        <v>452.22167614044662</v>
      </c>
      <c r="CC91" s="59">
        <f t="shared" si="65"/>
        <v>745.55500947377993</v>
      </c>
      <c r="CD91" s="59">
        <f ca="1">AVERAGE(OFFSET($CC$3,0,0,'Données projet'!$E$12+1,1))-AVERAGE(OFFSET($H$3,0,0,'Données projet'!$E$12+1,1))</f>
        <v>372.05986520199804</v>
      </c>
      <c r="CE91" s="59">
        <f t="shared" si="94"/>
        <v>184.37981929432044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6.0871516225597695</v>
      </c>
      <c r="CL91" s="21">
        <f>EXP(-LN(2)/25)*CL90+(1-EXP(-LN(2)/25))/(LN(2)/25)*Calculateur!CG91*Calculateur!CI91*VLOOKUP('Données projet'!$B$12,Paramètres!$A$1:$I$89,3,0)*0.475*44/12</f>
        <v>35.475188804142768</v>
      </c>
      <c r="CM91" s="21">
        <f>EXP(-LN(2)/2)*CM90+(1-EXP(-LN(2)/2))/(LN(2)/2)*CG91*CJ91*VLOOKUP('Données projet'!$B$12,Paramètres!$A$1:$I$89,3,0)*0.475*44/12</f>
        <v>1.9513502357699608</v>
      </c>
      <c r="CN91" s="22">
        <f t="shared" si="66"/>
        <v>43.513690662472492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9.1730000000000018</v>
      </c>
      <c r="CT91" s="12">
        <f>IF('Données projet'!$A$140&gt;35,CT90+CS91-DB90,IF(A91&lt;'Données projet'!$A$140,$CQ$205^A91,IF(A91='Données projet'!$A$140,'Données projet'!$B$140,CT90+CS91-DB90)))</f>
        <v>325.0920000000005</v>
      </c>
      <c r="CU91" s="17">
        <f>CT91*VLOOKUP('Données projet'!$B$13,Paramètres!$A$1:$I$89,3,0)*VLOOKUP('Données projet'!$B$13,Paramètres!$A$1:$I$89,5,0)</f>
        <v>294.14324160000047</v>
      </c>
      <c r="CV91" s="13">
        <f t="shared" si="95"/>
        <v>69.947256671789191</v>
      </c>
      <c r="CW91" s="20">
        <f t="shared" si="67"/>
        <v>634.12428449003357</v>
      </c>
      <c r="CX91" s="59">
        <f t="shared" si="68"/>
        <v>927.45761782336695</v>
      </c>
      <c r="CY91" s="59">
        <f ca="1">AVERAGE(OFFSET($CX$3,0,0,'Données projet'!$E$13+1,1))-AVERAGE(OFFSET($H$3,0,0,'Données projet'!$E$13+1,1))</f>
        <v>479.84731392413374</v>
      </c>
      <c r="CZ91" s="59">
        <f t="shared" si="96"/>
        <v>203.57601099841213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20.358356558518242</v>
      </c>
      <c r="DG91" s="21">
        <f>EXP(-LN(2)/25)*DG90+(1-EXP(-LN(2)/25))/(LN(2)/25)*Calculateur!DB91*Calculateur!DD91*VLOOKUP('Données projet'!$B$13,Paramètres!$A$1:$I$89,3,0)*0.475*44/12</f>
        <v>26.473523507244941</v>
      </c>
      <c r="DH91" s="21">
        <f>EXP(-LN(2)/2)*DH90+(1-EXP(-LN(2)/2))/(LN(2)/2)*DB91*DE91*VLOOKUP('Données projet'!$B$13,Paramètres!$A$1:$I$89,3,0)*0.475*44/12</f>
        <v>1.4600778620232295</v>
      </c>
      <c r="DI91" s="22">
        <f t="shared" si="69"/>
        <v>48.291957927786413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6.7984728957526396E-14</v>
      </c>
      <c r="P92" s="13">
        <f t="shared" si="87"/>
        <v>1.0682447123141398E-12</v>
      </c>
      <c r="Q92" s="20">
        <f t="shared" si="54"/>
        <v>1.978932943548152E-12</v>
      </c>
      <c r="R92" s="59">
        <f t="shared" si="55"/>
        <v>293.3333333333353</v>
      </c>
      <c r="S92" s="59">
        <f ca="1">AVERAGE(OFFSET($R$3,0,0,'Données projet'!$E$9+1,1))-AVERAGE(OFFSET($H$3,0,0,'Données projet'!$E$9+1,1))</f>
        <v>322.7909000321435</v>
      </c>
      <c r="T92" s="59">
        <f t="shared" si="88"/>
        <v>403.23516981532316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92.606735147935098</v>
      </c>
      <c r="AA92" s="21">
        <f>EXP(-LN(2)/25)*AA91+(1-EXP(-LN(2)/25))/(LN(2)/25)*Calculateur!V92*Calculateur!X92*VLOOKUP('Données projet'!$B$9,Paramètres!$A$1:$I$89,3,0)*0.475*44/12</f>
        <v>24.700585824771981</v>
      </c>
      <c r="AB92" s="21">
        <f>EXP(-LN(2)/2)*AB91+(1-EXP(-LN(2)/2))/(LN(2)/2)*V92*Y92*VLOOKUP('Données projet'!$B$9,Paramètres!$A$1:$I$89,3,0)*0.475*44/12</f>
        <v>8.3408208099193201E-4</v>
      </c>
      <c r="AC92" s="22">
        <f t="shared" si="57"/>
        <v>117.30815505478806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9.4258333333333351</v>
      </c>
      <c r="AI92" s="13">
        <f>IF('Données projet'!$A$62&gt;35,AI91+AH92-AQ91,IF(A92&lt;'Données projet'!$A$62,$AF$205^A92,IF(A92='Données projet'!$A$62,'Données projet'!$B$62,AI91+AH92-AQ91)))</f>
        <v>353.09166666666681</v>
      </c>
      <c r="AJ92" s="13">
        <f>AI92*VLOOKUP('Données projet'!$B$10,Paramètres!$A$1:$I$89,3,0)*VLOOKUP('Données projet'!$B$10,Paramètres!$A$1:$I$89,5,0)</f>
        <v>165.24690000000007</v>
      </c>
      <c r="AK92" s="13">
        <f t="shared" si="89"/>
        <v>42.023736751793869</v>
      </c>
      <c r="AL92" s="20">
        <f t="shared" si="58"/>
        <v>360.99635900937443</v>
      </c>
      <c r="AM92" s="59">
        <f t="shared" si="59"/>
        <v>654.32969234270774</v>
      </c>
      <c r="AN92" s="59">
        <f ca="1">AVERAGE(OFFSET($AM$3,0,0,'Données projet'!$E$10+1,1))-AVERAGE(OFFSET($H$3,0,0,'Données projet'!$E$10+1,1))</f>
        <v>187.82209112143374</v>
      </c>
      <c r="AO92" s="59">
        <f t="shared" si="90"/>
        <v>158.99136654880203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51.013165516940568</v>
      </c>
      <c r="AV92" s="21">
        <f>EXP(-LN(2)/25)*AV91+(1-EXP(-LN(2)/25))/(LN(2)/25)*Calculateur!AQ92*Calculateur!AS92*VLOOKUP('Données projet'!$B$10,Paramètres!$A$1:$I$89,3,0)*0.475*44/12</f>
        <v>18.561174118849966</v>
      </c>
      <c r="AW92" s="21">
        <f>EXP(-LN(2)/2)*AW91+(1-EXP(-LN(2)/2))/(LN(2)/2)*AQ92*AT92*VLOOKUP('Données projet'!$B$10,Paramètres!$A$1:$I$89,3,0)*0.475*44/12</f>
        <v>4.9816558547111338</v>
      </c>
      <c r="AX92" s="21">
        <f t="shared" si="60"/>
        <v>74.555995490501672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1.7948717948717956</v>
      </c>
      <c r="BD92" s="12">
        <f>IF('Données projet'!$A$88&gt;35,BD91+BC92-BL91,IF(A92&lt;'Données projet'!$A$88,$BA$205^A92,IF(A92='Données projet'!$A$88,'Données projet'!$B$88,BD91+BC92-BL91)))</f>
        <v>136.02564102564097</v>
      </c>
      <c r="BE92" s="13">
        <f>BD92*VLOOKUP('Données projet'!$B$11,Paramètres!$A$1:$I$89,3,0)*VLOOKUP('Données projet'!$B$11,Paramètres!$A$1:$I$89,5,0)</f>
        <v>142.17399999999995</v>
      </c>
      <c r="BF92" s="13">
        <f t="shared" si="91"/>
        <v>36.794590842933211</v>
      </c>
      <c r="BG92" s="20">
        <f t="shared" si="61"/>
        <v>311.70362905144191</v>
      </c>
      <c r="BH92" s="59">
        <f t="shared" si="62"/>
        <v>605.03696238477528</v>
      </c>
      <c r="BI92" s="59">
        <f ca="1">AVERAGE(OFFSET($BH$3,0,0,'Données projet'!$E$11+1,1))-AVERAGE(OFFSET($H$3,0,0,'Données projet'!$E$11+1,1))</f>
        <v>140.32771978791288</v>
      </c>
      <c r="BJ92" s="59">
        <f t="shared" si="92"/>
        <v>135.76866977947634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1.4800708992234994</v>
      </c>
      <c r="BQ92" s="21">
        <f>EXP(-LN(2)/25)*BQ91+(1-EXP(-LN(2)/25))/(LN(2)/25)*Calculateur!BL92*Calculateur!BN92*VLOOKUP('Données projet'!$B$11,Paramètres!$A$1:$I$89,3,0)*0.475*44/12</f>
        <v>13.982092218200131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15.46216311742363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6.7600000000000007</v>
      </c>
      <c r="BY92" s="12">
        <f>IF('Données projet'!$A$114&gt;35,BY91+BX92-CG91,IF(A92&lt;'Données projet'!$A$114,$BV$205^A92,IF(A92='Données projet'!$A$114,'Données projet'!$B$114,BY91+BX92-CG91)))</f>
        <v>212.00999999999993</v>
      </c>
      <c r="BZ92" s="13">
        <f>BY92*VLOOKUP('Données projet'!$B$12,Paramètres!$A$1:$I$89,3,0)*VLOOKUP('Données projet'!$B$12,Paramètres!$A$1:$I$89,5,0)</f>
        <v>214.97813999999997</v>
      </c>
      <c r="CA92" s="13">
        <f t="shared" si="93"/>
        <v>53.021946755647264</v>
      </c>
      <c r="CB92" s="20">
        <f t="shared" si="64"/>
        <v>466.76681776608552</v>
      </c>
      <c r="CC92" s="59">
        <f t="shared" si="65"/>
        <v>760.10015109941878</v>
      </c>
      <c r="CD92" s="59">
        <f ca="1">AVERAGE(OFFSET($CC$3,0,0,'Données projet'!$E$12+1,1))-AVERAGE(OFFSET($H$3,0,0,'Données projet'!$E$12+1,1))</f>
        <v>372.05986520199804</v>
      </c>
      <c r="CE92" s="59">
        <f t="shared" si="94"/>
        <v>184.37981929432044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5.9677862920372542</v>
      </c>
      <c r="CL92" s="21">
        <f>EXP(-LN(2)/25)*CL91+(1-EXP(-LN(2)/25))/(LN(2)/25)*Calculateur!CG92*Calculateur!CI92*VLOOKUP('Données projet'!$B$12,Paramètres!$A$1:$I$89,3,0)*0.475*44/12</f>
        <v>34.505117900734383</v>
      </c>
      <c r="CM92" s="21">
        <f>EXP(-LN(2)/2)*CM91+(1-EXP(-LN(2)/2))/(LN(2)/2)*CG92*CJ92*VLOOKUP('Données projet'!$B$12,Paramètres!$A$1:$I$89,3,0)*0.475*44/12</f>
        <v>1.3798129841829077</v>
      </c>
      <c r="CN92" s="22">
        <f t="shared" si="66"/>
        <v>41.852717176954542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9.1730000000000018</v>
      </c>
      <c r="CT92" s="12">
        <f>IF('Données projet'!$A$140&gt;35,CT91+CS92-DB91,IF(A92&lt;'Données projet'!$A$140,$CQ$205^A92,IF(A92='Données projet'!$A$140,'Données projet'!$B$140,CT91+CS92-DB91)))</f>
        <v>334.2650000000005</v>
      </c>
      <c r="CU92" s="17">
        <f>CT92*VLOOKUP('Données projet'!$B$13,Paramètres!$A$1:$I$89,3,0)*VLOOKUP('Données projet'!$B$13,Paramètres!$A$1:$I$89,5,0)</f>
        <v>302.44297200000045</v>
      </c>
      <c r="CV92" s="13">
        <f t="shared" si="95"/>
        <v>71.688362252626035</v>
      </c>
      <c r="CW92" s="20">
        <f t="shared" si="67"/>
        <v>651.61207382332452</v>
      </c>
      <c r="CX92" s="59">
        <f t="shared" si="68"/>
        <v>944.94540715665789</v>
      </c>
      <c r="CY92" s="59">
        <f ca="1">AVERAGE(OFFSET($CX$3,0,0,'Données projet'!$E$13+1,1))-AVERAGE(OFFSET($H$3,0,0,'Données projet'!$E$13+1,1))</f>
        <v>479.84731392413374</v>
      </c>
      <c r="CZ92" s="59">
        <f t="shared" si="96"/>
        <v>203.57601099841213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19.959141603777088</v>
      </c>
      <c r="DG92" s="21">
        <f>EXP(-LN(2)/25)*DG91+(1-EXP(-LN(2)/25))/(LN(2)/25)*Calculateur!DB92*Calculateur!DD92*VLOOKUP('Données projet'!$B$13,Paramètres!$A$1:$I$89,3,0)*0.475*44/12</f>
        <v>25.749603614757234</v>
      </c>
      <c r="DH92" s="21">
        <f>EXP(-LN(2)/2)*DH91+(1-EXP(-LN(2)/2))/(LN(2)/2)*DB92*DE92*VLOOKUP('Données projet'!$B$13,Paramètres!$A$1:$I$89,3,0)*0.475*44/12</f>
        <v>1.0324309572969819</v>
      </c>
      <c r="DI92" s="22">
        <f t="shared" si="69"/>
        <v>46.741176175831299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6.7984728957526396E-14</v>
      </c>
      <c r="P93" s="13">
        <f t="shared" si="87"/>
        <v>1.0682447123141398E-12</v>
      </c>
      <c r="Q93" s="20">
        <f t="shared" si="54"/>
        <v>1.978932943548152E-12</v>
      </c>
      <c r="R93" s="59">
        <f t="shared" si="55"/>
        <v>293.3333333333353</v>
      </c>
      <c r="S93" s="59">
        <f ca="1">AVERAGE(OFFSET($R$3,0,0,'Données projet'!$E$9+1,1))-AVERAGE(OFFSET($H$3,0,0,'Données projet'!$E$9+1,1))</f>
        <v>322.7909000321435</v>
      </c>
      <c r="T93" s="59">
        <f t="shared" si="88"/>
        <v>403.23516981532316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90.790773556215143</v>
      </c>
      <c r="AA93" s="21">
        <f>EXP(-LN(2)/25)*AA92+(1-EXP(-LN(2)/25))/(LN(2)/25)*Calculateur!V93*Calculateur!X93*VLOOKUP('Données projet'!$B$9,Paramètres!$A$1:$I$89,3,0)*0.475*44/12</f>
        <v>24.025147006446236</v>
      </c>
      <c r="AB93" s="21">
        <f>EXP(-LN(2)/2)*AB92+(1-EXP(-LN(2)/2))/(LN(2)/2)*V93*Y93*VLOOKUP('Données projet'!$B$9,Paramètres!$A$1:$I$89,3,0)*0.475*44/12</f>
        <v>5.8978509553558227E-4</v>
      </c>
      <c r="AC93" s="22">
        <f t="shared" si="57"/>
        <v>114.81651034775692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9.4258333333333351</v>
      </c>
      <c r="AI93" s="13">
        <f>IF('Données projet'!$A$62&gt;35,AI92+AH93-AQ92,IF(A93&lt;'Données projet'!$A$62,$AF$205^A93,IF(A93='Données projet'!$A$62,'Données projet'!$B$62,AI92+AH93-AQ92)))</f>
        <v>362.51750000000015</v>
      </c>
      <c r="AJ93" s="13">
        <f>AI93*VLOOKUP('Données projet'!$B$10,Paramètres!$A$1:$I$89,3,0)*VLOOKUP('Données projet'!$B$10,Paramètres!$A$1:$I$89,5,0)</f>
        <v>169.65819000000005</v>
      </c>
      <c r="AK93" s="13">
        <f t="shared" si="89"/>
        <v>43.013460550801888</v>
      </c>
      <c r="AL93" s="20">
        <f t="shared" si="58"/>
        <v>370.40312470931332</v>
      </c>
      <c r="AM93" s="59">
        <f t="shared" si="59"/>
        <v>663.73645804264663</v>
      </c>
      <c r="AN93" s="59">
        <f ca="1">AVERAGE(OFFSET($AM$3,0,0,'Données projet'!$E$10+1,1))-AVERAGE(OFFSET($H$3,0,0,'Données projet'!$E$10+1,1))</f>
        <v>187.82209112143374</v>
      </c>
      <c r="AO93" s="59">
        <f t="shared" si="90"/>
        <v>158.99136654880203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50.012828456111983</v>
      </c>
      <c r="AV93" s="21">
        <f>EXP(-LN(2)/25)*AV92+(1-EXP(-LN(2)/25))/(LN(2)/25)*Calculateur!AQ93*Calculateur!AS93*VLOOKUP('Données projet'!$B$10,Paramètres!$A$1:$I$89,3,0)*0.475*44/12</f>
        <v>18.053617836480289</v>
      </c>
      <c r="AW93" s="21">
        <f>EXP(-LN(2)/2)*AW92+(1-EXP(-LN(2)/2))/(LN(2)/2)*AQ93*AT93*VLOOKUP('Données projet'!$B$10,Paramètres!$A$1:$I$89,3,0)*0.475*44/12</f>
        <v>3.5225626364039093</v>
      </c>
      <c r="AX93" s="21">
        <f t="shared" si="60"/>
        <v>71.589008928996179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137.82051282051282</v>
      </c>
      <c r="BB93" s="12">
        <f>VLOOKUP(A93,'Données projet'!$A$87:$I$107,9,0)</f>
        <v>1.7948717948717956</v>
      </c>
      <c r="BC93" s="12">
        <f t="array" ref="BC93">INDEX(BB:BB,MIN(IF(ISNUMBER(BB93:BB289),ROW(BB93:BB289),"")))</f>
        <v>1.7948717948717956</v>
      </c>
      <c r="BD93" s="12">
        <f>IF('Données projet'!$A$88&gt;35,BD92+BC93-BL92,IF(A93&lt;'Données projet'!$A$88,$BA$205^A93,IF(A93='Données projet'!$A$88,'Données projet'!$B$88,BD92+BC93-BL92)))</f>
        <v>137.82051282051276</v>
      </c>
      <c r="BE93" s="13">
        <f>BD93*VLOOKUP('Données projet'!$B$11,Paramètres!$A$1:$I$89,3,0)*VLOOKUP('Données projet'!$B$11,Paramètres!$A$1:$I$89,5,0)</f>
        <v>144.04999999999995</v>
      </c>
      <c r="BF93" s="13">
        <f t="shared" si="91"/>
        <v>37.223258105752187</v>
      </c>
      <c r="BG93" s="20">
        <f t="shared" si="61"/>
        <v>315.71759120085159</v>
      </c>
      <c r="BH93" s="59">
        <f t="shared" si="62"/>
        <v>609.0509245341849</v>
      </c>
      <c r="BI93" s="59">
        <f ca="1">AVERAGE(OFFSET($BH$3,0,0,'Données projet'!$E$11+1,1))-AVERAGE(OFFSET($H$3,0,0,'Données projet'!$E$11+1,1))</f>
        <v>140.32771978791288</v>
      </c>
      <c r="BJ93" s="59">
        <f t="shared" si="92"/>
        <v>135.76866977947634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6.4102564102564097</v>
      </c>
      <c r="BM93" s="16">
        <f>IF(ISNA(VLOOKUP(A93,'Données projet'!$A$87:$I$107,5,0)),0%,VLOOKUP(A93,'Données projet'!$A$87:$I$107,5,0)*VLOOKUP('Données projet'!$B$11,Paramètres!$A$1:$I$89,7,0))</f>
        <v>4.3000000000000003E-2</v>
      </c>
      <c r="BN93" s="16">
        <f>IF(ISNA(VLOOKUP(A93,'Données projet'!$A$87:$I$107,6,0)),0%,VLOOKUP(A93,'Données projet'!$A$87:$I$107,6,0)*VLOOKUP('Données projet'!$B$11,Paramètres!$A$1:$I$89,7,0))</f>
        <v>0.215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1.7695336279872784</v>
      </c>
      <c r="BQ93" s="21">
        <f>EXP(-LN(2)/25)*BQ92+(1-EXP(-LN(2)/25))/(LN(2)/25)*Calculateur!BL93*Calculateur!BN93*VLOOKUP('Données projet'!$B$11,Paramètres!$A$1:$I$89,3,0)*0.475*44/12</f>
        <v>15.185911248929239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16.955444876916516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6.7600000000000007</v>
      </c>
      <c r="BY93" s="12">
        <f>IF('Données projet'!$A$114&gt;35,BY92+BX93-CG92,IF(A93&lt;'Données projet'!$A$114,$BV$205^A93,IF(A93='Données projet'!$A$114,'Données projet'!$B$114,BY92+BX93-CG92)))</f>
        <v>218.76999999999992</v>
      </c>
      <c r="BZ93" s="13">
        <f>BY93*VLOOKUP('Données projet'!$B$12,Paramètres!$A$1:$I$89,3,0)*VLOOKUP('Données projet'!$B$12,Paramètres!$A$1:$I$89,5,0)</f>
        <v>221.83277999999993</v>
      </c>
      <c r="CA93" s="13">
        <f t="shared" si="93"/>
        <v>54.513038854982973</v>
      </c>
      <c r="CB93" s="20">
        <f t="shared" si="64"/>
        <v>481.30230117242854</v>
      </c>
      <c r="CC93" s="59">
        <f t="shared" si="65"/>
        <v>774.6356345057618</v>
      </c>
      <c r="CD93" s="59">
        <f ca="1">AVERAGE(OFFSET($CC$3,0,0,'Données projet'!$E$12+1,1))-AVERAGE(OFFSET($H$3,0,0,'Données projet'!$E$12+1,1))</f>
        <v>372.05986520199804</v>
      </c>
      <c r="CE93" s="59">
        <f t="shared" si="94"/>
        <v>184.37981929432044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5.8507616428406228</v>
      </c>
      <c r="CL93" s="21">
        <f>EXP(-LN(2)/25)*CL92+(1-EXP(-LN(2)/25))/(LN(2)/25)*Calculateur!CG93*Calculateur!CI93*VLOOKUP('Données projet'!$B$12,Paramètres!$A$1:$I$89,3,0)*0.475*44/12</f>
        <v>33.561573637193511</v>
      </c>
      <c r="CM93" s="21">
        <f>EXP(-LN(2)/2)*CM92+(1-EXP(-LN(2)/2))/(LN(2)/2)*CG93*CJ93*VLOOKUP('Données projet'!$B$12,Paramètres!$A$1:$I$89,3,0)*0.475*44/12</f>
        <v>0.97567511788498051</v>
      </c>
      <c r="CN93" s="22">
        <f t="shared" si="66"/>
        <v>40.388010397919118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9.1730000000000018</v>
      </c>
      <c r="CT93" s="12">
        <f>IF('Données projet'!$A$140&gt;35,CT92+CS93-DB92,IF(A93&lt;'Données projet'!$A$140,$CQ$205^A93,IF(A93='Données projet'!$A$140,'Données projet'!$B$140,CT92+CS93-DB92)))</f>
        <v>343.4380000000005</v>
      </c>
      <c r="CU93" s="17">
        <f>CT93*VLOOKUP('Données projet'!$B$13,Paramètres!$A$1:$I$89,3,0)*VLOOKUP('Données projet'!$B$13,Paramètres!$A$1:$I$89,5,0)</f>
        <v>310.74270240000044</v>
      </c>
      <c r="CV93" s="13">
        <f t="shared" si="95"/>
        <v>73.423914385133031</v>
      </c>
      <c r="CW93" s="20">
        <f t="shared" si="67"/>
        <v>669.09019090077402</v>
      </c>
      <c r="CX93" s="59">
        <f t="shared" si="68"/>
        <v>962.42352423410739</v>
      </c>
      <c r="CY93" s="59">
        <f ca="1">AVERAGE(OFFSET($CX$3,0,0,'Données projet'!$E$13+1,1))-AVERAGE(OFFSET($H$3,0,0,'Données projet'!$E$13+1,1))</f>
        <v>479.84731392413374</v>
      </c>
      <c r="CZ93" s="59">
        <f t="shared" si="96"/>
        <v>203.57601099841213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19.567755010801328</v>
      </c>
      <c r="DG93" s="21">
        <f>EXP(-LN(2)/25)*DG92+(1-EXP(-LN(2)/25))/(LN(2)/25)*Calculateur!DB93*Calculateur!DD93*VLOOKUP('Données projet'!$B$13,Paramètres!$A$1:$I$89,3,0)*0.475*44/12</f>
        <v>25.045479349798896</v>
      </c>
      <c r="DH93" s="21">
        <f>EXP(-LN(2)/2)*DH92+(1-EXP(-LN(2)/2))/(LN(2)/2)*DB93*DE93*VLOOKUP('Données projet'!$B$13,Paramètres!$A$1:$I$89,3,0)*0.475*44/12</f>
        <v>0.73003893101161477</v>
      </c>
      <c r="DI93" s="22">
        <f t="shared" si="69"/>
        <v>45.343273291611837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6.7984728957526396E-14</v>
      </c>
      <c r="P94" s="13">
        <f t="shared" si="87"/>
        <v>1.0682447123141398E-12</v>
      </c>
      <c r="Q94" s="20">
        <f t="shared" si="54"/>
        <v>1.978932943548152E-12</v>
      </c>
      <c r="R94" s="59">
        <f t="shared" si="55"/>
        <v>293.3333333333353</v>
      </c>
      <c r="S94" s="59">
        <f ca="1">AVERAGE(OFFSET($R$3,0,0,'Données projet'!$E$9+1,1))-AVERAGE(OFFSET($H$3,0,0,'Données projet'!$E$9+1,1))</f>
        <v>322.7909000321435</v>
      </c>
      <c r="T94" s="59">
        <f t="shared" si="88"/>
        <v>403.23516981532316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89.010421863681614</v>
      </c>
      <c r="AA94" s="21">
        <f>EXP(-LN(2)/25)*AA93+(1-EXP(-LN(2)/25))/(LN(2)/25)*Calculateur!V94*Calculateur!X94*VLOOKUP('Données projet'!$B$9,Paramètres!$A$1:$I$89,3,0)*0.475*44/12</f>
        <v>23.368178098127395</v>
      </c>
      <c r="AB94" s="21">
        <f>EXP(-LN(2)/2)*AB93+(1-EXP(-LN(2)/2))/(LN(2)/2)*V94*Y94*VLOOKUP('Données projet'!$B$9,Paramètres!$A$1:$I$89,3,0)*0.475*44/12</f>
        <v>4.17041040495966E-4</v>
      </c>
      <c r="AC94" s="22">
        <f t="shared" si="57"/>
        <v>112.37901700284951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9.4258333333333351</v>
      </c>
      <c r="AI94" s="13">
        <f>IF('Données projet'!$A$62&gt;35,AI93+AH94-AQ93,IF(A94&lt;'Données projet'!$A$62,$AF$205^A94,IF(A94='Données projet'!$A$62,'Données projet'!$B$62,AI93+AH94-AQ93)))</f>
        <v>371.9433333333335</v>
      </c>
      <c r="AJ94" s="13">
        <f>AI94*VLOOKUP('Données projet'!$B$10,Paramètres!$A$1:$I$89,3,0)*VLOOKUP('Données projet'!$B$10,Paramètres!$A$1:$I$89,5,0)</f>
        <v>174.06948000000008</v>
      </c>
      <c r="AK94" s="13">
        <f t="shared" si="89"/>
        <v>44.000193101581445</v>
      </c>
      <c r="AL94" s="20">
        <f t="shared" si="58"/>
        <v>379.80468065192116</v>
      </c>
      <c r="AM94" s="59">
        <f t="shared" si="59"/>
        <v>673.13801398525447</v>
      </c>
      <c r="AN94" s="59">
        <f ca="1">AVERAGE(OFFSET($AM$3,0,0,'Données projet'!$E$10+1,1))-AVERAGE(OFFSET($H$3,0,0,'Données projet'!$E$10+1,1))</f>
        <v>187.82209112143374</v>
      </c>
      <c r="AO94" s="59">
        <f t="shared" si="90"/>
        <v>158.99136654880203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49.032107394900883</v>
      </c>
      <c r="AV94" s="21">
        <f>EXP(-LN(2)/25)*AV93+(1-EXP(-LN(2)/25))/(LN(2)/25)*Calculateur!AQ94*Calculateur!AS94*VLOOKUP('Données projet'!$B$10,Paramètres!$A$1:$I$89,3,0)*0.475*44/12</f>
        <v>17.559940707343234</v>
      </c>
      <c r="AW94" s="21">
        <f>EXP(-LN(2)/2)*AW93+(1-EXP(-LN(2)/2))/(LN(2)/2)*AQ94*AT94*VLOOKUP('Données projet'!$B$10,Paramètres!$A$1:$I$89,3,0)*0.475*44/12</f>
        <v>2.4908279273555674</v>
      </c>
      <c r="AX94" s="21">
        <f t="shared" si="60"/>
        <v>69.082876029599689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1.7948717948717956</v>
      </c>
      <c r="BD94" s="12">
        <f>IF('Données projet'!$A$88&gt;35,BD93+BC94-BL93,IF(A94&lt;'Données projet'!$A$88,$BA$205^A94,IF(A94='Données projet'!$A$88,'Données projet'!$B$88,BD93+BC94-BL93)))</f>
        <v>133.20512820512815</v>
      </c>
      <c r="BE94" s="13">
        <f>BD94*VLOOKUP('Données projet'!$B$11,Paramètres!$A$1:$I$89,3,0)*VLOOKUP('Données projet'!$B$11,Paramètres!$A$1:$I$89,5,0)</f>
        <v>139.22599999999994</v>
      </c>
      <c r="BF94" s="13">
        <f t="shared" si="91"/>
        <v>36.119635793564001</v>
      </c>
      <c r="BG94" s="20">
        <f t="shared" si="61"/>
        <v>305.39364900712383</v>
      </c>
      <c r="BH94" s="59">
        <f t="shared" si="62"/>
        <v>598.7269823404572</v>
      </c>
      <c r="BI94" s="59">
        <f ca="1">AVERAGE(OFFSET($BH$3,0,0,'Données projet'!$E$11+1,1))-AVERAGE(OFFSET($H$3,0,0,'Données projet'!$E$11+1,1))</f>
        <v>140.32771978791288</v>
      </c>
      <c r="BJ94" s="59">
        <f t="shared" si="92"/>
        <v>135.76866977947634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1.734834152851388</v>
      </c>
      <c r="BQ94" s="21">
        <f>EXP(-LN(2)/25)*BQ93+(1-EXP(-LN(2)/25))/(LN(2)/25)*Calculateur!BL94*Calculateur!BN94*VLOOKUP('Données projet'!$B$11,Paramètres!$A$1:$I$89,3,0)*0.475*44/12</f>
        <v>14.770651707234904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16.505485860086292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6.7600000000000007</v>
      </c>
      <c r="BY94" s="12">
        <f>IF('Données projet'!$A$114&gt;35,BY93+BX94-CG93,IF(A94&lt;'Données projet'!$A$114,$BV$205^A94,IF(A94='Données projet'!$A$114,'Données projet'!$B$114,BY93+BX94-CG93)))</f>
        <v>225.52999999999992</v>
      </c>
      <c r="BZ94" s="13">
        <f>BY94*VLOOKUP('Données projet'!$B$12,Paramètres!$A$1:$I$89,3,0)*VLOOKUP('Données projet'!$B$12,Paramètres!$A$1:$I$89,5,0)</f>
        <v>228.68741999999995</v>
      </c>
      <c r="CA94" s="13">
        <f t="shared" si="93"/>
        <v>55.998776581457236</v>
      </c>
      <c r="CB94" s="20">
        <f t="shared" si="64"/>
        <v>495.82845904603795</v>
      </c>
      <c r="CC94" s="59">
        <f t="shared" si="65"/>
        <v>789.16179237937126</v>
      </c>
      <c r="CD94" s="59">
        <f ca="1">AVERAGE(OFFSET($CC$3,0,0,'Données projet'!$E$12+1,1))-AVERAGE(OFFSET($H$3,0,0,'Données projet'!$E$12+1,1))</f>
        <v>372.05986520199804</v>
      </c>
      <c r="CE94" s="59">
        <f t="shared" si="94"/>
        <v>184.37981929432044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5.7360317756367492</v>
      </c>
      <c r="CL94" s="21">
        <f>EXP(-LN(2)/25)*CL93+(1-EXP(-LN(2)/25))/(LN(2)/25)*Calculateur!CG94*Calculateur!CI94*VLOOKUP('Données projet'!$B$12,Paramètres!$A$1:$I$89,3,0)*0.475*44/12</f>
        <v>32.643830641158004</v>
      </c>
      <c r="CM94" s="21">
        <f>EXP(-LN(2)/2)*CM93+(1-EXP(-LN(2)/2))/(LN(2)/2)*CG94*CJ94*VLOOKUP('Données projet'!$B$12,Paramètres!$A$1:$I$89,3,0)*0.475*44/12</f>
        <v>0.68990649209145394</v>
      </c>
      <c r="CN94" s="22">
        <f t="shared" si="66"/>
        <v>39.069768908886203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9.1730000000000018</v>
      </c>
      <c r="CT94" s="12">
        <f>IF('Données projet'!$A$140&gt;35,CT93+CS94-DB93,IF(A94&lt;'Données projet'!$A$140,$CQ$205^A94,IF(A94='Données projet'!$A$140,'Données projet'!$B$140,CT93+CS94-DB93)))</f>
        <v>352.6110000000005</v>
      </c>
      <c r="CU94" s="17">
        <f>CT94*VLOOKUP('Données projet'!$B$13,Paramètres!$A$1:$I$89,3,0)*VLOOKUP('Données projet'!$B$13,Paramètres!$A$1:$I$89,5,0)</f>
        <v>319.04243280000043</v>
      </c>
      <c r="CV94" s="13">
        <f t="shared" si="95"/>
        <v>75.154078446360543</v>
      </c>
      <c r="CW94" s="20">
        <f t="shared" si="67"/>
        <v>686.55892375407859</v>
      </c>
      <c r="CX94" s="59">
        <f t="shared" si="68"/>
        <v>979.89225708741196</v>
      </c>
      <c r="CY94" s="59">
        <f ca="1">AVERAGE(OFFSET($CX$3,0,0,'Données projet'!$E$13+1,1))-AVERAGE(OFFSET($H$3,0,0,'Données projet'!$E$13+1,1))</f>
        <v>479.84731392413374</v>
      </c>
      <c r="CZ94" s="59">
        <f t="shared" si="96"/>
        <v>203.57601099841213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19.184043270191573</v>
      </c>
      <c r="DG94" s="21">
        <f>EXP(-LN(2)/25)*DG93+(1-EXP(-LN(2)/25))/(LN(2)/25)*Calculateur!DB94*Calculateur!DD94*VLOOKUP('Données projet'!$B$13,Paramètres!$A$1:$I$89,3,0)*0.475*44/12</f>
        <v>24.360609399894127</v>
      </c>
      <c r="DH94" s="21">
        <f>EXP(-LN(2)/2)*DH93+(1-EXP(-LN(2)/2))/(LN(2)/2)*DB94*DE94*VLOOKUP('Données projet'!$B$13,Paramètres!$A$1:$I$89,3,0)*0.475*44/12</f>
        <v>0.51621547864849093</v>
      </c>
      <c r="DI94" s="22">
        <f t="shared" si="69"/>
        <v>44.060868148734187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6.7984728957526396E-14</v>
      </c>
      <c r="P95" s="13">
        <f t="shared" si="87"/>
        <v>1.0682447123141398E-12</v>
      </c>
      <c r="Q95" s="20">
        <f t="shared" si="54"/>
        <v>1.978932943548152E-12</v>
      </c>
      <c r="R95" s="59">
        <f t="shared" si="55"/>
        <v>293.3333333333353</v>
      </c>
      <c r="S95" s="59">
        <f ca="1">AVERAGE(OFFSET($R$3,0,0,'Données projet'!$E$9+1,1))-AVERAGE(OFFSET($H$3,0,0,'Données projet'!$E$9+1,1))</f>
        <v>322.7909000321435</v>
      </c>
      <c r="T95" s="59">
        <f t="shared" si="88"/>
        <v>403.23516981532316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87.264981781931368</v>
      </c>
      <c r="AA95" s="21">
        <f>EXP(-LN(2)/25)*AA94+(1-EXP(-LN(2)/25))/(LN(2)/25)*Calculateur!V95*Calculateur!X95*VLOOKUP('Données projet'!$B$9,Paramètres!$A$1:$I$89,3,0)*0.475*44/12</f>
        <v>22.729174039155023</v>
      </c>
      <c r="AB95" s="21">
        <f>EXP(-LN(2)/2)*AB94+(1-EXP(-LN(2)/2))/(LN(2)/2)*V95*Y95*VLOOKUP('Données projet'!$B$9,Paramètres!$A$1:$I$89,3,0)*0.475*44/12</f>
        <v>2.9489254776779114E-4</v>
      </c>
      <c r="AC95" s="22">
        <f t="shared" si="57"/>
        <v>109.99445071363417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9.4258333333333351</v>
      </c>
      <c r="AI95" s="13">
        <f>IF('Données projet'!$A$62&gt;35,AI94+AH95-AQ94,IF(A95&lt;'Données projet'!$A$62,$AF$205^A95,IF(A95='Données projet'!$A$62,'Données projet'!$B$62,AI94+AH95-AQ94)))</f>
        <v>381.36916666666684</v>
      </c>
      <c r="AJ95" s="13">
        <f>AI95*VLOOKUP('Données projet'!$B$10,Paramètres!$A$1:$I$89,3,0)*VLOOKUP('Données projet'!$B$10,Paramètres!$A$1:$I$89,5,0)</f>
        <v>178.48077000000009</v>
      </c>
      <c r="AK95" s="13">
        <f t="shared" si="89"/>
        <v>44.984018925971618</v>
      </c>
      <c r="AL95" s="20">
        <f t="shared" si="58"/>
        <v>389.20117404606736</v>
      </c>
      <c r="AM95" s="59">
        <f t="shared" si="59"/>
        <v>682.53450737940068</v>
      </c>
      <c r="AN95" s="59">
        <f ca="1">AVERAGE(OFFSET($AM$3,0,0,'Données projet'!$E$10+1,1))-AVERAGE(OFFSET($H$3,0,0,'Données projet'!$E$10+1,1))</f>
        <v>187.82209112143374</v>
      </c>
      <c r="AO95" s="59">
        <f t="shared" si="90"/>
        <v>158.99136654880203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48.070617675519351</v>
      </c>
      <c r="AV95" s="21">
        <f>EXP(-LN(2)/25)*AV94+(1-EXP(-LN(2)/25))/(LN(2)/25)*Calculateur!AQ95*Calculateur!AS95*VLOOKUP('Données projet'!$B$10,Paramètres!$A$1:$I$89,3,0)*0.475*44/12</f>
        <v>17.079763205263784</v>
      </c>
      <c r="AW95" s="21">
        <f>EXP(-LN(2)/2)*AW94+(1-EXP(-LN(2)/2))/(LN(2)/2)*AQ95*AT95*VLOOKUP('Données projet'!$B$10,Paramètres!$A$1:$I$89,3,0)*0.475*44/12</f>
        <v>1.7612813182019549</v>
      </c>
      <c r="AX95" s="21">
        <f t="shared" si="60"/>
        <v>66.911662198985084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1.7948717948717956</v>
      </c>
      <c r="BD95" s="12">
        <f>IF('Données projet'!$A$88&gt;35,BD94+BC95-BL94,IF(A95&lt;'Données projet'!$A$88,$BA$205^A95,IF(A95='Données projet'!$A$88,'Données projet'!$B$88,BD94+BC95-BL94)))</f>
        <v>134.99999999999994</v>
      </c>
      <c r="BE95" s="13">
        <f>BD95*VLOOKUP('Données projet'!$B$11,Paramètres!$A$1:$I$89,3,0)*VLOOKUP('Données projet'!$B$11,Paramètres!$A$1:$I$89,5,0)</f>
        <v>141.10199999999995</v>
      </c>
      <c r="BF95" s="13">
        <f t="shared" si="91"/>
        <v>36.549342904663185</v>
      </c>
      <c r="BG95" s="20">
        <f t="shared" si="61"/>
        <v>309.4094222256216</v>
      </c>
      <c r="BH95" s="59">
        <f t="shared" si="62"/>
        <v>602.74275555895497</v>
      </c>
      <c r="BI95" s="59">
        <f ca="1">AVERAGE(OFFSET($BH$3,0,0,'Données projet'!$E$11+1,1))-AVERAGE(OFFSET($H$3,0,0,'Données projet'!$E$11+1,1))</f>
        <v>140.32771978791288</v>
      </c>
      <c r="BJ95" s="59">
        <f t="shared" si="92"/>
        <v>135.76866977947634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1.7008151132583225</v>
      </c>
      <c r="BQ95" s="21">
        <f>EXP(-LN(2)/25)*BQ94+(1-EXP(-LN(2)/25))/(LN(2)/25)*Calculateur!BL95*Calculateur!BN95*VLOOKUP('Données projet'!$B$11,Paramètres!$A$1:$I$89,3,0)*0.475*44/12</f>
        <v>14.366747459545751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16.067562572804075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6.7600000000000007</v>
      </c>
      <c r="BY95" s="12">
        <f>IF('Données projet'!$A$114&gt;35,BY94+BX95-CG94,IF(A95&lt;'Données projet'!$A$114,$BV$205^A95,IF(A95='Données projet'!$A$114,'Données projet'!$B$114,BY94+BX95-CG94)))</f>
        <v>232.28999999999991</v>
      </c>
      <c r="BZ95" s="13">
        <f>BY95*VLOOKUP('Données projet'!$B$12,Paramètres!$A$1:$I$89,3,0)*VLOOKUP('Données projet'!$B$12,Paramètres!$A$1:$I$89,5,0)</f>
        <v>235.54205999999991</v>
      </c>
      <c r="CA95" s="13">
        <f t="shared" si="93"/>
        <v>57.479338849475639</v>
      </c>
      <c r="CB95" s="20">
        <f t="shared" si="64"/>
        <v>510.34560299616987</v>
      </c>
      <c r="CC95" s="59">
        <f t="shared" si="65"/>
        <v>803.67893632950313</v>
      </c>
      <c r="CD95" s="59">
        <f ca="1">AVERAGE(OFFSET($CC$3,0,0,'Données projet'!$E$12+1,1))-AVERAGE(OFFSET($H$3,0,0,'Données projet'!$E$12+1,1))</f>
        <v>372.05986520199804</v>
      </c>
      <c r="CE95" s="59">
        <f t="shared" si="94"/>
        <v>184.37981929432044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5.6235516911504346</v>
      </c>
      <c r="CL95" s="21">
        <f>EXP(-LN(2)/25)*CL94+(1-EXP(-LN(2)/25))/(LN(2)/25)*Calculateur!CG95*Calculateur!CI95*VLOOKUP('Données projet'!$B$12,Paramètres!$A$1:$I$89,3,0)*0.475*44/12</f>
        <v>31.751183375611095</v>
      </c>
      <c r="CM95" s="21">
        <f>EXP(-LN(2)/2)*CM94+(1-EXP(-LN(2)/2))/(LN(2)/2)*CG95*CJ95*VLOOKUP('Données projet'!$B$12,Paramètres!$A$1:$I$89,3,0)*0.475*44/12</f>
        <v>0.48783755894249031</v>
      </c>
      <c r="CN95" s="22">
        <f t="shared" si="66"/>
        <v>37.862572625704018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9.1730000000000018</v>
      </c>
      <c r="CT95" s="12">
        <f>IF('Données projet'!$A$140&gt;35,CT94+CS95-DB94,IF(A95&lt;'Données projet'!$A$140,$CQ$205^A95,IF(A95='Données projet'!$A$140,'Données projet'!$B$140,CT94+CS95-DB94)))</f>
        <v>361.7840000000005</v>
      </c>
      <c r="CU95" s="17">
        <f>CT95*VLOOKUP('Données projet'!$B$13,Paramètres!$A$1:$I$89,3,0)*VLOOKUP('Données projet'!$B$13,Paramètres!$A$1:$I$89,5,0)</f>
        <v>327.34216320000047</v>
      </c>
      <c r="CV95" s="13">
        <f t="shared" si="95"/>
        <v>76.87901071885527</v>
      </c>
      <c r="CW95" s="20">
        <f t="shared" si="67"/>
        <v>704.01854457534034</v>
      </c>
      <c r="CX95" s="59">
        <f t="shared" si="68"/>
        <v>997.35187790867371</v>
      </c>
      <c r="CY95" s="59">
        <f ca="1">AVERAGE(OFFSET($CX$3,0,0,'Données projet'!$E$13+1,1))-AVERAGE(OFFSET($H$3,0,0,'Données projet'!$E$13+1,1))</f>
        <v>479.84731392413374</v>
      </c>
      <c r="CZ95" s="59">
        <f t="shared" si="96"/>
        <v>203.57601099841213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18.807855882774124</v>
      </c>
      <c r="DG95" s="21">
        <f>EXP(-LN(2)/25)*DG94+(1-EXP(-LN(2)/25))/(LN(2)/25)*Calculateur!DB95*Calculateur!DD95*VLOOKUP('Données projet'!$B$13,Paramètres!$A$1:$I$89,3,0)*0.475*44/12</f>
        <v>23.694467254785252</v>
      </c>
      <c r="DH95" s="21">
        <f>EXP(-LN(2)/2)*DH94+(1-EXP(-LN(2)/2))/(LN(2)/2)*DB95*DE95*VLOOKUP('Données projet'!$B$13,Paramètres!$A$1:$I$89,3,0)*0.475*44/12</f>
        <v>0.36501946550580738</v>
      </c>
      <c r="DI95" s="22">
        <f t="shared" si="69"/>
        <v>42.867342603065183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6.7984728957526396E-14</v>
      </c>
      <c r="P96" s="13">
        <f t="shared" si="87"/>
        <v>1.0682447123141398E-12</v>
      </c>
      <c r="Q96" s="20">
        <f t="shared" si="54"/>
        <v>1.978932943548152E-12</v>
      </c>
      <c r="R96" s="59">
        <f t="shared" si="55"/>
        <v>293.3333333333353</v>
      </c>
      <c r="S96" s="59">
        <f ca="1">AVERAGE(OFFSET($R$3,0,0,'Données projet'!$E$9+1,1))-AVERAGE(OFFSET($H$3,0,0,'Données projet'!$E$9+1,1))</f>
        <v>322.7909000321435</v>
      </c>
      <c r="T96" s="59">
        <f t="shared" si="88"/>
        <v>403.23516981532316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85.553768715570911</v>
      </c>
      <c r="AA96" s="21">
        <f>EXP(-LN(2)/25)*AA95+(1-EXP(-LN(2)/25))/(LN(2)/25)*Calculateur!V96*Calculateur!X96*VLOOKUP('Données projet'!$B$9,Paramètres!$A$1:$I$89,3,0)*0.475*44/12</f>
        <v>22.107643579779015</v>
      </c>
      <c r="AB96" s="21">
        <f>EXP(-LN(2)/2)*AB95+(1-EXP(-LN(2)/2))/(LN(2)/2)*V96*Y96*VLOOKUP('Données projet'!$B$9,Paramètres!$A$1:$I$89,3,0)*0.475*44/12</f>
        <v>2.08520520247983E-4</v>
      </c>
      <c r="AC96" s="22">
        <f t="shared" si="57"/>
        <v>107.66162081587017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9.4258333333333351</v>
      </c>
      <c r="AI96" s="13">
        <f>IF('Données projet'!$A$62&gt;35,AI95+AH96-AQ95,IF(A96&lt;'Données projet'!$A$62,$AF$205^A96,IF(A96='Données projet'!$A$62,'Données projet'!$B$62,AI95+AH96-AQ95)))</f>
        <v>390.79500000000019</v>
      </c>
      <c r="AJ96" s="13">
        <f>AI96*VLOOKUP('Données projet'!$B$10,Paramètres!$A$1:$I$89,3,0)*VLOOKUP('Données projet'!$B$10,Paramètres!$A$1:$I$89,5,0)</f>
        <v>182.8920600000001</v>
      </c>
      <c r="AK96" s="13">
        <f t="shared" si="89"/>
        <v>45.965018129602747</v>
      </c>
      <c r="AL96" s="20">
        <f t="shared" si="58"/>
        <v>398.59274440905824</v>
      </c>
      <c r="AM96" s="59">
        <f t="shared" si="59"/>
        <v>691.9260777423915</v>
      </c>
      <c r="AN96" s="59">
        <f ca="1">AVERAGE(OFFSET($AM$3,0,0,'Données projet'!$E$10+1,1))-AVERAGE(OFFSET($H$3,0,0,'Données projet'!$E$10+1,1))</f>
        <v>187.82209112143374</v>
      </c>
      <c r="AO96" s="59">
        <f t="shared" si="90"/>
        <v>158.99136654880203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47.127982183084072</v>
      </c>
      <c r="AV96" s="21">
        <f>EXP(-LN(2)/25)*AV95+(1-EXP(-LN(2)/25))/(LN(2)/25)*Calculateur!AQ96*Calculateur!AS96*VLOOKUP('Données projet'!$B$10,Paramètres!$A$1:$I$89,3,0)*0.475*44/12</f>
        <v>16.612716182230134</v>
      </c>
      <c r="AW96" s="21">
        <f>EXP(-LN(2)/2)*AW95+(1-EXP(-LN(2)/2))/(LN(2)/2)*AQ96*AT96*VLOOKUP('Données projet'!$B$10,Paramètres!$A$1:$I$89,3,0)*0.475*44/12</f>
        <v>1.2454139636777837</v>
      </c>
      <c r="AX96" s="21">
        <f t="shared" si="60"/>
        <v>64.986112328991979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1.7948717948717956</v>
      </c>
      <c r="BD96" s="12">
        <f>IF('Données projet'!$A$88&gt;35,BD95+BC96-BL95,IF(A96&lt;'Données projet'!$A$88,$BA$205^A96,IF(A96='Données projet'!$A$88,'Données projet'!$B$88,BD95+BC96-BL95)))</f>
        <v>136.79487179487174</v>
      </c>
      <c r="BE96" s="13">
        <f>BD96*VLOOKUP('Données projet'!$B$11,Paramètres!$A$1:$I$89,3,0)*VLOOKUP('Données projet'!$B$11,Paramètres!$A$1:$I$89,5,0)</f>
        <v>142.97799999999995</v>
      </c>
      <c r="BF96" s="13">
        <f t="shared" si="91"/>
        <v>36.978385503948552</v>
      </c>
      <c r="BG96" s="20">
        <f t="shared" si="61"/>
        <v>313.42403808604359</v>
      </c>
      <c r="BH96" s="59">
        <f t="shared" si="62"/>
        <v>606.75737141937691</v>
      </c>
      <c r="BI96" s="59">
        <f ca="1">AVERAGE(OFFSET($BH$3,0,0,'Données projet'!$E$11+1,1))-AVERAGE(OFFSET($H$3,0,0,'Données projet'!$E$11+1,1))</f>
        <v>140.32771978791288</v>
      </c>
      <c r="BJ96" s="59">
        <f t="shared" si="92"/>
        <v>135.76866977947634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1.6674631662821116</v>
      </c>
      <c r="BQ96" s="21">
        <f>EXP(-LN(2)/25)*BQ95+(1-EXP(-LN(2)/25))/(LN(2)/25)*Calculateur!BL96*Calculateur!BN96*VLOOKUP('Données projet'!$B$11,Paramètres!$A$1:$I$89,3,0)*0.475*44/12</f>
        <v>13.97388799475006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15.641351161032171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6.7600000000000007</v>
      </c>
      <c r="BY96" s="12">
        <f>IF('Données projet'!$A$114&gt;35,BY95+BX96-CG95,IF(A96&lt;'Données projet'!$A$114,$BV$205^A96,IF(A96='Données projet'!$A$114,'Données projet'!$B$114,BY95+BX96-CG95)))</f>
        <v>239.0499999999999</v>
      </c>
      <c r="BZ96" s="13">
        <f>BY96*VLOOKUP('Données projet'!$B$12,Paramètres!$A$1:$I$89,3,0)*VLOOKUP('Données projet'!$B$12,Paramètres!$A$1:$I$89,5,0)</f>
        <v>242.3966999999999</v>
      </c>
      <c r="CA96" s="13">
        <f t="shared" si="93"/>
        <v>58.954893567950833</v>
      </c>
      <c r="CB96" s="20">
        <f t="shared" si="64"/>
        <v>524.85402546418084</v>
      </c>
      <c r="CC96" s="59">
        <f t="shared" si="65"/>
        <v>818.18735879751421</v>
      </c>
      <c r="CD96" s="59">
        <f ca="1">AVERAGE(OFFSET($CC$3,0,0,'Données projet'!$E$12+1,1))-AVERAGE(OFFSET($H$3,0,0,'Données projet'!$E$12+1,1))</f>
        <v>372.05986520199804</v>
      </c>
      <c r="CE96" s="59">
        <f t="shared" si="94"/>
        <v>184.37981929432044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5.5132772725148191</v>
      </c>
      <c r="CL96" s="21">
        <f>EXP(-LN(2)/25)*CL95+(1-EXP(-LN(2)/25))/(LN(2)/25)*Calculateur!CG96*Calculateur!CI96*VLOOKUP('Données projet'!$B$12,Paramètres!$A$1:$I$89,3,0)*0.475*44/12</f>
        <v>30.882945596482845</v>
      </c>
      <c r="CM96" s="21">
        <f>EXP(-LN(2)/2)*CM95+(1-EXP(-LN(2)/2))/(LN(2)/2)*CG96*CJ96*VLOOKUP('Données projet'!$B$12,Paramètres!$A$1:$I$89,3,0)*0.475*44/12</f>
        <v>0.34495324604572702</v>
      </c>
      <c r="CN96" s="22">
        <f t="shared" si="66"/>
        <v>36.741176115043388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9.1730000000000018</v>
      </c>
      <c r="CT96" s="12">
        <f>IF('Données projet'!$A$140&gt;35,CT95+CS96-DB95,IF(A96&lt;'Données projet'!$A$140,$CQ$205^A96,IF(A96='Données projet'!$A$140,'Données projet'!$B$140,CT95+CS96-DB95)))</f>
        <v>370.95700000000051</v>
      </c>
      <c r="CU96" s="17">
        <f>CT96*VLOOKUP('Données projet'!$B$13,Paramètres!$A$1:$I$89,3,0)*VLOOKUP('Données projet'!$B$13,Paramètres!$A$1:$I$89,5,0)</f>
        <v>335.64189360000046</v>
      </c>
      <c r="CV96" s="13">
        <f t="shared" si="95"/>
        <v>78.598859108522404</v>
      </c>
      <c r="CW96" s="20">
        <f t="shared" si="67"/>
        <v>721.46931096734397</v>
      </c>
      <c r="CX96" s="59">
        <f t="shared" si="68"/>
        <v>1014.8026443006772</v>
      </c>
      <c r="CY96" s="59">
        <f ca="1">AVERAGE(OFFSET($CX$3,0,0,'Données projet'!$E$13+1,1))-AVERAGE(OFFSET($H$3,0,0,'Données projet'!$E$13+1,1))</f>
        <v>479.84731392413374</v>
      </c>
      <c r="CZ96" s="59">
        <f t="shared" si="96"/>
        <v>203.57601099841213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18.439045300572278</v>
      </c>
      <c r="DG96" s="21">
        <f>EXP(-LN(2)/25)*DG95+(1-EXP(-LN(2)/25))/(LN(2)/25)*Calculateur!DB96*Calculateur!DD96*VLOOKUP('Données projet'!$B$13,Paramètres!$A$1:$I$89,3,0)*0.475*44/12</f>
        <v>23.04654080166527</v>
      </c>
      <c r="DH96" s="21">
        <f>EXP(-LN(2)/2)*DH95+(1-EXP(-LN(2)/2))/(LN(2)/2)*DB96*DE96*VLOOKUP('Données projet'!$B$13,Paramètres!$A$1:$I$89,3,0)*0.475*44/12</f>
        <v>0.25810773932424547</v>
      </c>
      <c r="DI96" s="22">
        <f t="shared" si="69"/>
        <v>41.743693841561793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6.7984728957526396E-14</v>
      </c>
      <c r="P97" s="13">
        <f t="shared" si="87"/>
        <v>1.0682447123141398E-12</v>
      </c>
      <c r="Q97" s="20">
        <f t="shared" si="54"/>
        <v>1.978932943548152E-12</v>
      </c>
      <c r="R97" s="59">
        <f t="shared" si="55"/>
        <v>293.3333333333353</v>
      </c>
      <c r="S97" s="59">
        <f ca="1">AVERAGE(OFFSET($R$3,0,0,'Données projet'!$E$9+1,1))-AVERAGE(OFFSET($H$3,0,0,'Données projet'!$E$9+1,1))</f>
        <v>322.7909000321435</v>
      </c>
      <c r="T97" s="59">
        <f t="shared" si="88"/>
        <v>403.23516981532316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83.876111493704869</v>
      </c>
      <c r="AA97" s="21">
        <f>EXP(-LN(2)/25)*AA96+(1-EXP(-LN(2)/25))/(LN(2)/25)*Calculateur!V97*Calculateur!X97*VLOOKUP('Données projet'!$B$9,Paramètres!$A$1:$I$89,3,0)*0.475*44/12</f>
        <v>21.503108903499509</v>
      </c>
      <c r="AB97" s="21">
        <f>EXP(-LN(2)/2)*AB96+(1-EXP(-LN(2)/2))/(LN(2)/2)*V97*Y97*VLOOKUP('Données projet'!$B$9,Paramètres!$A$1:$I$89,3,0)*0.475*44/12</f>
        <v>1.4744627388389557E-4</v>
      </c>
      <c r="AC97" s="22">
        <f t="shared" si="57"/>
        <v>105.37936784347826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9.4258333333333351</v>
      </c>
      <c r="AI97" s="13">
        <f>IF('Données projet'!$A$62&gt;35,AI96+AH97-AQ96,IF(A97&lt;'Données projet'!$A$62,$AF$205^A97,IF(A97='Données projet'!$A$62,'Données projet'!$B$62,AI96+AH97-AQ96)))</f>
        <v>400.22083333333353</v>
      </c>
      <c r="AJ97" s="13">
        <f>AI97*VLOOKUP('Données projet'!$B$10,Paramètres!$A$1:$I$89,3,0)*VLOOKUP('Données projet'!$B$10,Paramètres!$A$1:$I$89,5,0)</f>
        <v>187.30335000000008</v>
      </c>
      <c r="AK97" s="13">
        <f t="shared" si="89"/>
        <v>46.943266733511237</v>
      </c>
      <c r="AL97" s="20">
        <f t="shared" si="58"/>
        <v>407.97952414419888</v>
      </c>
      <c r="AM97" s="59">
        <f t="shared" si="59"/>
        <v>701.31285747753213</v>
      </c>
      <c r="AN97" s="59">
        <f ca="1">AVERAGE(OFFSET($AM$3,0,0,'Données projet'!$E$10+1,1))-AVERAGE(OFFSET($H$3,0,0,'Données projet'!$E$10+1,1))</f>
        <v>187.82209112143374</v>
      </c>
      <c r="AO97" s="59">
        <f t="shared" si="90"/>
        <v>158.99136654880203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46.203831197704567</v>
      </c>
      <c r="AV97" s="21">
        <f>EXP(-LN(2)/25)*AV96+(1-EXP(-LN(2)/25))/(LN(2)/25)*Calculateur!AQ97*Calculateur!AS97*VLOOKUP('Données projet'!$B$10,Paramètres!$A$1:$I$89,3,0)*0.475*44/12</f>
        <v>16.158440584602275</v>
      </c>
      <c r="AW97" s="21">
        <f>EXP(-LN(2)/2)*AW96+(1-EXP(-LN(2)/2))/(LN(2)/2)*AQ97*AT97*VLOOKUP('Données projet'!$B$10,Paramètres!$A$1:$I$89,3,0)*0.475*44/12</f>
        <v>0.88064065910097744</v>
      </c>
      <c r="AX97" s="21">
        <f t="shared" si="60"/>
        <v>63.242912441407817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1.7948717948717956</v>
      </c>
      <c r="BD97" s="12">
        <f>IF('Données projet'!$A$88&gt;35,BD96+BC97-BL96,IF(A97&lt;'Données projet'!$A$88,$BA$205^A97,IF(A97='Données projet'!$A$88,'Données projet'!$B$88,BD96+BC97-BL96)))</f>
        <v>138.58974358974353</v>
      </c>
      <c r="BE97" s="13">
        <f>BD97*VLOOKUP('Données projet'!$B$11,Paramètres!$A$1:$I$89,3,0)*VLOOKUP('Données projet'!$B$11,Paramètres!$A$1:$I$89,5,0)</f>
        <v>144.85399999999996</v>
      </c>
      <c r="BF97" s="13">
        <f t="shared" si="91"/>
        <v>37.406773318436002</v>
      </c>
      <c r="BG97" s="20">
        <f t="shared" si="61"/>
        <v>317.43751352960925</v>
      </c>
      <c r="BH97" s="59">
        <f t="shared" si="62"/>
        <v>610.77084686294256</v>
      </c>
      <c r="BI97" s="59">
        <f ca="1">AVERAGE(OFFSET($BH$3,0,0,'Données projet'!$E$11+1,1))-AVERAGE(OFFSET($H$3,0,0,'Données projet'!$E$11+1,1))</f>
        <v>140.32771978791288</v>
      </c>
      <c r="BJ97" s="59">
        <f t="shared" si="92"/>
        <v>135.76866977947634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1.6347652306434253</v>
      </c>
      <c r="BQ97" s="21">
        <f>EXP(-LN(2)/25)*BQ96+(1-EXP(-LN(2)/25))/(LN(2)/25)*Calculateur!BL97*Calculateur!BN97*VLOOKUP('Données projet'!$B$11,Paramètres!$A$1:$I$89,3,0)*0.475*44/12</f>
        <v>13.591771292678787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15.226536523322213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6.7600000000000007</v>
      </c>
      <c r="BY97" s="12">
        <f>IF('Données projet'!$A$114&gt;35,BY96+BX97-CG96,IF(A97&lt;'Données projet'!$A$114,$BV$205^A97,IF(A97='Données projet'!$A$114,'Données projet'!$B$114,BY96+BX97-CG96)))</f>
        <v>245.80999999999989</v>
      </c>
      <c r="BZ97" s="13">
        <f>BY97*VLOOKUP('Données projet'!$B$12,Paramètres!$A$1:$I$89,3,0)*VLOOKUP('Données projet'!$B$12,Paramètres!$A$1:$I$89,5,0)</f>
        <v>249.25133999999991</v>
      </c>
      <c r="CA97" s="13">
        <f t="shared" si="93"/>
        <v>60.42559860911723</v>
      </c>
      <c r="CB97" s="20">
        <f t="shared" si="64"/>
        <v>539.35400141087905</v>
      </c>
      <c r="CC97" s="59">
        <f t="shared" si="65"/>
        <v>832.68733474421242</v>
      </c>
      <c r="CD97" s="59">
        <f ca="1">AVERAGE(OFFSET($CC$3,0,0,'Données projet'!$E$12+1,1))-AVERAGE(OFFSET($H$3,0,0,'Données projet'!$E$12+1,1))</f>
        <v>372.05986520199804</v>
      </c>
      <c r="CE97" s="59">
        <f t="shared" si="94"/>
        <v>184.37981929432044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5.4051652679678943</v>
      </c>
      <c r="CL97" s="21">
        <f>EXP(-LN(2)/25)*CL96+(1-EXP(-LN(2)/25))/(LN(2)/25)*Calculateur!CG97*Calculateur!CI97*VLOOKUP('Données projet'!$B$12,Paramètres!$A$1:$I$89,3,0)*0.475*44/12</f>
        <v>30.038449825083497</v>
      </c>
      <c r="CM97" s="21">
        <f>EXP(-LN(2)/2)*CM96+(1-EXP(-LN(2)/2))/(LN(2)/2)*CG97*CJ97*VLOOKUP('Données projet'!$B$12,Paramètres!$A$1:$I$89,3,0)*0.475*44/12</f>
        <v>0.24391877947124521</v>
      </c>
      <c r="CN97" s="22">
        <f t="shared" si="66"/>
        <v>35.687533872522636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380.13</v>
      </c>
      <c r="CR97" s="12">
        <f>VLOOKUP(A97,'Données projet'!$A$139:$I$159,9,0)</f>
        <v>9.1730000000000018</v>
      </c>
      <c r="CS97" s="12">
        <f t="array" ref="CS97">INDEX(CR:CR,MIN(IF(ISNUMBER(CR97:CR293),ROW(CR97:CR293),"")))</f>
        <v>9.1730000000000018</v>
      </c>
      <c r="CT97" s="12">
        <f>IF('Données projet'!$A$140&gt;35,CT96+CS97-DB96,IF(A97&lt;'Données projet'!$A$140,$CQ$205^A97,IF(A97='Données projet'!$A$140,'Données projet'!$B$140,CT96+CS97-DB96)))</f>
        <v>380.13000000000051</v>
      </c>
      <c r="CU97" s="17">
        <f>CT97*VLOOKUP('Données projet'!$B$13,Paramètres!$A$1:$I$89,3,0)*VLOOKUP('Données projet'!$B$13,Paramètres!$A$1:$I$89,5,0)</f>
        <v>343.94162400000044</v>
      </c>
      <c r="CV97" s="13">
        <f t="shared" si="95"/>
        <v>80.313763789484966</v>
      </c>
      <c r="CW97" s="20">
        <f t="shared" si="67"/>
        <v>738.91146706668712</v>
      </c>
      <c r="CX97" s="59">
        <f t="shared" si="68"/>
        <v>1032.2448004000205</v>
      </c>
      <c r="CY97" s="59">
        <f ca="1">AVERAGE(OFFSET($CX$3,0,0,'Données projet'!$E$13+1,1))-AVERAGE(OFFSET($H$3,0,0,'Données projet'!$E$13+1,1))</f>
        <v>479.84731392413374</v>
      </c>
      <c r="CZ97" s="59">
        <f t="shared" si="96"/>
        <v>203.57601099841213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67.350000000000023</v>
      </c>
      <c r="DC97" s="16">
        <f>IF(ISNA(VLOOKUP(A97,'Données projet'!$A$139:$I$159,5,0)),0%,VLOOKUP(A97,'Données projet'!$A$139:$I$159,5,0)*VLOOKUP('Données projet'!$B$13,Paramètres!$A$1:$I$89,7,0))</f>
        <v>0.15049999999999999</v>
      </c>
      <c r="DD97" s="16">
        <f>IF(ISNA(VLOOKUP(A97,'Données projet'!$A$139:$I$159,6,0)),0%,VLOOKUP(A97,'Données projet'!$A$139:$I$159,6,0)*VLOOKUP('Données projet'!$B$13,Paramètres!$A$1:$I$89,7,0))</f>
        <v>8.6000000000000007E-2</v>
      </c>
      <c r="DE97" s="16">
        <f>IF(ISNA(VLOOKUP(A97,'Données projet'!$A$139:$I$159,7,0)),0%,VLOOKUP(A97,'Données projet'!$A$139:$I$159,7,0))</f>
        <v>0.1</v>
      </c>
      <c r="DF97" s="21">
        <f>EXP(-LN(2)/35)*DF96+(1-EXP(-LN(2)/35))/(LN(2)/35)*DB97*DC97*VLOOKUP('Données projet'!$B$13,Paramètres!$A$1:$I$89,3,0)*0.475*44/12</f>
        <v>28.215969128647792</v>
      </c>
      <c r="DG97" s="21">
        <f>EXP(-LN(2)/25)*DG96+(1-EXP(-LN(2)/25))/(LN(2)/25)*Calculateur!DB97*Calculateur!DD97*VLOOKUP('Données projet'!$B$13,Paramètres!$A$1:$I$89,3,0)*0.475*44/12</f>
        <v>28.18695085333249</v>
      </c>
      <c r="DH97" s="21">
        <f>EXP(-LN(2)/2)*DH96+(1-EXP(-LN(2)/2))/(LN(2)/2)*DB97*DE97*VLOOKUP('Données projet'!$B$13,Paramètres!$A$1:$I$89,3,0)*0.475*44/12</f>
        <v>5.9322004637288286</v>
      </c>
      <c r="DI97" s="22">
        <f t="shared" si="69"/>
        <v>62.335120445709109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6.7984728957526396E-14</v>
      </c>
      <c r="P98" s="13">
        <f t="shared" si="87"/>
        <v>1.0682447123141398E-12</v>
      </c>
      <c r="Q98" s="20">
        <f t="shared" si="54"/>
        <v>1.978932943548152E-12</v>
      </c>
      <c r="R98" s="59">
        <f t="shared" si="55"/>
        <v>293.3333333333353</v>
      </c>
      <c r="S98" s="59">
        <f ca="1">AVERAGE(OFFSET($R$3,0,0,'Données projet'!$E$9+1,1))-AVERAGE(OFFSET($H$3,0,0,'Données projet'!$E$9+1,1))</f>
        <v>322.7909000321435</v>
      </c>
      <c r="T98" s="59">
        <f t="shared" si="88"/>
        <v>403.23516981532316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82.231352106689755</v>
      </c>
      <c r="AA98" s="21">
        <f>EXP(-LN(2)/25)*AA97+(1-EXP(-LN(2)/25))/(LN(2)/25)*Calculateur!V98*Calculateur!X98*VLOOKUP('Données projet'!$B$9,Paramètres!$A$1:$I$89,3,0)*0.475*44/12</f>
        <v>20.915105259733963</v>
      </c>
      <c r="AB98" s="21">
        <f>EXP(-LN(2)/2)*AB97+(1-EXP(-LN(2)/2))/(LN(2)/2)*V98*Y98*VLOOKUP('Données projet'!$B$9,Paramètres!$A$1:$I$89,3,0)*0.475*44/12</f>
        <v>1.042602601239915E-4</v>
      </c>
      <c r="AC98" s="22">
        <f t="shared" si="57"/>
        <v>103.14656162668385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9.4258333333333351</v>
      </c>
      <c r="AI98" s="13">
        <f>IF('Données projet'!$A$62&gt;35,AI97+AH98-AQ97,IF(A98&lt;'Données projet'!$A$62,$AF$205^A98,IF(A98='Données projet'!$A$62,'Données projet'!$B$62,AI97+AH98-AQ97)))</f>
        <v>409.64666666666687</v>
      </c>
      <c r="AJ98" s="13">
        <f>AI98*VLOOKUP('Données projet'!$B$10,Paramètres!$A$1:$I$89,3,0)*VLOOKUP('Données projet'!$B$10,Paramètres!$A$1:$I$89,5,0)</f>
        <v>191.71464000000009</v>
      </c>
      <c r="AK98" s="13">
        <f t="shared" si="89"/>
        <v>47.918836973633752</v>
      </c>
      <c r="AL98" s="20">
        <f t="shared" si="58"/>
        <v>417.36163906241222</v>
      </c>
      <c r="AM98" s="59">
        <f t="shared" si="59"/>
        <v>710.69497239574548</v>
      </c>
      <c r="AN98" s="59">
        <f ca="1">AVERAGE(OFFSET($AM$3,0,0,'Données projet'!$E$10+1,1))-AVERAGE(OFFSET($H$3,0,0,'Données projet'!$E$10+1,1))</f>
        <v>187.82209112143374</v>
      </c>
      <c r="AO98" s="59">
        <f t="shared" si="90"/>
        <v>158.99136654880203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45.297802249471914</v>
      </c>
      <c r="AV98" s="21">
        <f>EXP(-LN(2)/25)*AV97+(1-EXP(-LN(2)/25))/(LN(2)/25)*Calculateur!AQ98*Calculateur!AS98*VLOOKUP('Données projet'!$B$10,Paramètres!$A$1:$I$89,3,0)*0.475*44/12</f>
        <v>15.716587177080866</v>
      </c>
      <c r="AW98" s="21">
        <f>EXP(-LN(2)/2)*AW97+(1-EXP(-LN(2)/2))/(LN(2)/2)*AQ98*AT98*VLOOKUP('Données projet'!$B$10,Paramètres!$A$1:$I$89,3,0)*0.475*44/12</f>
        <v>0.62270698183889184</v>
      </c>
      <c r="AX98" s="21">
        <f t="shared" si="60"/>
        <v>61.63709640839167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140.38461538461539</v>
      </c>
      <c r="BB98" s="12">
        <f>VLOOKUP(A98,'Données projet'!$A$87:$I$107,9,0)</f>
        <v>1.7948717948717956</v>
      </c>
      <c r="BC98" s="12">
        <f t="array" ref="BC98">INDEX(BB:BB,MIN(IF(ISNUMBER(BB98:BB294),ROW(BB98:BB294),"")))</f>
        <v>1.7948717948717956</v>
      </c>
      <c r="BD98" s="12">
        <f>IF('Données projet'!$A$88&gt;35,BD97+BC98-BL97,IF(A98&lt;'Données projet'!$A$88,$BA$205^A98,IF(A98='Données projet'!$A$88,'Données projet'!$B$88,BD97+BC98-BL97)))</f>
        <v>140.38461538461533</v>
      </c>
      <c r="BE98" s="13">
        <f>BD98*VLOOKUP('Données projet'!$B$11,Paramètres!$A$1:$I$89,3,0)*VLOOKUP('Données projet'!$B$11,Paramètres!$A$1:$I$89,5,0)</f>
        <v>146.72999999999996</v>
      </c>
      <c r="BF98" s="13">
        <f t="shared" si="91"/>
        <v>37.834515808707891</v>
      </c>
      <c r="BG98" s="20">
        <f t="shared" si="61"/>
        <v>321.44986503349952</v>
      </c>
      <c r="BH98" s="59">
        <f t="shared" si="62"/>
        <v>614.78319836683283</v>
      </c>
      <c r="BI98" s="59">
        <f ca="1">AVERAGE(OFFSET($BH$3,0,0,'Données projet'!$E$11+1,1))-AVERAGE(OFFSET($H$3,0,0,'Données projet'!$E$11+1,1))</f>
        <v>140.32771978791288</v>
      </c>
      <c r="BJ98" s="59">
        <f t="shared" si="92"/>
        <v>135.76866977947634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7.0512820512820511</v>
      </c>
      <c r="BM98" s="16">
        <f>IF(ISNA(VLOOKUP(A98,'Données projet'!$A$87:$I$107,5,0)),0%,VLOOKUP(A98,'Données projet'!$A$87:$I$107,5,0)*VLOOKUP('Données projet'!$B$11,Paramètres!$A$1:$I$89,7,0))</f>
        <v>4.3000000000000003E-2</v>
      </c>
      <c r="BN98" s="16">
        <f>IF(ISNA(VLOOKUP(A98,'Données projet'!$A$87:$I$107,6,0)),0%,VLOOKUP(A98,'Données projet'!$A$87:$I$107,6,0)*VLOOKUP('Données projet'!$B$11,Paramètres!$A$1:$I$89,7,0))</f>
        <v>0.215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1.9530430995566295</v>
      </c>
      <c r="BQ98" s="21">
        <f>EXP(-LN(2)/25)*BQ97+(1-EXP(-LN(2)/25))/(LN(2)/25)*Calculateur!BL98*Calculateur!BN98*VLOOKUP('Données projet'!$B$11,Paramètres!$A$1:$I$89,3,0)*0.475*44/12</f>
        <v>14.964879677414567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16.917922776971196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252.57</v>
      </c>
      <c r="BW98" s="12">
        <f>VLOOKUP(A98,'Données projet'!$A$113:$I$133,9,0)</f>
        <v>6.7600000000000007</v>
      </c>
      <c r="BX98" s="12">
        <f t="array" ref="BX98">INDEX(BW:BW,MIN(IF(ISNUMBER(BW98:BW294),ROW(BW98:BW294),"")))</f>
        <v>6.7600000000000007</v>
      </c>
      <c r="BY98" s="12">
        <f>IF('Données projet'!$A$114&gt;35,BY97+BX98-CG97,IF(A98&lt;'Données projet'!$A$114,$BV$205^A98,IF(A98='Données projet'!$A$114,'Données projet'!$B$114,BY97+BX98-CG97)))</f>
        <v>252.56999999999988</v>
      </c>
      <c r="BZ98" s="13">
        <f>BY98*VLOOKUP('Données projet'!$B$12,Paramètres!$A$1:$I$89,3,0)*VLOOKUP('Données projet'!$B$12,Paramètres!$A$1:$I$89,5,0)</f>
        <v>256.10597999999987</v>
      </c>
      <c r="CA98" s="13">
        <f t="shared" si="93"/>
        <v>61.89160266777624</v>
      </c>
      <c r="CB98" s="20">
        <f t="shared" si="64"/>
        <v>553.84578981304333</v>
      </c>
      <c r="CC98" s="59">
        <f t="shared" si="65"/>
        <v>847.1791231463767</v>
      </c>
      <c r="CD98" s="59">
        <f ca="1">AVERAGE(OFFSET($CC$3,0,0,'Données projet'!$E$12+1,1))-AVERAGE(OFFSET($H$3,0,0,'Données projet'!$E$12+1,1))</f>
        <v>372.05986520199804</v>
      </c>
      <c r="CE98" s="59">
        <f t="shared" si="94"/>
        <v>184.37981929432044</v>
      </c>
      <c r="CF98" s="15">
        <f>IF(ISNA(VLOOKUP(A98,'Données projet'!$A$113:$I$133,3,0)),0,VLOOKUP(A98,'Données projet'!$A$113:$I$133,3,0))</f>
        <v>5</v>
      </c>
      <c r="CG98" s="15">
        <f>IF(ISNA(VLOOKUP(A98,'Données projet'!$A$113:$I$133,4,0)),0,VLOOKUP(A98,'Données projet'!$A$113:$I$133,4,0))</f>
        <v>42.199999999999989</v>
      </c>
      <c r="CH98" s="16">
        <f>IF(ISNA(VLOOKUP(A98,'Données projet'!$A$113:$I$133,5,0)),0%,VLOOKUP(A98,'Données projet'!$A$113:$I$133,5,0)*VLOOKUP('Données projet'!$B$12,Paramètres!$A$1:$I$89,7,0))</f>
        <v>0.15049999999999999</v>
      </c>
      <c r="CI98" s="16">
        <f>IF(ISNA(VLOOKUP(A98,'Données projet'!$A$113:$I$133,6,0)),0%,VLOOKUP(A98,'Données projet'!$A$113:$I$133,6,0)*VLOOKUP('Données projet'!$B$12,Paramètres!$A$1:$I$89,7,0))</f>
        <v>8.6000000000000007E-2</v>
      </c>
      <c r="CJ98" s="16">
        <f>IF(ISNA(VLOOKUP(A98,'Données projet'!$A$113:$I$133,7,0)),0%,VLOOKUP(A98,'Données projet'!$A$113:$I$133,7,0))</f>
        <v>0.1</v>
      </c>
      <c r="CK98" s="21">
        <f>EXP(-LN(2)/35)*CK97+(1-EXP(-LN(2)/35))/(LN(2)/35)*CG98*CH98*VLOOKUP('Données projet'!$B$12,Paramètres!$A$1:$I$89,3,0)*0.475*44/12</f>
        <v>12.418419542324367</v>
      </c>
      <c r="CL98" s="21">
        <f>EXP(-LN(2)/25)*CL97+(1-EXP(-LN(2)/25))/(LN(2)/25)*Calculateur!CG98*Calculateur!CI98*VLOOKUP('Données projet'!$B$12,Paramètres!$A$1:$I$89,3,0)*0.475*44/12</f>
        <v>33.269169739667007</v>
      </c>
      <c r="CM98" s="21">
        <f>EXP(-LN(2)/2)*CM97+(1-EXP(-LN(2)/2))/(LN(2)/2)*CG98*CJ98*VLOOKUP('Données projet'!$B$12,Paramètres!$A$1:$I$89,3,0)*0.475*44/12</f>
        <v>4.2099037727724866</v>
      </c>
      <c r="CN98" s="22">
        <f t="shared" si="66"/>
        <v>49.897493054763856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8.9420000000000019</v>
      </c>
      <c r="CT98" s="12">
        <f>IF('Données projet'!$A$140&gt;35,CT97+CS98-DB97,IF(A98&lt;'Données projet'!$A$140,$CQ$205^A98,IF(A98='Données projet'!$A$140,'Données projet'!$B$140,CT97+CS98-DB97)))</f>
        <v>321.72200000000049</v>
      </c>
      <c r="CU98" s="17">
        <f>CT98*VLOOKUP('Données projet'!$B$13,Paramètres!$A$1:$I$89,3,0)*VLOOKUP('Données projet'!$B$13,Paramètres!$A$1:$I$89,5,0)</f>
        <v>291.09406560000048</v>
      </c>
      <c r="CV98" s="13">
        <f t="shared" si="95"/>
        <v>69.306175582041092</v>
      </c>
      <c r="CW98" s="20">
        <f t="shared" si="67"/>
        <v>627.697086725389</v>
      </c>
      <c r="CX98" s="59">
        <f t="shared" si="68"/>
        <v>921.03042005872226</v>
      </c>
      <c r="CY98" s="59">
        <f ca="1">AVERAGE(OFFSET($CX$3,0,0,'Données projet'!$E$13+1,1))-AVERAGE(OFFSET($H$3,0,0,'Données projet'!$E$13+1,1))</f>
        <v>479.84731392413374</v>
      </c>
      <c r="CZ98" s="59">
        <f t="shared" si="96"/>
        <v>203.57601099841213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27.662671184076828</v>
      </c>
      <c r="DG98" s="21">
        <f>EXP(-LN(2)/25)*DG97+(1-EXP(-LN(2)/25))/(LN(2)/25)*Calculateur!DB98*Calculateur!DD98*VLOOKUP('Données projet'!$B$13,Paramètres!$A$1:$I$89,3,0)*0.475*44/12</f>
        <v>27.416177199960789</v>
      </c>
      <c r="DH98" s="21">
        <f>EXP(-LN(2)/2)*DH97+(1-EXP(-LN(2)/2))/(LN(2)/2)*DB98*DE98*VLOOKUP('Données projet'!$B$13,Paramètres!$A$1:$I$89,3,0)*0.475*44/12</f>
        <v>4.1946991752606371</v>
      </c>
      <c r="DI98" s="22">
        <f t="shared" si="69"/>
        <v>59.273547559298251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6.7984728957526396E-14</v>
      </c>
      <c r="P99" s="13">
        <f t="shared" si="87"/>
        <v>1.0682447123141398E-12</v>
      </c>
      <c r="Q99" s="20">
        <f t="shared" ref="Q99:Q130" si="107">(O99+P99)*0.475*44/12</f>
        <v>1.978932943548152E-12</v>
      </c>
      <c r="R99" s="59">
        <f t="shared" si="55"/>
        <v>293.3333333333353</v>
      </c>
      <c r="S99" s="59">
        <f ca="1">AVERAGE(OFFSET($R$3,0,0,'Données projet'!$E$9+1,1))-AVERAGE(OFFSET($H$3,0,0,'Données projet'!$E$9+1,1))</f>
        <v>322.7909000321435</v>
      </c>
      <c r="T99" s="59">
        <f t="shared" si="88"/>
        <v>403.23516981532316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80.618845448049839</v>
      </c>
      <c r="AA99" s="21">
        <f>EXP(-LN(2)/25)*AA98+(1-EXP(-LN(2)/25))/(LN(2)/25)*Calculateur!V99*Calculateur!X99*VLOOKUP('Données projet'!$B$9,Paramètres!$A$1:$I$89,3,0)*0.475*44/12</f>
        <v>20.343180606528954</v>
      </c>
      <c r="AB99" s="21">
        <f>EXP(-LN(2)/2)*AB98+(1-EXP(-LN(2)/2))/(LN(2)/2)*V99*Y99*VLOOKUP('Données projet'!$B$9,Paramètres!$A$1:$I$89,3,0)*0.475*44/12</f>
        <v>7.3723136941947784E-5</v>
      </c>
      <c r="AC99" s="22">
        <f t="shared" si="57"/>
        <v>100.96209977771572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9.4258333333333351</v>
      </c>
      <c r="AI99" s="13">
        <f>IF('Données projet'!$A$62&gt;35,AI98+AH99-AQ98,IF(A99&lt;'Données projet'!$A$62,$AF$205^A99,IF(A99='Données projet'!$A$62,'Données projet'!$B$62,AI98+AH99-AQ98)))</f>
        <v>419.07250000000022</v>
      </c>
      <c r="AJ99" s="13">
        <f>AI99*VLOOKUP('Données projet'!$B$10,Paramètres!$A$1:$I$89,3,0)*VLOOKUP('Données projet'!$B$10,Paramètres!$A$1:$I$89,5,0)</f>
        <v>196.1259300000001</v>
      </c>
      <c r="AK99" s="13">
        <f t="shared" si="89"/>
        <v>48.891797571959543</v>
      </c>
      <c r="AL99" s="20">
        <f t="shared" si="58"/>
        <v>426.73920885449638</v>
      </c>
      <c r="AM99" s="59">
        <f t="shared" si="59"/>
        <v>720.07254218782964</v>
      </c>
      <c r="AN99" s="59">
        <f ca="1">AVERAGE(OFFSET($AM$3,0,0,'Données projet'!$E$10+1,1))-AVERAGE(OFFSET($H$3,0,0,'Données projet'!$E$10+1,1))</f>
        <v>187.82209112143374</v>
      </c>
      <c r="AO99" s="59">
        <f t="shared" si="90"/>
        <v>158.99136654880203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44.409539976291015</v>
      </c>
      <c r="AV99" s="21">
        <f>EXP(-LN(2)/25)*AV98+(1-EXP(-LN(2)/25))/(LN(2)/25)*Calculateur!AQ99*Calculateur!AS99*VLOOKUP('Données projet'!$B$10,Paramètres!$A$1:$I$89,3,0)*0.475*44/12</f>
        <v>15.286816274224192</v>
      </c>
      <c r="AW99" s="21">
        <f>EXP(-LN(2)/2)*AW98+(1-EXP(-LN(2)/2))/(LN(2)/2)*AQ99*AT99*VLOOKUP('Données projet'!$B$10,Paramètres!$A$1:$I$89,3,0)*0.475*44/12</f>
        <v>0.44032032955048872</v>
      </c>
      <c r="AX99" s="21">
        <f t="shared" si="60"/>
        <v>60.136676580065696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1.9230769230769227</v>
      </c>
      <c r="BD99" s="12">
        <f>IF('Données projet'!$A$88&gt;35,BD98+BC99-BL98,IF(A99&lt;'Données projet'!$A$88,$BA$205^A99,IF(A99='Données projet'!$A$88,'Données projet'!$B$88,BD98+BC99-BL98)))</f>
        <v>135.25641025641022</v>
      </c>
      <c r="BE99" s="13">
        <f>BD99*VLOOKUP('Données projet'!$B$11,Paramètres!$A$1:$I$89,3,0)*VLOOKUP('Données projet'!$B$11,Paramètres!$A$1:$I$89,5,0)</f>
        <v>141.36999999999998</v>
      </c>
      <c r="BF99" s="13">
        <f t="shared" si="91"/>
        <v>36.610675159135589</v>
      </c>
      <c r="BG99" s="20">
        <f t="shared" si="61"/>
        <v>309.98300923549442</v>
      </c>
      <c r="BH99" s="59">
        <f t="shared" si="62"/>
        <v>603.31634256882774</v>
      </c>
      <c r="BI99" s="59">
        <f ca="1">AVERAGE(OFFSET($BH$3,0,0,'Données projet'!$E$11+1,1))-AVERAGE(OFFSET($H$3,0,0,'Données projet'!$E$11+1,1))</f>
        <v>140.32771978791288</v>
      </c>
      <c r="BJ99" s="59">
        <f t="shared" si="92"/>
        <v>135.76866977947634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1.9147451156129895</v>
      </c>
      <c r="BQ99" s="21">
        <f>EXP(-LN(2)/25)*BQ98+(1-EXP(-LN(2)/25))/(LN(2)/25)*Calculateur!BL99*Calculateur!BN99*VLOOKUP('Données projet'!$B$11,Paramètres!$A$1:$I$89,3,0)*0.475*44/12</f>
        <v>14.555664255666846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16.470409371279835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6.7777777777777777</v>
      </c>
      <c r="BY99" s="12">
        <f>IF('Données projet'!$A$114&gt;35,BY98+BX99-CG98,IF(A99&lt;'Données projet'!$A$114,$BV$205^A99,IF(A99='Données projet'!$A$114,'Données projet'!$B$114,BY98+BX99-CG98)))</f>
        <v>217.14777777777766</v>
      </c>
      <c r="BZ99" s="13">
        <f>BY99*VLOOKUP('Données projet'!$B$12,Paramètres!$A$1:$I$89,3,0)*VLOOKUP('Données projet'!$B$12,Paramètres!$A$1:$I$89,5,0)</f>
        <v>220.18784666666656</v>
      </c>
      <c r="CA99" s="13">
        <f t="shared" si="93"/>
        <v>54.155711237243175</v>
      </c>
      <c r="CB99" s="20">
        <f t="shared" si="64"/>
        <v>477.81503001597611</v>
      </c>
      <c r="CC99" s="59">
        <f t="shared" si="65"/>
        <v>771.14836334930942</v>
      </c>
      <c r="CD99" s="59">
        <f ca="1">AVERAGE(OFFSET($CC$3,0,0,'Données projet'!$E$12+1,1))-AVERAGE(OFFSET($H$3,0,0,'Données projet'!$E$12+1,1))</f>
        <v>372.05986520199804</v>
      </c>
      <c r="CE99" s="59">
        <f t="shared" si="94"/>
        <v>184.37981929432044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12.174901909587389</v>
      </c>
      <c r="CL99" s="21">
        <f>EXP(-LN(2)/25)*CL98+(1-EXP(-LN(2)/25))/(LN(2)/25)*Calculateur!CG99*Calculateur!CI99*VLOOKUP('Données projet'!$B$12,Paramètres!$A$1:$I$89,3,0)*0.475*44/12</f>
        <v>32.359422543586213</v>
      </c>
      <c r="CM99" s="21">
        <f>EXP(-LN(2)/2)*CM98+(1-EXP(-LN(2)/2))/(LN(2)/2)*CG99*CJ99*VLOOKUP('Données projet'!$B$12,Paramètres!$A$1:$I$89,3,0)*0.475*44/12</f>
        <v>2.9768515058702558</v>
      </c>
      <c r="CN99" s="22">
        <f t="shared" si="66"/>
        <v>47.511175959043861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8.9420000000000019</v>
      </c>
      <c r="CT99" s="12">
        <f>IF('Données projet'!$A$140&gt;35,CT98+CS99-DB98,IF(A99&lt;'Données projet'!$A$140,$CQ$205^A99,IF(A99='Données projet'!$A$140,'Données projet'!$B$140,CT98+CS99-DB98)))</f>
        <v>330.6640000000005</v>
      </c>
      <c r="CU99" s="17">
        <f>CT99*VLOOKUP('Données projet'!$B$13,Paramètres!$A$1:$I$89,3,0)*VLOOKUP('Données projet'!$B$13,Paramètres!$A$1:$I$89,5,0)</f>
        <v>299.18478720000041</v>
      </c>
      <c r="CV99" s="13">
        <f t="shared" si="95"/>
        <v>71.005536504727559</v>
      </c>
      <c r="CW99" s="20">
        <f t="shared" si="67"/>
        <v>644.74814711906788</v>
      </c>
      <c r="CX99" s="59">
        <f t="shared" si="68"/>
        <v>938.08148045240114</v>
      </c>
      <c r="CY99" s="59">
        <f ca="1">AVERAGE(OFFSET($CX$3,0,0,'Données projet'!$E$13+1,1))-AVERAGE(OFFSET($H$3,0,0,'Données projet'!$E$13+1,1))</f>
        <v>479.84731392413374</v>
      </c>
      <c r="CZ99" s="59">
        <f t="shared" si="96"/>
        <v>203.57601099841213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27.120223074720478</v>
      </c>
      <c r="DG99" s="21">
        <f>EXP(-LN(2)/25)*DG98+(1-EXP(-LN(2)/25))/(LN(2)/25)*Calculateur!DB99*Calculateur!DD99*VLOOKUP('Données projet'!$B$13,Paramètres!$A$1:$I$89,3,0)*0.475*44/12</f>
        <v>26.666480392673762</v>
      </c>
      <c r="DH99" s="21">
        <f>EXP(-LN(2)/2)*DH98+(1-EXP(-LN(2)/2))/(LN(2)/2)*DB99*DE99*VLOOKUP('Données projet'!$B$13,Paramètres!$A$1:$I$89,3,0)*0.475*44/12</f>
        <v>2.9661002318644147</v>
      </c>
      <c r="DI99" s="22">
        <f t="shared" si="69"/>
        <v>56.752803699258656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6.7984728957526396E-14</v>
      </c>
      <c r="P100" s="13">
        <f t="shared" si="87"/>
        <v>1.0682447123141398E-12</v>
      </c>
      <c r="Q100" s="20">
        <f t="shared" si="107"/>
        <v>1.978932943548152E-12</v>
      </c>
      <c r="R100" s="59">
        <f t="shared" si="55"/>
        <v>293.3333333333353</v>
      </c>
      <c r="S100" s="59">
        <f ca="1">AVERAGE(OFFSET($R$3,0,0,'Données projet'!$E$9+1,1))-AVERAGE(OFFSET($H$3,0,0,'Données projet'!$E$9+1,1))</f>
        <v>322.7909000321435</v>
      </c>
      <c r="T100" s="59">
        <f t="shared" si="88"/>
        <v>403.23516981532316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79.037959061453904</v>
      </c>
      <c r="AA100" s="21">
        <f>EXP(-LN(2)/25)*AA99+(1-EXP(-LN(2)/25))/(LN(2)/25)*Calculateur!V100*Calculateur!X100*VLOOKUP('Données projet'!$B$9,Paramètres!$A$1:$I$89,3,0)*0.475*44/12</f>
        <v>19.786895263042044</v>
      </c>
      <c r="AB100" s="21">
        <f>EXP(-LN(2)/2)*AB99+(1-EXP(-LN(2)/2))/(LN(2)/2)*V100*Y100*VLOOKUP('Données projet'!$B$9,Paramètres!$A$1:$I$89,3,0)*0.475*44/12</f>
        <v>5.213013006199575E-5</v>
      </c>
      <c r="AC100" s="22">
        <f t="shared" si="57"/>
        <v>98.824906454626003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9.4258333333333351</v>
      </c>
      <c r="AI100" s="13">
        <f>IF('Données projet'!$A$62&gt;35,AI99+AH100-AQ99,IF(A100&lt;'Données projet'!$A$62,$AF$205^A100,IF(A100='Données projet'!$A$62,'Données projet'!$B$62,AI99+AH100-AQ99)))</f>
        <v>428.49833333333356</v>
      </c>
      <c r="AJ100" s="13">
        <f>AI100*VLOOKUP('Données projet'!$B$10,Paramètres!$A$1:$I$89,3,0)*VLOOKUP('Données projet'!$B$10,Paramètres!$A$1:$I$89,5,0)</f>
        <v>200.5372200000001</v>
      </c>
      <c r="AK100" s="13">
        <f t="shared" si="89"/>
        <v>49.862213982600288</v>
      </c>
      <c r="AL100" s="20">
        <f t="shared" si="58"/>
        <v>436.11234751969567</v>
      </c>
      <c r="AM100" s="59">
        <f t="shared" si="59"/>
        <v>729.44568085302899</v>
      </c>
      <c r="AN100" s="59">
        <f ca="1">AVERAGE(OFFSET($AM$3,0,0,'Données projet'!$E$10+1,1))-AVERAGE(OFFSET($H$3,0,0,'Données projet'!$E$10+1,1))</f>
        <v>187.82209112143374</v>
      </c>
      <c r="AO100" s="59">
        <f t="shared" si="90"/>
        <v>158.99136654880203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43.538695984500698</v>
      </c>
      <c r="AV100" s="21">
        <f>EXP(-LN(2)/25)*AV99+(1-EXP(-LN(2)/25))/(LN(2)/25)*Calculateur!AQ100*Calculateur!AS100*VLOOKUP('Données projet'!$B$10,Paramètres!$A$1:$I$89,3,0)*0.475*44/12</f>
        <v>14.868797479306801</v>
      </c>
      <c r="AW100" s="21">
        <f>EXP(-LN(2)/2)*AW99+(1-EXP(-LN(2)/2))/(LN(2)/2)*AQ100*AT100*VLOOKUP('Données projet'!$B$10,Paramètres!$A$1:$I$89,3,0)*0.475*44/12</f>
        <v>0.31135349091944592</v>
      </c>
      <c r="AX100" s="21">
        <f t="shared" si="60"/>
        <v>58.718846954726942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1.9230769230769227</v>
      </c>
      <c r="BD100" s="12">
        <f>IF('Données projet'!$A$88&gt;35,BD99+BC100-BL99,IF(A100&lt;'Données projet'!$A$88,$BA$205^A100,IF(A100='Données projet'!$A$88,'Données projet'!$B$88,BD99+BC100-BL99)))</f>
        <v>137.17948717948715</v>
      </c>
      <c r="BE100" s="13">
        <f>BD100*VLOOKUP('Données projet'!$B$11,Paramètres!$A$1:$I$89,3,0)*VLOOKUP('Données projet'!$B$11,Paramètres!$A$1:$I$89,5,0)</f>
        <v>143.37999999999997</v>
      </c>
      <c r="BF100" s="13">
        <f t="shared" si="91"/>
        <v>37.070237688614135</v>
      </c>
      <c r="BG100" s="20">
        <f t="shared" si="61"/>
        <v>314.2841639743362</v>
      </c>
      <c r="BH100" s="59">
        <f t="shared" si="62"/>
        <v>607.61749730766951</v>
      </c>
      <c r="BI100" s="59">
        <f ca="1">AVERAGE(OFFSET($BH$3,0,0,'Données projet'!$E$11+1,1))-AVERAGE(OFFSET($H$3,0,0,'Données projet'!$E$11+1,1))</f>
        <v>140.32771978791288</v>
      </c>
      <c r="BJ100" s="59">
        <f t="shared" si="92"/>
        <v>135.76866977947634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1.8771981317750208</v>
      </c>
      <c r="BQ100" s="21">
        <f>EXP(-LN(2)/25)*BQ99+(1-EXP(-LN(2)/25))/(LN(2)/25)*Calculateur!BL100*Calculateur!BN100*VLOOKUP('Données projet'!$B$11,Paramètres!$A$1:$I$89,3,0)*0.475*44/12</f>
        <v>14.157638851146521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16.03483698292154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6.7777777777777777</v>
      </c>
      <c r="BY100" s="12">
        <f>IF('Données projet'!$A$114&gt;35,BY99+BX100-CG99,IF(A100&lt;'Données projet'!$A$114,$BV$205^A100,IF(A100='Données projet'!$A$114,'Données projet'!$B$114,BY99+BX100-CG99)))</f>
        <v>223.92555555555543</v>
      </c>
      <c r="BZ100" s="13">
        <f>BY100*VLOOKUP('Données projet'!$B$12,Paramètres!$A$1:$I$89,3,0)*VLOOKUP('Données projet'!$B$12,Paramètres!$A$1:$I$89,5,0)</f>
        <v>227.06051333333323</v>
      </c>
      <c r="CA100" s="13">
        <f t="shared" si="93"/>
        <v>55.646620764750722</v>
      </c>
      <c r="CB100" s="20">
        <f t="shared" si="64"/>
        <v>492.38159188749614</v>
      </c>
      <c r="CC100" s="59">
        <f t="shared" si="65"/>
        <v>785.7149252208294</v>
      </c>
      <c r="CD100" s="59">
        <f ca="1">AVERAGE(OFFSET($CC$3,0,0,'Données projet'!$E$12+1,1))-AVERAGE(OFFSET($H$3,0,0,'Données projet'!$E$12+1,1))</f>
        <v>372.05986520199804</v>
      </c>
      <c r="CE100" s="59">
        <f t="shared" si="94"/>
        <v>184.37981929432044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11.936159509097292</v>
      </c>
      <c r="CL100" s="21">
        <f>EXP(-LN(2)/25)*CL99+(1-EXP(-LN(2)/25))/(LN(2)/25)*Calculateur!CG100*Calculateur!CI100*VLOOKUP('Données projet'!$B$12,Paramètres!$A$1:$I$89,3,0)*0.475*44/12</f>
        <v>31.474552432423774</v>
      </c>
      <c r="CM100" s="21">
        <f>EXP(-LN(2)/2)*CM99+(1-EXP(-LN(2)/2))/(LN(2)/2)*CG100*CJ100*VLOOKUP('Données projet'!$B$12,Paramètres!$A$1:$I$89,3,0)*0.475*44/12</f>
        <v>2.1049518863862438</v>
      </c>
      <c r="CN100" s="22">
        <f t="shared" si="66"/>
        <v>45.515663827907311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8.9420000000000019</v>
      </c>
      <c r="CT100" s="12">
        <f>IF('Données projet'!$A$140&gt;35,CT99+CS100-DB99,IF(A100&lt;'Données projet'!$A$140,$CQ$205^A100,IF(A100='Données projet'!$A$140,'Données projet'!$B$140,CT99+CS100-DB99)))</f>
        <v>339.60600000000051</v>
      </c>
      <c r="CU100" s="17">
        <f>CT100*VLOOKUP('Données projet'!$B$13,Paramètres!$A$1:$I$89,3,0)*VLOOKUP('Données projet'!$B$13,Paramètres!$A$1:$I$89,5,0)</f>
        <v>307.27550880000041</v>
      </c>
      <c r="CV100" s="13">
        <f t="shared" si="95"/>
        <v>72.699555980078841</v>
      </c>
      <c r="CW100" s="20">
        <f t="shared" si="67"/>
        <v>661.78990449197136</v>
      </c>
      <c r="CX100" s="59">
        <f t="shared" si="68"/>
        <v>955.12323782530461</v>
      </c>
      <c r="CY100" s="59">
        <f ca="1">AVERAGE(OFFSET($CX$3,0,0,'Données projet'!$E$13+1,1))-AVERAGE(OFFSET($H$3,0,0,'Données projet'!$E$13+1,1))</f>
        <v>479.84731392413374</v>
      </c>
      <c r="CZ100" s="59">
        <f t="shared" si="96"/>
        <v>203.57601099841213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26.588412041927928</v>
      </c>
      <c r="DG100" s="21">
        <f>EXP(-LN(2)/25)*DG99+(1-EXP(-LN(2)/25))/(LN(2)/25)*Calculateur!DB100*Calculateur!DD100*VLOOKUP('Données projet'!$B$13,Paramètres!$A$1:$I$89,3,0)*0.475*44/12</f>
        <v>25.937284084006841</v>
      </c>
      <c r="DH100" s="21">
        <f>EXP(-LN(2)/2)*DH99+(1-EXP(-LN(2)/2))/(LN(2)/2)*DB100*DE100*VLOOKUP('Données projet'!$B$13,Paramètres!$A$1:$I$89,3,0)*0.475*44/12</f>
        <v>2.0973495876303185</v>
      </c>
      <c r="DI100" s="22">
        <f t="shared" si="69"/>
        <v>54.623045713565091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6.7984728957526396E-14</v>
      </c>
      <c r="P101" s="13">
        <f t="shared" si="87"/>
        <v>1.0682447123141398E-12</v>
      </c>
      <c r="Q101" s="20">
        <f t="shared" si="107"/>
        <v>1.978932943548152E-12</v>
      </c>
      <c r="R101" s="59">
        <f t="shared" si="55"/>
        <v>293.3333333333353</v>
      </c>
      <c r="S101" s="59">
        <f ca="1">AVERAGE(OFFSET($R$3,0,0,'Données projet'!$E$9+1,1))-AVERAGE(OFFSET($H$3,0,0,'Données projet'!$E$9+1,1))</f>
        <v>322.7909000321435</v>
      </c>
      <c r="T101" s="59">
        <f t="shared" si="88"/>
        <v>403.23516981532316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77.488072892653634</v>
      </c>
      <c r="AA101" s="21">
        <f>EXP(-LN(2)/25)*AA100+(1-EXP(-LN(2)/25))/(LN(2)/25)*Calculateur!V101*Calculateur!X101*VLOOKUP('Données projet'!$B$9,Paramètres!$A$1:$I$89,3,0)*0.475*44/12</f>
        <v>19.245821571526562</v>
      </c>
      <c r="AB101" s="21">
        <f>EXP(-LN(2)/2)*AB100+(1-EXP(-LN(2)/2))/(LN(2)/2)*V101*Y101*VLOOKUP('Données projet'!$B$9,Paramètres!$A$1:$I$89,3,0)*0.475*44/12</f>
        <v>3.6861568470973892E-5</v>
      </c>
      <c r="AC101" s="22">
        <f t="shared" si="57"/>
        <v>96.733931325748671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9.4258333333333351</v>
      </c>
      <c r="AI101" s="13">
        <f>IF('Données projet'!$A$62&gt;35,AI100+AH101-AQ100,IF(A101&lt;'Données projet'!$A$62,$AF$205^A101,IF(A101='Données projet'!$A$62,'Données projet'!$B$62,AI100+AH101-AQ100)))</f>
        <v>437.92416666666691</v>
      </c>
      <c r="AJ101" s="13">
        <f>AI101*VLOOKUP('Données projet'!$B$10,Paramètres!$A$1:$I$89,3,0)*VLOOKUP('Données projet'!$B$10,Paramètres!$A$1:$I$89,5,0)</f>
        <v>204.94851000000008</v>
      </c>
      <c r="AK101" s="13">
        <f t="shared" si="89"/>
        <v>50.83014861559694</v>
      </c>
      <c r="AL101" s="20">
        <f t="shared" si="58"/>
        <v>445.48116375549813</v>
      </c>
      <c r="AM101" s="59">
        <f t="shared" si="59"/>
        <v>738.81449708883144</v>
      </c>
      <c r="AN101" s="59">
        <f ca="1">AVERAGE(OFFSET($AM$3,0,0,'Données projet'!$E$10+1,1))-AVERAGE(OFFSET($H$3,0,0,'Données projet'!$E$10+1,1))</f>
        <v>187.82209112143374</v>
      </c>
      <c r="AO101" s="59">
        <f t="shared" si="90"/>
        <v>158.99136654880203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42.684928712227006</v>
      </c>
      <c r="AV101" s="21">
        <f>EXP(-LN(2)/25)*AV100+(1-EXP(-LN(2)/25))/(LN(2)/25)*Calculateur!AQ101*Calculateur!AS101*VLOOKUP('Données projet'!$B$10,Paramètres!$A$1:$I$89,3,0)*0.475*44/12</f>
        <v>14.46220943031908</v>
      </c>
      <c r="AW101" s="21">
        <f>EXP(-LN(2)/2)*AW100+(1-EXP(-LN(2)/2))/(LN(2)/2)*AQ101*AT101*VLOOKUP('Données projet'!$B$10,Paramètres!$A$1:$I$89,3,0)*0.475*44/12</f>
        <v>0.22016016477524436</v>
      </c>
      <c r="AX101" s="21">
        <f t="shared" si="60"/>
        <v>57.367298307321327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1.9230769230769227</v>
      </c>
      <c r="BD101" s="12">
        <f>IF('Données projet'!$A$88&gt;35,BD100+BC101-BL100,IF(A101&lt;'Données projet'!$A$88,$BA$205^A101,IF(A101='Données projet'!$A$88,'Données projet'!$B$88,BD100+BC101-BL100)))</f>
        <v>139.10256410256409</v>
      </c>
      <c r="BE101" s="13">
        <f>BD101*VLOOKUP('Données projet'!$B$11,Paramètres!$A$1:$I$89,3,0)*VLOOKUP('Données projet'!$B$11,Paramètres!$A$1:$I$89,5,0)</f>
        <v>145.38999999999999</v>
      </c>
      <c r="BF101" s="13">
        <f t="shared" si="91"/>
        <v>37.529050900676538</v>
      </c>
      <c r="BG101" s="20">
        <f t="shared" si="61"/>
        <v>318.58401365201161</v>
      </c>
      <c r="BH101" s="59">
        <f t="shared" si="62"/>
        <v>611.91734698534492</v>
      </c>
      <c r="BI101" s="59">
        <f ca="1">AVERAGE(OFFSET($BH$3,0,0,'Données projet'!$E$11+1,1))-AVERAGE(OFFSET($H$3,0,0,'Données projet'!$E$11+1,1))</f>
        <v>140.32771978791288</v>
      </c>
      <c r="BJ101" s="59">
        <f t="shared" si="92"/>
        <v>135.76866977947634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1.8403874213887159</v>
      </c>
      <c r="BQ101" s="21">
        <f>EXP(-LN(2)/25)*BQ100+(1-EXP(-LN(2)/25))/(LN(2)/25)*Calculateur!BL101*Calculateur!BN101*VLOOKUP('Données projet'!$B$11,Paramètres!$A$1:$I$89,3,0)*0.475*44/12</f>
        <v>13.770497472244049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15.610884893632765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6.7777777777777777</v>
      </c>
      <c r="BY101" s="12">
        <f>IF('Données projet'!$A$114&gt;35,BY100+BX101-CG100,IF(A101&lt;'Données projet'!$A$114,$BV$205^A101,IF(A101='Données projet'!$A$114,'Données projet'!$B$114,BY100+BX101-CG100)))</f>
        <v>230.70333333333321</v>
      </c>
      <c r="BZ101" s="13">
        <f>BY101*VLOOKUP('Données projet'!$B$12,Paramètres!$A$1:$I$89,3,0)*VLOOKUP('Données projet'!$B$12,Paramètres!$A$1:$I$89,5,0)</f>
        <v>233.93317999999988</v>
      </c>
      <c r="CA101" s="13">
        <f t="shared" si="93"/>
        <v>57.132285924019129</v>
      </c>
      <c r="CB101" s="20">
        <f t="shared" si="64"/>
        <v>506.93901981766635</v>
      </c>
      <c r="CC101" s="59">
        <f t="shared" si="65"/>
        <v>800.27235315099961</v>
      </c>
      <c r="CD101" s="59">
        <f ca="1">AVERAGE(OFFSET($CC$3,0,0,'Données projet'!$E$12+1,1))-AVERAGE(OFFSET($H$3,0,0,'Données projet'!$E$12+1,1))</f>
        <v>372.05986520199804</v>
      </c>
      <c r="CE101" s="59">
        <f t="shared" si="94"/>
        <v>184.37981929432044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11.702098701462321</v>
      </c>
      <c r="CL101" s="21">
        <f>EXP(-LN(2)/25)*CL100+(1-EXP(-LN(2)/25))/(LN(2)/25)*Calculateur!CG101*Calculateur!CI101*VLOOKUP('Données projet'!$B$12,Paramètres!$A$1:$I$89,3,0)*0.475*44/12</f>
        <v>30.61387914098437</v>
      </c>
      <c r="CM101" s="21">
        <f>EXP(-LN(2)/2)*CM100+(1-EXP(-LN(2)/2))/(LN(2)/2)*CG101*CJ101*VLOOKUP('Données projet'!$B$12,Paramètres!$A$1:$I$89,3,0)*0.475*44/12</f>
        <v>1.4884257529351281</v>
      </c>
      <c r="CN101" s="22">
        <f t="shared" si="66"/>
        <v>43.804403595381821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8.9420000000000019</v>
      </c>
      <c r="CT101" s="12">
        <f>IF('Données projet'!$A$140&gt;35,CT100+CS101-DB100,IF(A101&lt;'Données projet'!$A$140,$CQ$205^A101,IF(A101='Données projet'!$A$140,'Données projet'!$B$140,CT100+CS101-DB100)))</f>
        <v>348.54800000000051</v>
      </c>
      <c r="CU101" s="17">
        <f>CT101*VLOOKUP('Données projet'!$B$13,Paramètres!$A$1:$I$89,3,0)*VLOOKUP('Données projet'!$B$13,Paramètres!$A$1:$I$89,5,0)</f>
        <v>315.36623040000046</v>
      </c>
      <c r="CV101" s="13">
        <f t="shared" si="95"/>
        <v>74.38839081830163</v>
      </c>
      <c r="CW101" s="20">
        <f t="shared" si="67"/>
        <v>678.82263195520943</v>
      </c>
      <c r="CX101" s="59">
        <f t="shared" si="68"/>
        <v>972.1559652885428</v>
      </c>
      <c r="CY101" s="59">
        <f ca="1">AVERAGE(OFFSET($CX$3,0,0,'Données projet'!$E$13+1,1))-AVERAGE(OFFSET($H$3,0,0,'Données projet'!$E$13+1,1))</f>
        <v>479.84731392413374</v>
      </c>
      <c r="CZ101" s="59">
        <f t="shared" si="96"/>
        <v>203.57601099841213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26.067029499115737</v>
      </c>
      <c r="DG101" s="21">
        <f>EXP(-LN(2)/25)*DG100+(1-EXP(-LN(2)/25))/(LN(2)/25)*Calculateur!DB101*Calculateur!DD101*VLOOKUP('Données projet'!$B$13,Paramètres!$A$1:$I$89,3,0)*0.475*44/12</f>
        <v>25.228027686747183</v>
      </c>
      <c r="DH101" s="21">
        <f>EXP(-LN(2)/2)*DH100+(1-EXP(-LN(2)/2))/(LN(2)/2)*DB101*DE101*VLOOKUP('Données projet'!$B$13,Paramètres!$A$1:$I$89,3,0)*0.475*44/12</f>
        <v>1.4830501159322074</v>
      </c>
      <c r="DI101" s="22">
        <f t="shared" si="69"/>
        <v>52.778107301795124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6.7984728957526396E-14</v>
      </c>
      <c r="P102" s="13">
        <f t="shared" si="87"/>
        <v>1.0682447123141398E-12</v>
      </c>
      <c r="Q102" s="20">
        <f t="shared" si="107"/>
        <v>1.978932943548152E-12</v>
      </c>
      <c r="R102" s="59">
        <f t="shared" si="55"/>
        <v>293.3333333333353</v>
      </c>
      <c r="S102" s="59">
        <f ca="1">AVERAGE(OFFSET($R$3,0,0,'Données projet'!$E$9+1,1))-AVERAGE(OFFSET($H$3,0,0,'Données projet'!$E$9+1,1))</f>
        <v>322.7909000321435</v>
      </c>
      <c r="T102" s="59">
        <f t="shared" si="88"/>
        <v>403.23516981532316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75.968579046286322</v>
      </c>
      <c r="AA102" s="21">
        <f>EXP(-LN(2)/25)*AA101+(1-EXP(-LN(2)/25))/(LN(2)/25)*Calculateur!V102*Calculateur!X102*VLOOKUP('Données projet'!$B$9,Paramètres!$A$1:$I$89,3,0)*0.475*44/12</f>
        <v>18.719543568559398</v>
      </c>
      <c r="AB102" s="21">
        <f>EXP(-LN(2)/2)*AB101+(1-EXP(-LN(2)/2))/(LN(2)/2)*V102*Y102*VLOOKUP('Données projet'!$B$9,Paramètres!$A$1:$I$89,3,0)*0.475*44/12</f>
        <v>2.6065065030997875E-5</v>
      </c>
      <c r="AC102" s="22">
        <f t="shared" si="57"/>
        <v>94.688148679910753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447.35</v>
      </c>
      <c r="AG102" s="12">
        <f>VLOOKUP(A102,'Données projet'!$A$61:$I$81,9,0)</f>
        <v>9.4258333333333351</v>
      </c>
      <c r="AH102" s="12">
        <f t="array" ref="AH102">INDEX(AG:AG,MIN(IF(ISNUMBER(AG102:AG298),ROW(AG102:AG298),"")))</f>
        <v>9.4258333333333351</v>
      </c>
      <c r="AI102" s="13">
        <f>IF('Données projet'!$A$62&gt;35,AI101+AH102-AQ101,IF(A102&lt;'Données projet'!$A$62,$AF$205^A102,IF(A102='Données projet'!$A$62,'Données projet'!$B$62,AI101+AH102-AQ101)))</f>
        <v>447.35000000000025</v>
      </c>
      <c r="AJ102" s="13">
        <f>AI102*VLOOKUP('Données projet'!$B$10,Paramètres!$A$1:$I$89,3,0)*VLOOKUP('Données projet'!$B$10,Paramètres!$A$1:$I$89,5,0)</f>
        <v>209.35980000000012</v>
      </c>
      <c r="AK102" s="13">
        <f t="shared" si="89"/>
        <v>51.795661040915135</v>
      </c>
      <c r="AL102" s="20">
        <f t="shared" si="58"/>
        <v>454.84576131292738</v>
      </c>
      <c r="AM102" s="59">
        <f t="shared" si="59"/>
        <v>748.17909464626064</v>
      </c>
      <c r="AN102" s="59">
        <f ca="1">AVERAGE(OFFSET($AM$3,0,0,'Données projet'!$E$10+1,1))-AVERAGE(OFFSET($H$3,0,0,'Données projet'!$E$10+1,1))</f>
        <v>187.82209112143374</v>
      </c>
      <c r="AO102" s="59">
        <f t="shared" si="90"/>
        <v>158.99136654880203</v>
      </c>
      <c r="AP102" s="15">
        <f>IF(ISNA(VLOOKUP(A102,'Données projet'!$A$61:$I$81,3,0)),0,VLOOKUP(A102,'Données projet'!$A$61:$I$81,3,0))</f>
        <v>5</v>
      </c>
      <c r="AQ102" s="15">
        <f>IF(ISNA(VLOOKUP(A102,'Données projet'!$A$61:$I$81,4,0)),0,VLOOKUP(A102,'Données projet'!$A$61:$I$81,4,0))</f>
        <v>222.86</v>
      </c>
      <c r="AR102" s="16">
        <f>IF(ISNA(VLOOKUP(A102,'Données projet'!$A$61:$I$81,5,0)),0%,VLOOKUP(A102,'Données projet'!$A$61:$I$81,5,0)*VLOOKUP('Données projet'!$B$10,Paramètres!$A$1:$I$89,7,0))</f>
        <v>0.33</v>
      </c>
      <c r="AS102" s="16">
        <f>IF(ISNA(VLOOKUP(A102,'Données projet'!$A$61:$I$81,6,0)),0%,VLOOKUP(A102,'Données projet'!$A$61:$I$81,6,0)*VLOOKUP('Données projet'!$B$10,Paramètres!$A$1:$I$89,7,0))</f>
        <v>0.11000000000000001</v>
      </c>
      <c r="AT102" s="16">
        <f>IF(ISNA(VLOOKUP(A102,'Données projet'!$A$61:$I$81,7,0)),0%,VLOOKUP(A102,'Données projet'!$A$61:$I$81,7,0))</f>
        <v>0.2</v>
      </c>
      <c r="AU102" s="21">
        <f>EXP(-LN(2)/35)*AU101+(1-EXP(-LN(2)/35))/(LN(2)/35)*AQ102*AR102*VLOOKUP('Données projet'!$B$10,Paramètres!$A$1:$I$89,3,0)*0.475*44/12</f>
        <v>87.506259882458664</v>
      </c>
      <c r="AV102" s="21">
        <f>EXP(-LN(2)/25)*AV101+(1-EXP(-LN(2)/25))/(LN(2)/25)*Calculateur!AQ102*Calculateur!AS102*VLOOKUP('Données projet'!$B$10,Paramètres!$A$1:$I$89,3,0)*0.475*44/12</f>
        <v>29.226266966233041</v>
      </c>
      <c r="AW102" s="21">
        <f>EXP(-LN(2)/2)*AW101+(1-EXP(-LN(2)/2))/(LN(2)/2)*AQ102*AT102*VLOOKUP('Données projet'!$B$10,Paramètres!$A$1:$I$89,3,0)*0.475*44/12</f>
        <v>23.773698273243351</v>
      </c>
      <c r="AX102" s="21">
        <f t="shared" si="60"/>
        <v>140.50622512193505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1.9230769230769227</v>
      </c>
      <c r="BD102" s="12">
        <f>IF('Données projet'!$A$88&gt;35,BD101+BC102-BL101,IF(A102&lt;'Données projet'!$A$88,$BA$205^A102,IF(A102='Données projet'!$A$88,'Données projet'!$B$88,BD101+BC102-BL101)))</f>
        <v>141.02564102564102</v>
      </c>
      <c r="BE102" s="13">
        <f>BD102*VLOOKUP('Données projet'!$B$11,Paramètres!$A$1:$I$89,3,0)*VLOOKUP('Données projet'!$B$11,Paramètres!$A$1:$I$89,5,0)</f>
        <v>147.4</v>
      </c>
      <c r="BF102" s="13">
        <f t="shared" si="91"/>
        <v>37.987126351804257</v>
      </c>
      <c r="BG102" s="20">
        <f t="shared" si="61"/>
        <v>322.88257839605905</v>
      </c>
      <c r="BH102" s="59">
        <f t="shared" si="62"/>
        <v>616.21591172939236</v>
      </c>
      <c r="BI102" s="59">
        <f ca="1">AVERAGE(OFFSET($BH$3,0,0,'Données projet'!$E$11+1,1))-AVERAGE(OFFSET($H$3,0,0,'Données projet'!$E$11+1,1))</f>
        <v>140.32771978791288</v>
      </c>
      <c r="BJ102" s="59">
        <f t="shared" si="92"/>
        <v>135.76866977947634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1.8042985465807702</v>
      </c>
      <c r="BQ102" s="21">
        <f>EXP(-LN(2)/25)*BQ101+(1-EXP(-LN(2)/25))/(LN(2)/25)*Calculateur!BL102*Calculateur!BN102*VLOOKUP('Données projet'!$B$11,Paramètres!$A$1:$I$89,3,0)*0.475*44/12</f>
        <v>13.393942494706547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15.198241041287318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6.7777777777777777</v>
      </c>
      <c r="BY102" s="12">
        <f>IF('Données projet'!$A$114&gt;35,BY101+BX102-CG101,IF(A102&lt;'Données projet'!$A$114,$BV$205^A102,IF(A102='Données projet'!$A$114,'Données projet'!$B$114,BY101+BX102-CG101)))</f>
        <v>237.48111111111098</v>
      </c>
      <c r="BZ102" s="13">
        <f>BY102*VLOOKUP('Données projet'!$B$12,Paramètres!$A$1:$I$89,3,0)*VLOOKUP('Données projet'!$B$12,Paramètres!$A$1:$I$89,5,0)</f>
        <v>240.80584666666655</v>
      </c>
      <c r="CA102" s="13">
        <f t="shared" si="93"/>
        <v>58.612878478503731</v>
      </c>
      <c r="CB102" s="20">
        <f t="shared" si="64"/>
        <v>521.48761296117152</v>
      </c>
      <c r="CC102" s="59">
        <f t="shared" si="65"/>
        <v>814.82094629450489</v>
      </c>
      <c r="CD102" s="59">
        <f ca="1">AVERAGE(OFFSET($CC$3,0,0,'Données projet'!$E$12+1,1))-AVERAGE(OFFSET($H$3,0,0,'Données projet'!$E$12+1,1))</f>
        <v>372.05986520199804</v>
      </c>
      <c r="CE102" s="59">
        <f t="shared" si="94"/>
        <v>184.37981929432044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11.472627683502076</v>
      </c>
      <c r="CL102" s="21">
        <f>EXP(-LN(2)/25)*CL101+(1-EXP(-LN(2)/25))/(LN(2)/25)*Calculateur!CG102*Calculateur!CI102*VLOOKUP('Données projet'!$B$12,Paramètres!$A$1:$I$89,3,0)*0.475*44/12</f>
        <v>29.776741005960218</v>
      </c>
      <c r="CM102" s="21">
        <f>EXP(-LN(2)/2)*CM101+(1-EXP(-LN(2)/2))/(LN(2)/2)*CG102*CJ102*VLOOKUP('Données projet'!$B$12,Paramètres!$A$1:$I$89,3,0)*0.475*44/12</f>
        <v>1.0524759431931219</v>
      </c>
      <c r="CN102" s="22">
        <f t="shared" si="66"/>
        <v>42.301844632655417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8.9420000000000019</v>
      </c>
      <c r="CT102" s="12">
        <f>IF('Données projet'!$A$140&gt;35,CT101+CS102-DB101,IF(A102&lt;'Données projet'!$A$140,$CQ$205^A102,IF(A102='Données projet'!$A$140,'Données projet'!$B$140,CT101+CS102-DB101)))</f>
        <v>357.49000000000052</v>
      </c>
      <c r="CU102" s="17">
        <f>CT102*VLOOKUP('Données projet'!$B$13,Paramètres!$A$1:$I$89,3,0)*VLOOKUP('Données projet'!$B$13,Paramètres!$A$1:$I$89,5,0)</f>
        <v>323.45695200000046</v>
      </c>
      <c r="CV102" s="13">
        <f t="shared" si="95"/>
        <v>76.072189325282608</v>
      </c>
      <c r="CW102" s="20">
        <f t="shared" si="67"/>
        <v>695.84658780820121</v>
      </c>
      <c r="CX102" s="59">
        <f t="shared" si="68"/>
        <v>989.17992114153458</v>
      </c>
      <c r="CY102" s="59">
        <f ca="1">AVERAGE(OFFSET($CX$3,0,0,'Données projet'!$E$13+1,1))-AVERAGE(OFFSET($H$3,0,0,'Données projet'!$E$13+1,1))</f>
        <v>479.84731392413374</v>
      </c>
      <c r="CZ102" s="59">
        <f t="shared" si="96"/>
        <v>203.57601099841213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25.555870949956144</v>
      </c>
      <c r="DG102" s="21">
        <f>EXP(-LN(2)/25)*DG101+(1-EXP(-LN(2)/25))/(LN(2)/25)*Calculateur!DB102*Calculateur!DD102*VLOOKUP('Données projet'!$B$13,Paramètres!$A$1:$I$89,3,0)*0.475*44/12</f>
        <v>24.538165942968764</v>
      </c>
      <c r="DH102" s="21">
        <f>EXP(-LN(2)/2)*DH101+(1-EXP(-LN(2)/2))/(LN(2)/2)*DB102*DE102*VLOOKUP('Données projet'!$B$13,Paramètres!$A$1:$I$89,3,0)*0.475*44/12</f>
        <v>1.0486747938151593</v>
      </c>
      <c r="DI102" s="22">
        <f t="shared" si="69"/>
        <v>51.142711686740064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6.7984728957526396E-14</v>
      </c>
      <c r="P103" s="13">
        <f t="shared" si="87"/>
        <v>1.0682447123141398E-12</v>
      </c>
      <c r="Q103" s="20">
        <f t="shared" si="107"/>
        <v>1.978932943548152E-12</v>
      </c>
      <c r="R103" s="59">
        <f t="shared" si="55"/>
        <v>293.3333333333353</v>
      </c>
      <c r="S103" s="59">
        <f ca="1">AVERAGE(OFFSET($R$3,0,0,'Données projet'!$E$9+1,1))-AVERAGE(OFFSET($H$3,0,0,'Données projet'!$E$9+1,1))</f>
        <v>322.7909000321435</v>
      </c>
      <c r="T103" s="59">
        <f t="shared" si="88"/>
        <v>403.23516981532316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74.478881547446534</v>
      </c>
      <c r="AA103" s="21">
        <f>EXP(-LN(2)/25)*AA102+(1-EXP(-LN(2)/25))/(LN(2)/25)*Calculateur!V103*Calculateur!X103*VLOOKUP('Données projet'!$B$9,Paramètres!$A$1:$I$89,3,0)*0.475*44/12</f>
        <v>18.20765666525913</v>
      </c>
      <c r="AB103" s="21">
        <f>EXP(-LN(2)/2)*AB102+(1-EXP(-LN(2)/2))/(LN(2)/2)*V103*Y103*VLOOKUP('Données projet'!$B$9,Paramètres!$A$1:$I$89,3,0)*0.475*44/12</f>
        <v>1.8430784235486946E-5</v>
      </c>
      <c r="AC103" s="22">
        <f t="shared" si="57"/>
        <v>92.686556643489908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6.5620000000000003</v>
      </c>
      <c r="AI103" s="13">
        <f>IF('Données projet'!$A$62&gt;35,AI102+AH103-AQ102,IF(A103&lt;'Données projet'!$A$62,$AF$205^A103,IF(A103='Données projet'!$A$62,'Données projet'!$B$62,AI102+AH103-AQ102)))</f>
        <v>231.05200000000025</v>
      </c>
      <c r="AJ103" s="13">
        <f>AI103*VLOOKUP('Données projet'!$B$10,Paramètres!$A$1:$I$89,3,0)*VLOOKUP('Données projet'!$B$10,Paramètres!$A$1:$I$89,5,0)</f>
        <v>108.13233600000011</v>
      </c>
      <c r="AK103" s="13">
        <f t="shared" si="89"/>
        <v>28.890510766614838</v>
      </c>
      <c r="AL103" s="20">
        <f t="shared" si="58"/>
        <v>238.64812478518766</v>
      </c>
      <c r="AM103" s="59">
        <f t="shared" si="59"/>
        <v>531.981458118521</v>
      </c>
      <c r="AN103" s="59">
        <f ca="1">AVERAGE(OFFSET($AM$3,0,0,'Données projet'!$E$10+1,1))-AVERAGE(OFFSET($H$3,0,0,'Données projet'!$E$10+1,1))</f>
        <v>187.82209112143374</v>
      </c>
      <c r="AO103" s="59">
        <f t="shared" si="90"/>
        <v>158.99136654880203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85.79031549971198</v>
      </c>
      <c r="AV103" s="21">
        <f>EXP(-LN(2)/25)*AV102+(1-EXP(-LN(2)/25))/(LN(2)/25)*Calculateur!AQ103*Calculateur!AS103*VLOOKUP('Données projet'!$B$10,Paramètres!$A$1:$I$89,3,0)*0.475*44/12</f>
        <v>28.427073159098818</v>
      </c>
      <c r="AW103" s="21">
        <f>EXP(-LN(2)/2)*AW102+(1-EXP(-LN(2)/2))/(LN(2)/2)*AQ103*AT103*VLOOKUP('Données projet'!$B$10,Paramètres!$A$1:$I$89,3,0)*0.475*44/12</f>
        <v>16.81054326289329</v>
      </c>
      <c r="AX103" s="21">
        <f t="shared" si="60"/>
        <v>131.02793192170407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142.94871794871796</v>
      </c>
      <c r="BB103" s="12">
        <f>VLOOKUP(A103,'Données projet'!$A$87:$I$107,9,0)</f>
        <v>1.9230769230769227</v>
      </c>
      <c r="BC103" s="12">
        <f t="array" ref="BC103">INDEX(BB:BB,MIN(IF(ISNUMBER(BB103:BB299),ROW(BB103:BB299),"")))</f>
        <v>1.9230769230769227</v>
      </c>
      <c r="BD103" s="12">
        <f>IF('Données projet'!$A$88&gt;35,BD102+BC103-BL102,IF(A103&lt;'Données projet'!$A$88,$BA$205^A103,IF(A103='Données projet'!$A$88,'Données projet'!$B$88,BD102+BC103-BL102)))</f>
        <v>142.94871794871796</v>
      </c>
      <c r="BE103" s="13">
        <f>BD103*VLOOKUP('Données projet'!$B$11,Paramètres!$A$1:$I$89,3,0)*VLOOKUP('Données projet'!$B$11,Paramètres!$A$1:$I$89,5,0)</f>
        <v>149.41000000000003</v>
      </c>
      <c r="BF103" s="13">
        <f t="shared" si="91"/>
        <v>38.444475265192452</v>
      </c>
      <c r="BG103" s="20">
        <f t="shared" si="61"/>
        <v>327.17987775354362</v>
      </c>
      <c r="BH103" s="59">
        <f t="shared" si="62"/>
        <v>620.51321108687694</v>
      </c>
      <c r="BI103" s="59">
        <f ca="1">AVERAGE(OFFSET($BH$3,0,0,'Données projet'!$E$11+1,1))-AVERAGE(OFFSET($H$3,0,0,'Données projet'!$E$11+1,1))</f>
        <v>140.32771978791288</v>
      </c>
      <c r="BJ103" s="59">
        <f t="shared" si="92"/>
        <v>135.76866977947634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142.94871794871796</v>
      </c>
      <c r="BM103" s="16">
        <f>IF(ISNA(VLOOKUP(A103,'Données projet'!$A$87:$I$107,5,0)),0%,VLOOKUP(A103,'Données projet'!$A$87:$I$107,5,0)*VLOOKUP('Données projet'!$B$11,Paramètres!$A$1:$I$89,7,0))</f>
        <v>4.3000000000000003E-2</v>
      </c>
      <c r="BN103" s="16">
        <f>IF(ISNA(VLOOKUP(A103,'Données projet'!$A$87:$I$107,6,0)),0%,VLOOKUP(A103,'Données projet'!$A$87:$I$107,6,0)*VLOOKUP('Données projet'!$B$11,Paramètres!$A$1:$I$89,7,0))</f>
        <v>0.215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8.8711555170545484</v>
      </c>
      <c r="BQ103" s="21">
        <f>EXP(-LN(2)/25)*BQ102+(1-EXP(-LN(2)/25))/(LN(2)/25)*Calculateur!BL103*Calculateur!BN103*VLOOKUP('Données projet'!$B$11,Paramètres!$A$1:$I$89,3,0)*0.475*44/12</f>
        <v>48.399054166033999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57.270209683088545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6.7777777777777777</v>
      </c>
      <c r="BY103" s="12">
        <f>IF('Données projet'!$A$114&gt;35,BY102+BX103-CG102,IF(A103&lt;'Données projet'!$A$114,$BV$205^A103,IF(A103='Données projet'!$A$114,'Données projet'!$B$114,BY102+BX103-CG102)))</f>
        <v>244.25888888888875</v>
      </c>
      <c r="BZ103" s="13">
        <f>BY103*VLOOKUP('Données projet'!$B$12,Paramètres!$A$1:$I$89,3,0)*VLOOKUP('Données projet'!$B$12,Paramètres!$A$1:$I$89,5,0)</f>
        <v>247.6785133333332</v>
      </c>
      <c r="CA103" s="13">
        <f t="shared" si="93"/>
        <v>60.088559829649782</v>
      </c>
      <c r="CB103" s="20">
        <f t="shared" si="64"/>
        <v>536.02765242552857</v>
      </c>
      <c r="CC103" s="59">
        <f t="shared" si="65"/>
        <v>829.36098575886194</v>
      </c>
      <c r="CD103" s="59">
        <f ca="1">AVERAGE(OFFSET($CC$3,0,0,'Données projet'!$E$12+1,1))-AVERAGE(OFFSET($H$3,0,0,'Données projet'!$E$12+1,1))</f>
        <v>372.05986520199804</v>
      </c>
      <c r="CE103" s="59">
        <f t="shared" si="94"/>
        <v>184.37981929432044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11.24765645224053</v>
      </c>
      <c r="CL103" s="21">
        <f>EXP(-LN(2)/25)*CL102+(1-EXP(-LN(2)/25))/(LN(2)/25)*Calculateur!CG103*Calculateur!CI103*VLOOKUP('Données projet'!$B$12,Paramètres!$A$1:$I$89,3,0)*0.475*44/12</f>
        <v>28.962494457261482</v>
      </c>
      <c r="CM103" s="21">
        <f>EXP(-LN(2)/2)*CM102+(1-EXP(-LN(2)/2))/(LN(2)/2)*CG103*CJ103*VLOOKUP('Données projet'!$B$12,Paramètres!$A$1:$I$89,3,0)*0.475*44/12</f>
        <v>0.74421287646756407</v>
      </c>
      <c r="CN103" s="22">
        <f t="shared" si="66"/>
        <v>40.954363785969576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8.9420000000000019</v>
      </c>
      <c r="CT103" s="12">
        <f>IF('Données projet'!$A$140&gt;35,CT102+CS103-DB102,IF(A103&lt;'Données projet'!$A$140,$CQ$205^A103,IF(A103='Données projet'!$A$140,'Données projet'!$B$140,CT102+CS103-DB102)))</f>
        <v>366.43200000000053</v>
      </c>
      <c r="CU103" s="17">
        <f>CT103*VLOOKUP('Données projet'!$B$13,Paramètres!$A$1:$I$89,3,0)*VLOOKUP('Données projet'!$B$13,Paramètres!$A$1:$I$89,5,0)</f>
        <v>331.54767360000045</v>
      </c>
      <c r="CV103" s="13">
        <f t="shared" si="95"/>
        <v>77.751091964826287</v>
      </c>
      <c r="CW103" s="20">
        <f t="shared" si="67"/>
        <v>712.86201669207321</v>
      </c>
      <c r="CX103" s="59">
        <f t="shared" si="68"/>
        <v>1006.1953500254065</v>
      </c>
      <c r="CY103" s="59">
        <f ca="1">AVERAGE(OFFSET($CX$3,0,0,'Données projet'!$E$13+1,1))-AVERAGE(OFFSET($H$3,0,0,'Données projet'!$E$13+1,1))</f>
        <v>479.84731392413374</v>
      </c>
      <c r="CZ103" s="59">
        <f t="shared" si="96"/>
        <v>203.57601099841213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25.054735908169643</v>
      </c>
      <c r="DG103" s="21">
        <f>EXP(-LN(2)/25)*DG102+(1-EXP(-LN(2)/25))/(LN(2)/25)*Calculateur!DB103*Calculateur!DD103*VLOOKUP('Données projet'!$B$13,Paramètres!$A$1:$I$89,3,0)*0.475*44/12</f>
        <v>23.86716850485222</v>
      </c>
      <c r="DH103" s="21">
        <f>EXP(-LN(2)/2)*DH102+(1-EXP(-LN(2)/2))/(LN(2)/2)*DB103*DE103*VLOOKUP('Données projet'!$B$13,Paramètres!$A$1:$I$89,3,0)*0.475*44/12</f>
        <v>0.74152505796610368</v>
      </c>
      <c r="DI103" s="22">
        <f t="shared" si="69"/>
        <v>49.663429470987964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6.7984728957526396E-14</v>
      </c>
      <c r="P104" s="13">
        <f t="shared" si="87"/>
        <v>1.0682447123141398E-12</v>
      </c>
      <c r="Q104" s="20">
        <f t="shared" si="107"/>
        <v>1.978932943548152E-12</v>
      </c>
      <c r="R104" s="59">
        <f t="shared" si="55"/>
        <v>293.3333333333353</v>
      </c>
      <c r="S104" s="59">
        <f ca="1">AVERAGE(OFFSET($R$3,0,0,'Données projet'!$E$9+1,1))-AVERAGE(OFFSET($H$3,0,0,'Données projet'!$E$9+1,1))</f>
        <v>322.7909000321435</v>
      </c>
      <c r="T104" s="59">
        <f t="shared" si="88"/>
        <v>403.23516981532316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73.018396107933242</v>
      </c>
      <c r="AA104" s="21">
        <f>EXP(-LN(2)/25)*AA103+(1-EXP(-LN(2)/25))/(LN(2)/25)*Calculateur!V104*Calculateur!X104*VLOOKUP('Données projet'!$B$9,Paramètres!$A$1:$I$89,3,0)*0.475*44/12</f>
        <v>17.709767336248568</v>
      </c>
      <c r="AB104" s="21">
        <f>EXP(-LN(2)/2)*AB103+(1-EXP(-LN(2)/2))/(LN(2)/2)*V104*Y104*VLOOKUP('Données projet'!$B$9,Paramètres!$A$1:$I$89,3,0)*0.475*44/12</f>
        <v>1.3032532515498938E-5</v>
      </c>
      <c r="AC104" s="22">
        <f t="shared" si="57"/>
        <v>90.728176476714324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6.5620000000000003</v>
      </c>
      <c r="AI104" s="13">
        <f>IF('Données projet'!$A$62&gt;35,AI103+AH104-AQ103,IF(A104&lt;'Données projet'!$A$62,$AF$205^A104,IF(A104='Données projet'!$A$62,'Données projet'!$B$62,AI103+AH104-AQ103)))</f>
        <v>237.61400000000026</v>
      </c>
      <c r="AJ104" s="13">
        <f>AI104*VLOOKUP('Données projet'!$B$10,Paramètres!$A$1:$I$89,3,0)*VLOOKUP('Données projet'!$B$10,Paramètres!$A$1:$I$89,5,0)</f>
        <v>111.20335200000012</v>
      </c>
      <c r="AK104" s="13">
        <f t="shared" si="89"/>
        <v>29.614323908502584</v>
      </c>
      <c r="AL104" s="20">
        <f t="shared" si="58"/>
        <v>245.25745220730889</v>
      </c>
      <c r="AM104" s="59">
        <f t="shared" si="59"/>
        <v>538.59078554064217</v>
      </c>
      <c r="AN104" s="59">
        <f ca="1">AVERAGE(OFFSET($AM$3,0,0,'Données projet'!$E$10+1,1))-AVERAGE(OFFSET($H$3,0,0,'Données projet'!$E$10+1,1))</f>
        <v>187.82209112143374</v>
      </c>
      <c r="AO104" s="59">
        <f t="shared" si="90"/>
        <v>158.99136654880203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84.108019739688231</v>
      </c>
      <c r="AV104" s="21">
        <f>EXP(-LN(2)/25)*AV103+(1-EXP(-LN(2)/25))/(LN(2)/25)*Calculateur!AQ104*Calculateur!AS104*VLOOKUP('Données projet'!$B$10,Paramètres!$A$1:$I$89,3,0)*0.475*44/12</f>
        <v>27.649733348648454</v>
      </c>
      <c r="AW104" s="21">
        <f>EXP(-LN(2)/2)*AW103+(1-EXP(-LN(2)/2))/(LN(2)/2)*AQ104*AT104*VLOOKUP('Données projet'!$B$10,Paramètres!$A$1:$I$89,3,0)*0.475*44/12</f>
        <v>11.886849136621677</v>
      </c>
      <c r="AX104" s="21">
        <f t="shared" si="60"/>
        <v>123.64460222495836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140.32771978791288</v>
      </c>
      <c r="BJ104" s="59">
        <f t="shared" si="92"/>
        <v>135.76866977947634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8.6971975682356959</v>
      </c>
      <c r="BQ104" s="21">
        <f>EXP(-LN(2)/25)*BQ103+(1-EXP(-LN(2)/25))/(LN(2)/25)*Calculateur!BL104*Calculateur!BN104*VLOOKUP('Données projet'!$B$11,Paramètres!$A$1:$I$89,3,0)*0.475*44/12</f>
        <v>47.075579484668161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55.772777052903855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6.7777777777777777</v>
      </c>
      <c r="BY104" s="12">
        <f>IF('Données projet'!$A$114&gt;35,BY103+BX104-CG103,IF(A104&lt;'Données projet'!$A$114,$BV$205^A104,IF(A104='Données projet'!$A$114,'Données projet'!$B$114,BY103+BX104-CG103)))</f>
        <v>251.03666666666652</v>
      </c>
      <c r="BZ104" s="13">
        <f>BY104*VLOOKUP('Données projet'!$B$12,Paramètres!$A$1:$I$89,3,0)*VLOOKUP('Données projet'!$B$12,Paramètres!$A$1:$I$89,5,0)</f>
        <v>254.55117999999987</v>
      </c>
      <c r="CA104" s="13">
        <f t="shared" si="93"/>
        <v>61.55948191196579</v>
      </c>
      <c r="CB104" s="20">
        <f t="shared" si="64"/>
        <v>550.55940283000689</v>
      </c>
      <c r="CC104" s="59">
        <f t="shared" si="65"/>
        <v>843.89273616334026</v>
      </c>
      <c r="CD104" s="59">
        <f ca="1">AVERAGE(OFFSET($CC$3,0,0,'Données projet'!$E$12+1,1))-AVERAGE(OFFSET($H$3,0,0,'Données projet'!$E$12+1,1))</f>
        <v>372.05986520199804</v>
      </c>
      <c r="CE104" s="59">
        <f t="shared" si="94"/>
        <v>184.37981929432044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11.027096769605121</v>
      </c>
      <c r="CL104" s="21">
        <f>EXP(-LN(2)/25)*CL103+(1-EXP(-LN(2)/25))/(LN(2)/25)*Calculateur!CG104*Calculateur!CI104*VLOOKUP('Données projet'!$B$12,Paramètres!$A$1:$I$89,3,0)*0.475*44/12</f>
        <v>28.170513523256279</v>
      </c>
      <c r="CM104" s="21">
        <f>EXP(-LN(2)/2)*CM103+(1-EXP(-LN(2)/2))/(LN(2)/2)*CG104*CJ104*VLOOKUP('Données projet'!$B$12,Paramètres!$A$1:$I$89,3,0)*0.475*44/12</f>
        <v>0.52623797159656094</v>
      </c>
      <c r="CN104" s="22">
        <f t="shared" si="66"/>
        <v>39.723848264457956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8.9420000000000019</v>
      </c>
      <c r="CT104" s="12">
        <f>IF('Données projet'!$A$140&gt;35,CT103+CS104-DB103,IF(A104&lt;'Données projet'!$A$140,$CQ$205^A104,IF(A104='Données projet'!$A$140,'Données projet'!$B$140,CT103+CS104-DB103)))</f>
        <v>375.37400000000054</v>
      </c>
      <c r="CU104" s="17">
        <f>CT104*VLOOKUP('Données projet'!$B$13,Paramètres!$A$1:$I$89,3,0)*VLOOKUP('Données projet'!$B$13,Paramètres!$A$1:$I$89,5,0)</f>
        <v>339.6383952000005</v>
      </c>
      <c r="CV104" s="13">
        <f t="shared" si="95"/>
        <v>79.425231954431325</v>
      </c>
      <c r="CW104" s="20">
        <f t="shared" si="67"/>
        <v>729.86915062730213</v>
      </c>
      <c r="CX104" s="59">
        <f t="shared" si="68"/>
        <v>1023.2024839606354</v>
      </c>
      <c r="CY104" s="59">
        <f ca="1">AVERAGE(OFFSET($CX$3,0,0,'Données projet'!$E$13+1,1))-AVERAGE(OFFSET($H$3,0,0,'Données projet'!$E$13+1,1))</f>
        <v>479.84731392413374</v>
      </c>
      <c r="CZ104" s="59">
        <f t="shared" si="96"/>
        <v>203.57601099841213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24.563427818890382</v>
      </c>
      <c r="DG104" s="21">
        <f>EXP(-LN(2)/25)*DG103+(1-EXP(-LN(2)/25))/(LN(2)/25)*Calculateur!DB104*Calculateur!DD104*VLOOKUP('Données projet'!$B$13,Paramètres!$A$1:$I$89,3,0)*0.475*44/12</f>
        <v>23.214519526967194</v>
      </c>
      <c r="DH104" s="21">
        <f>EXP(-LN(2)/2)*DH103+(1-EXP(-LN(2)/2))/(LN(2)/2)*DB104*DE104*VLOOKUP('Données projet'!$B$13,Paramètres!$A$1:$I$89,3,0)*0.475*44/12</f>
        <v>0.52433739690757963</v>
      </c>
      <c r="DI104" s="22">
        <f t="shared" si="69"/>
        <v>48.302284742765153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6.7984728957526396E-14</v>
      </c>
      <c r="P105" s="13">
        <f t="shared" si="87"/>
        <v>1.0682447123141398E-12</v>
      </c>
      <c r="Q105" s="20">
        <f t="shared" si="107"/>
        <v>1.978932943548152E-12</v>
      </c>
      <c r="R105" s="59">
        <f t="shared" si="55"/>
        <v>293.3333333333353</v>
      </c>
      <c r="S105" s="59">
        <f ca="1">AVERAGE(OFFSET($R$3,0,0,'Données projet'!$E$9+1,1))-AVERAGE(OFFSET($H$3,0,0,'Données projet'!$E$9+1,1))</f>
        <v>322.7909000321435</v>
      </c>
      <c r="T105" s="59">
        <f t="shared" si="88"/>
        <v>403.23516981532316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71.586549897080644</v>
      </c>
      <c r="AA105" s="21">
        <f>EXP(-LN(2)/25)*AA104+(1-EXP(-LN(2)/25))/(LN(2)/25)*Calculateur!V105*Calculateur!X105*VLOOKUP('Données projet'!$B$9,Paramètres!$A$1:$I$89,3,0)*0.475*44/12</f>
        <v>17.225492817122664</v>
      </c>
      <c r="AB105" s="21">
        <f>EXP(-LN(2)/2)*AB104+(1-EXP(-LN(2)/2))/(LN(2)/2)*V105*Y105*VLOOKUP('Données projet'!$B$9,Paramètres!$A$1:$I$89,3,0)*0.475*44/12</f>
        <v>9.215392117743473E-6</v>
      </c>
      <c r="AC105" s="22">
        <f t="shared" si="57"/>
        <v>88.812051929595413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6.5620000000000003</v>
      </c>
      <c r="AI105" s="13">
        <f>IF('Données projet'!$A$62&gt;35,AI104+AH105-AQ104,IF(A105&lt;'Données projet'!$A$62,$AF$205^A105,IF(A105='Données projet'!$A$62,'Données projet'!$B$62,AI104+AH105-AQ104)))</f>
        <v>244.17600000000027</v>
      </c>
      <c r="AJ105" s="13">
        <f>AI105*VLOOKUP('Données projet'!$B$10,Paramètres!$A$1:$I$89,3,0)*VLOOKUP('Données projet'!$B$10,Paramètres!$A$1:$I$89,5,0)</f>
        <v>114.27436800000012</v>
      </c>
      <c r="AK105" s="13">
        <f t="shared" si="89"/>
        <v>30.335813756540151</v>
      </c>
      <c r="AL105" s="20">
        <f t="shared" si="58"/>
        <v>251.86273322597432</v>
      </c>
      <c r="AM105" s="59">
        <f t="shared" si="59"/>
        <v>545.19606655930761</v>
      </c>
      <c r="AN105" s="59">
        <f ca="1">AVERAGE(OFFSET($AM$3,0,0,'Données projet'!$E$10+1,1))-AVERAGE(OFFSET($H$3,0,0,'Données projet'!$E$10+1,1))</f>
        <v>187.82209112143374</v>
      </c>
      <c r="AO105" s="59">
        <f t="shared" si="90"/>
        <v>158.99136654880203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82.45871277341945</v>
      </c>
      <c r="AV105" s="21">
        <f>EXP(-LN(2)/25)*AV104+(1-EXP(-LN(2)/25))/(LN(2)/25)*Calculateur!AQ105*Calculateur!AS105*VLOOKUP('Données projet'!$B$10,Paramètres!$A$1:$I$89,3,0)*0.475*44/12</f>
        <v>26.893649936193381</v>
      </c>
      <c r="AW105" s="21">
        <f>EXP(-LN(2)/2)*AW104+(1-EXP(-LN(2)/2))/(LN(2)/2)*AQ105*AT105*VLOOKUP('Données projet'!$B$10,Paramètres!$A$1:$I$89,3,0)*0.475*44/12</f>
        <v>8.4052716314466469</v>
      </c>
      <c r="AX105" s="21">
        <f t="shared" si="60"/>
        <v>117.75763434105949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140.32771978791288</v>
      </c>
      <c r="BJ105" s="59">
        <f t="shared" si="92"/>
        <v>135.76866977947634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8.5266508286893075</v>
      </c>
      <c r="BQ105" s="21">
        <f>EXP(-LN(2)/25)*BQ104+(1-EXP(-LN(2)/25))/(LN(2)/25)*Calculateur!BL105*Calculateur!BN105*VLOOKUP('Données projet'!$B$11,Paramètres!$A$1:$I$89,3,0)*0.475*44/12</f>
        <v>45.788295288062777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54.314946116752083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6.7777777777777777</v>
      </c>
      <c r="BY105" s="12">
        <f>IF('Données projet'!$A$114&gt;35,BY104+BX105-CG104,IF(A105&lt;'Données projet'!$A$114,$BV$205^A105,IF(A105='Données projet'!$A$114,'Données projet'!$B$114,BY104+BX105-CG104)))</f>
        <v>257.81444444444429</v>
      </c>
      <c r="BZ105" s="13">
        <f>BY105*VLOOKUP('Données projet'!$B$12,Paramètres!$A$1:$I$89,3,0)*VLOOKUP('Données projet'!$B$12,Paramètres!$A$1:$I$89,5,0)</f>
        <v>261.42384666666652</v>
      </c>
      <c r="CA105" s="13">
        <f t="shared" si="93"/>
        <v>63.025787988714278</v>
      </c>
      <c r="CB105" s="20">
        <f t="shared" si="64"/>
        <v>565.08311369145497</v>
      </c>
      <c r="CC105" s="59">
        <f t="shared" si="65"/>
        <v>858.41644702478834</v>
      </c>
      <c r="CD105" s="59">
        <f ca="1">AVERAGE(OFFSET($CC$3,0,0,'Données projet'!$E$12+1,1))-AVERAGE(OFFSET($H$3,0,0,'Données projet'!$E$12+1,1))</f>
        <v>372.05986520199804</v>
      </c>
      <c r="CE105" s="59">
        <f t="shared" si="94"/>
        <v>184.37981929432044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10.810862127818071</v>
      </c>
      <c r="CL105" s="21">
        <f>EXP(-LN(2)/25)*CL104+(1-EXP(-LN(2)/25))/(LN(2)/25)*Calculateur!CG105*Calculateur!CI105*VLOOKUP('Données projet'!$B$12,Paramètres!$A$1:$I$89,3,0)*0.475*44/12</f>
        <v>27.400189349539914</v>
      </c>
      <c r="CM105" s="21">
        <f>EXP(-LN(2)/2)*CM104+(1-EXP(-LN(2)/2))/(LN(2)/2)*CG105*CJ105*VLOOKUP('Données projet'!$B$12,Paramètres!$A$1:$I$89,3,0)*0.475*44/12</f>
        <v>0.37210643823378203</v>
      </c>
      <c r="CN105" s="22">
        <f t="shared" si="66"/>
        <v>38.583157915591762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8.9420000000000019</v>
      </c>
      <c r="CT105" s="12">
        <f>IF('Données projet'!$A$140&gt;35,CT104+CS105-DB104,IF(A105&lt;'Données projet'!$A$140,$CQ$205^A105,IF(A105='Données projet'!$A$140,'Données projet'!$B$140,CT104+CS105-DB104)))</f>
        <v>384.31600000000054</v>
      </c>
      <c r="CU105" s="17">
        <f>CT105*VLOOKUP('Données projet'!$B$13,Paramètres!$A$1:$I$89,3,0)*VLOOKUP('Données projet'!$B$13,Paramètres!$A$1:$I$89,5,0)</f>
        <v>347.7291168000005</v>
      </c>
      <c r="CV105" s="13">
        <f t="shared" si="95"/>
        <v>81.094735802697301</v>
      </c>
      <c r="CW105" s="20">
        <f t="shared" si="67"/>
        <v>746.86820994969855</v>
      </c>
      <c r="CX105" s="59">
        <f t="shared" si="68"/>
        <v>1040.2015432830319</v>
      </c>
      <c r="CY105" s="59">
        <f ca="1">AVERAGE(OFFSET($CX$3,0,0,'Données projet'!$E$13+1,1))-AVERAGE(OFFSET($H$3,0,0,'Données projet'!$E$13+1,1))</f>
        <v>479.84731392413374</v>
      </c>
      <c r="CZ105" s="59">
        <f t="shared" si="96"/>
        <v>203.57601099841213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24.081753981573542</v>
      </c>
      <c r="DG105" s="21">
        <f>EXP(-LN(2)/25)*DG104+(1-EXP(-LN(2)/25))/(LN(2)/25)*Calculateur!DB105*Calculateur!DD105*VLOOKUP('Données projet'!$B$13,Paramètres!$A$1:$I$89,3,0)*0.475*44/12</f>
        <v>22.579717269703753</v>
      </c>
      <c r="DH105" s="21">
        <f>EXP(-LN(2)/2)*DH104+(1-EXP(-LN(2)/2))/(LN(2)/2)*DB105*DE105*VLOOKUP('Données projet'!$B$13,Paramètres!$A$1:$I$89,3,0)*0.475*44/12</f>
        <v>0.37076252898305184</v>
      </c>
      <c r="DI105" s="22">
        <f t="shared" si="69"/>
        <v>47.032233780260341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6.7984728957526396E-14</v>
      </c>
      <c r="P106" s="13">
        <f t="shared" si="87"/>
        <v>1.0682447123141398E-12</v>
      </c>
      <c r="Q106" s="20">
        <f t="shared" si="107"/>
        <v>1.978932943548152E-12</v>
      </c>
      <c r="R106" s="59">
        <f t="shared" si="55"/>
        <v>293.3333333333353</v>
      </c>
      <c r="S106" s="59">
        <f ca="1">AVERAGE(OFFSET($R$3,0,0,'Données projet'!$E$9+1,1))-AVERAGE(OFFSET($H$3,0,0,'Données projet'!$E$9+1,1))</f>
        <v>322.7909000321435</v>
      </c>
      <c r="T106" s="59">
        <f t="shared" si="88"/>
        <v>403.23516981532316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70.182781317082913</v>
      </c>
      <c r="AA106" s="21">
        <f>EXP(-LN(2)/25)*AA105+(1-EXP(-LN(2)/25))/(LN(2)/25)*Calculateur!V106*Calculateur!X106*VLOOKUP('Données projet'!$B$9,Paramètres!$A$1:$I$89,3,0)*0.475*44/12</f>
        <v>16.754460810189148</v>
      </c>
      <c r="AB106" s="21">
        <f>EXP(-LN(2)/2)*AB105+(1-EXP(-LN(2)/2))/(LN(2)/2)*V106*Y106*VLOOKUP('Données projet'!$B$9,Paramètres!$A$1:$I$89,3,0)*0.475*44/12</f>
        <v>6.5162662577494688E-6</v>
      </c>
      <c r="AC106" s="22">
        <f t="shared" si="57"/>
        <v>86.937248643538311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6.5620000000000003</v>
      </c>
      <c r="AI106" s="13">
        <f>IF('Données projet'!$A$62&gt;35,AI105+AH106-AQ105,IF(A106&lt;'Données projet'!$A$62,$AF$205^A106,IF(A106='Données projet'!$A$62,'Données projet'!$B$62,AI105+AH106-AQ105)))</f>
        <v>250.73800000000028</v>
      </c>
      <c r="AJ106" s="13">
        <f>AI106*VLOOKUP('Données projet'!$B$10,Paramètres!$A$1:$I$89,3,0)*VLOOKUP('Données projet'!$B$10,Paramètres!$A$1:$I$89,5,0)</f>
        <v>117.34538400000014</v>
      </c>
      <c r="AK106" s="13">
        <f t="shared" si="89"/>
        <v>31.055049922708768</v>
      </c>
      <c r="AL106" s="20">
        <f t="shared" si="58"/>
        <v>258.46408908205132</v>
      </c>
      <c r="AM106" s="59">
        <f t="shared" si="59"/>
        <v>551.79742241538463</v>
      </c>
      <c r="AN106" s="59">
        <f ca="1">AVERAGE(OFFSET($AM$3,0,0,'Données projet'!$E$10+1,1))-AVERAGE(OFFSET($H$3,0,0,'Données projet'!$E$10+1,1))</f>
        <v>187.82209112143374</v>
      </c>
      <c r="AO106" s="59">
        <f t="shared" si="90"/>
        <v>158.99136654880203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80.841747710781277</v>
      </c>
      <c r="AV106" s="21">
        <f>EXP(-LN(2)/25)*AV105+(1-EXP(-LN(2)/25))/(LN(2)/25)*Calculateur!AQ106*Calculateur!AS106*VLOOKUP('Données projet'!$B$10,Paramètres!$A$1:$I$89,3,0)*0.475*44/12</f>
        <v>26.158241664412589</v>
      </c>
      <c r="AW106" s="21">
        <f>EXP(-LN(2)/2)*AW105+(1-EXP(-LN(2)/2))/(LN(2)/2)*AQ106*AT106*VLOOKUP('Données projet'!$B$10,Paramètres!$A$1:$I$89,3,0)*0.475*44/12</f>
        <v>5.9434245683108395</v>
      </c>
      <c r="AX106" s="21">
        <f t="shared" si="60"/>
        <v>112.94341394350471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140.32771978791288</v>
      </c>
      <c r="BJ106" s="59">
        <f t="shared" si="92"/>
        <v>135.76866977947634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8.3594484066821853</v>
      </c>
      <c r="BQ106" s="21">
        <f>EXP(-LN(2)/25)*BQ105+(1-EXP(-LN(2)/25))/(LN(2)/25)*Calculateur!BL106*Calculateur!BN106*VLOOKUP('Données projet'!$B$11,Paramètres!$A$1:$I$89,3,0)*0.475*44/12</f>
        <v>44.536211945508903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52.895660352191086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6.7777777777777777</v>
      </c>
      <c r="BY106" s="12">
        <f>IF('Données projet'!$A$114&gt;35,BY105+BX106-CG105,IF(A106&lt;'Données projet'!$A$114,$BV$205^A106,IF(A106='Données projet'!$A$114,'Données projet'!$B$114,BY105+BX106-CG105)))</f>
        <v>264.59222222222206</v>
      </c>
      <c r="BZ106" s="13">
        <f>BY106*VLOOKUP('Données projet'!$B$12,Paramètres!$A$1:$I$89,3,0)*VLOOKUP('Données projet'!$B$12,Paramètres!$A$1:$I$89,5,0)</f>
        <v>268.29651333333322</v>
      </c>
      <c r="CA106" s="13">
        <f t="shared" si="93"/>
        <v>64.487613361575328</v>
      </c>
      <c r="CB106" s="20">
        <f t="shared" si="64"/>
        <v>579.59902066029906</v>
      </c>
      <c r="CC106" s="59">
        <f t="shared" si="65"/>
        <v>872.93235399363243</v>
      </c>
      <c r="CD106" s="59">
        <f ca="1">AVERAGE(OFFSET($CC$3,0,0,'Données projet'!$E$12+1,1))-AVERAGE(OFFSET($H$3,0,0,'Données projet'!$E$12+1,1))</f>
        <v>372.05986520199804</v>
      </c>
      <c r="CE106" s="59">
        <f t="shared" si="94"/>
        <v>184.37981929432044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10.598867715466355</v>
      </c>
      <c r="CL106" s="21">
        <f>EXP(-LN(2)/25)*CL105+(1-EXP(-LN(2)/25))/(LN(2)/25)*Calculateur!CG106*Calculateur!CI106*VLOOKUP('Données projet'!$B$12,Paramètres!$A$1:$I$89,3,0)*0.475*44/12</f>
        <v>26.65092973086341</v>
      </c>
      <c r="CM106" s="21">
        <f>EXP(-LN(2)/2)*CM105+(1-EXP(-LN(2)/2))/(LN(2)/2)*CG106*CJ106*VLOOKUP('Données projet'!$B$12,Paramètres!$A$1:$I$89,3,0)*0.475*44/12</f>
        <v>0.26311898579828047</v>
      </c>
      <c r="CN106" s="22">
        <f t="shared" si="66"/>
        <v>37.512916432128044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8.9420000000000019</v>
      </c>
      <c r="CT106" s="12">
        <f>IF('Données projet'!$A$140&gt;35,CT105+CS106-DB105,IF(A106&lt;'Données projet'!$A$140,$CQ$205^A106,IF(A106='Données projet'!$A$140,'Données projet'!$B$140,CT105+CS106-DB105)))</f>
        <v>393.25800000000055</v>
      </c>
      <c r="CU106" s="17">
        <f>CT106*VLOOKUP('Données projet'!$B$13,Paramètres!$A$1:$I$89,3,0)*VLOOKUP('Données projet'!$B$13,Paramètres!$A$1:$I$89,5,0)</f>
        <v>355.81983840000049</v>
      </c>
      <c r="CV106" s="13">
        <f t="shared" si="95"/>
        <v>82.759723795307863</v>
      </c>
      <c r="CW106" s="20">
        <f t="shared" si="67"/>
        <v>763.85940415682887</v>
      </c>
      <c r="CX106" s="59">
        <f t="shared" si="68"/>
        <v>1057.1927374901622</v>
      </c>
      <c r="CY106" s="59">
        <f ca="1">AVERAGE(OFFSET($CX$3,0,0,'Données projet'!$E$13+1,1))-AVERAGE(OFFSET($H$3,0,0,'Données projet'!$E$13+1,1))</f>
        <v>479.84731392413374</v>
      </c>
      <c r="CZ106" s="59">
        <f t="shared" si="96"/>
        <v>203.57601099841213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23.60952547441445</v>
      </c>
      <c r="DG106" s="21">
        <f>EXP(-LN(2)/25)*DG105+(1-EXP(-LN(2)/25))/(LN(2)/25)*Calculateur!DB106*Calculateur!DD106*VLOOKUP('Données projet'!$B$13,Paramètres!$A$1:$I$89,3,0)*0.475*44/12</f>
        <v>21.96227371354798</v>
      </c>
      <c r="DH106" s="21">
        <f>EXP(-LN(2)/2)*DH105+(1-EXP(-LN(2)/2))/(LN(2)/2)*DB106*DE106*VLOOKUP('Données projet'!$B$13,Paramètres!$A$1:$I$89,3,0)*0.475*44/12</f>
        <v>0.26216869845378982</v>
      </c>
      <c r="DI106" s="22">
        <f t="shared" si="69"/>
        <v>45.833967886416218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6.7984728957526396E-14</v>
      </c>
      <c r="P107" s="13">
        <f t="shared" si="87"/>
        <v>1.0682447123141398E-12</v>
      </c>
      <c r="Q107" s="20">
        <f t="shared" si="107"/>
        <v>1.978932943548152E-12</v>
      </c>
      <c r="R107" s="59">
        <f t="shared" si="55"/>
        <v>293.3333333333353</v>
      </c>
      <c r="S107" s="59">
        <f ca="1">AVERAGE(OFFSET($R$3,0,0,'Données projet'!$E$9+1,1))-AVERAGE(OFFSET($H$3,0,0,'Données projet'!$E$9+1,1))</f>
        <v>322.7909000321435</v>
      </c>
      <c r="T107" s="59">
        <f t="shared" si="88"/>
        <v>403.23516981532316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68.806539782724656</v>
      </c>
      <c r="AA107" s="21">
        <f>EXP(-LN(2)/25)*AA106+(1-EXP(-LN(2)/25))/(LN(2)/25)*Calculateur!V107*Calculateur!X107*VLOOKUP('Données projet'!$B$9,Paramètres!$A$1:$I$89,3,0)*0.475*44/12</f>
        <v>16.296309198255724</v>
      </c>
      <c r="AB107" s="21">
        <f>EXP(-LN(2)/2)*AB106+(1-EXP(-LN(2)/2))/(LN(2)/2)*V107*Y107*VLOOKUP('Données projet'!$B$9,Paramètres!$A$1:$I$89,3,0)*0.475*44/12</f>
        <v>4.6076960588717365E-6</v>
      </c>
      <c r="AC107" s="22">
        <f t="shared" si="57"/>
        <v>85.102853588676439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6.5620000000000003</v>
      </c>
      <c r="AI107" s="13">
        <f>IF('Données projet'!$A$62&gt;35,AI106+AH107-AQ106,IF(A107&lt;'Données projet'!$A$62,$AF$205^A107,IF(A107='Données projet'!$A$62,'Données projet'!$B$62,AI106+AH107-AQ106)))</f>
        <v>257.3000000000003</v>
      </c>
      <c r="AJ107" s="13">
        <f>AI107*VLOOKUP('Données projet'!$B$10,Paramètres!$A$1:$I$89,3,0)*VLOOKUP('Données projet'!$B$10,Paramètres!$A$1:$I$89,5,0)</f>
        <v>120.41640000000014</v>
      </c>
      <c r="AK107" s="13">
        <f t="shared" si="89"/>
        <v>31.772098167877449</v>
      </c>
      <c r="AL107" s="20">
        <f t="shared" si="58"/>
        <v>265.06163430905343</v>
      </c>
      <c r="AM107" s="59">
        <f t="shared" si="59"/>
        <v>558.39496764238675</v>
      </c>
      <c r="AN107" s="59">
        <f ca="1">AVERAGE(OFFSET($AM$3,0,0,'Données projet'!$E$10+1,1))-AVERAGE(OFFSET($H$3,0,0,'Données projet'!$E$10+1,1))</f>
        <v>187.82209112143374</v>
      </c>
      <c r="AO107" s="59">
        <f t="shared" si="90"/>
        <v>158.99136654880203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79.256490346770136</v>
      </c>
      <c r="AV107" s="21">
        <f>EXP(-LN(2)/25)*AV106+(1-EXP(-LN(2)/25))/(LN(2)/25)*Calculateur!AQ107*Calculateur!AS107*VLOOKUP('Données projet'!$B$10,Paramètres!$A$1:$I$89,3,0)*0.475*44/12</f>
        <v>25.442943170497085</v>
      </c>
      <c r="AW107" s="21">
        <f>EXP(-LN(2)/2)*AW106+(1-EXP(-LN(2)/2))/(LN(2)/2)*AQ107*AT107*VLOOKUP('Données projet'!$B$10,Paramètres!$A$1:$I$89,3,0)*0.475*44/12</f>
        <v>4.2026358157233235</v>
      </c>
      <c r="AX107" s="21">
        <f t="shared" si="60"/>
        <v>108.90206933299055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140.32771978791288</v>
      </c>
      <c r="BJ107" s="59">
        <f t="shared" si="92"/>
        <v>135.76866977947634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8.1955247221872156</v>
      </c>
      <c r="BQ107" s="21">
        <f>EXP(-LN(2)/25)*BQ106+(1-EXP(-LN(2)/25))/(LN(2)/25)*Calculateur!BL107*Calculateur!BN107*VLOOKUP('Données projet'!$B$11,Paramètres!$A$1:$I$89,3,0)*0.475*44/12</f>
        <v>43.318366887801368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51.513891609988583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271.37</v>
      </c>
      <c r="BW107" s="12">
        <f>VLOOKUP(A107,'Données projet'!$A$113:$I$133,9,0)</f>
        <v>6.7777777777777777</v>
      </c>
      <c r="BX107" s="12">
        <f t="array" ref="BX107">INDEX(BW:BW,MIN(IF(ISNUMBER(BW107:BW303),ROW(BW107:BW303),"")))</f>
        <v>6.7777777777777777</v>
      </c>
      <c r="BY107" s="12">
        <f>IF('Données projet'!$A$114&gt;35,BY106+BX107-CG106,IF(A107&lt;'Données projet'!$A$114,$BV$205^A107,IF(A107='Données projet'!$A$114,'Données projet'!$B$114,BY106+BX107-CG106)))</f>
        <v>271.36999999999983</v>
      </c>
      <c r="BZ107" s="13">
        <f>BY107*VLOOKUP('Données projet'!$B$12,Paramètres!$A$1:$I$89,3,0)*VLOOKUP('Données projet'!$B$12,Paramètres!$A$1:$I$89,5,0)</f>
        <v>275.16917999999981</v>
      </c>
      <c r="CA107" s="13">
        <f t="shared" si="93"/>
        <v>65.945086005549797</v>
      </c>
      <c r="CB107" s="20">
        <f t="shared" si="64"/>
        <v>594.10734662633229</v>
      </c>
      <c r="CC107" s="59">
        <f t="shared" si="65"/>
        <v>887.44067995966566</v>
      </c>
      <c r="CD107" s="59">
        <f ca="1">AVERAGE(OFFSET($CC$3,0,0,'Données projet'!$E$12+1,1))-AVERAGE(OFFSET($H$3,0,0,'Données projet'!$E$12+1,1))</f>
        <v>372.05986520199804</v>
      </c>
      <c r="CE107" s="59">
        <f t="shared" si="94"/>
        <v>184.37981929432044</v>
      </c>
      <c r="CF107" s="15">
        <f>IF(ISNA(VLOOKUP(A107,'Données projet'!$A$113:$I$133,3,0)),0,VLOOKUP(A107,'Données projet'!$A$113:$I$133,3,0))</f>
        <v>6</v>
      </c>
      <c r="CG107" s="15">
        <f>IF(ISNA(VLOOKUP(A107,'Données projet'!$A$113:$I$133,4,0)),0,VLOOKUP(A107,'Données projet'!$A$113:$I$133,4,0))</f>
        <v>39.400000000000006</v>
      </c>
      <c r="CH107" s="16">
        <f>IF(ISNA(VLOOKUP(A107,'Données projet'!$A$113:$I$133,5,0)),0%,VLOOKUP(A107,'Données projet'!$A$113:$I$133,5,0)*VLOOKUP('Données projet'!$B$12,Paramètres!$A$1:$I$89,7,0))</f>
        <v>0.15049999999999999</v>
      </c>
      <c r="CI107" s="16">
        <f>IF(ISNA(VLOOKUP(A107,'Données projet'!$A$113:$I$133,6,0)),0%,VLOOKUP(A107,'Données projet'!$A$113:$I$133,6,0)*VLOOKUP('Données projet'!$B$12,Paramètres!$A$1:$I$89,7,0))</f>
        <v>8.6000000000000007E-2</v>
      </c>
      <c r="CJ107" s="16">
        <f>IF(ISNA(VLOOKUP(A107,'Données projet'!$A$113:$I$133,7,0)),0%,VLOOKUP(A107,'Données projet'!$A$113:$I$133,7,0))</f>
        <v>0.1</v>
      </c>
      <c r="CK107" s="21">
        <f>EXP(-LN(2)/35)*CK106+(1-EXP(-LN(2)/35))/(LN(2)/35)*CG107*CH107*VLOOKUP('Données projet'!$B$12,Paramètres!$A$1:$I$89,3,0)*0.475*44/12</f>
        <v>17.037909601686799</v>
      </c>
      <c r="CL107" s="21">
        <f>EXP(-LN(2)/25)*CL106+(1-EXP(-LN(2)/25))/(LN(2)/25)*Calculateur!CG107*Calculateur!CI107*VLOOKUP('Données projet'!$B$12,Paramètres!$A$1:$I$89,3,0)*0.475*44/12</f>
        <v>29.705420325182111</v>
      </c>
      <c r="CM107" s="21">
        <f>EXP(-LN(2)/2)*CM106+(1-EXP(-LN(2)/2))/(LN(2)/2)*CG107*CJ107*VLOOKUP('Données projet'!$B$12,Paramètres!$A$1:$I$89,3,0)*0.475*44/12</f>
        <v>3.9555942072717549</v>
      </c>
      <c r="CN107" s="22">
        <f t="shared" si="66"/>
        <v>50.698924134140668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402.2</v>
      </c>
      <c r="CR107" s="12">
        <f>VLOOKUP(A107,'Données projet'!$A$139:$I$159,9,0)</f>
        <v>8.9420000000000019</v>
      </c>
      <c r="CS107" s="12">
        <f t="array" ref="CS107">INDEX(CR:CR,MIN(IF(ISNUMBER(CR107:CR303),ROW(CR107:CR303),"")))</f>
        <v>8.9420000000000019</v>
      </c>
      <c r="CT107" s="12">
        <f>IF('Données projet'!$A$140&gt;35,CT106+CS107-DB106,IF(A107&lt;'Données projet'!$A$140,$CQ$205^A107,IF(A107='Données projet'!$A$140,'Données projet'!$B$140,CT106+CS107-DB106)))</f>
        <v>402.20000000000056</v>
      </c>
      <c r="CU107" s="17">
        <f>CT107*VLOOKUP('Données projet'!$B$13,Paramètres!$A$1:$I$89,3,0)*VLOOKUP('Données projet'!$B$13,Paramètres!$A$1:$I$89,5,0)</f>
        <v>363.91056000000049</v>
      </c>
      <c r="CV107" s="13">
        <f t="shared" si="95"/>
        <v>84.42031043556446</v>
      </c>
      <c r="CW107" s="20">
        <f t="shared" si="67"/>
        <v>780.84293267527562</v>
      </c>
      <c r="CX107" s="59">
        <f t="shared" si="68"/>
        <v>1074.176266008609</v>
      </c>
      <c r="CY107" s="59">
        <f ca="1">AVERAGE(OFFSET($CX$3,0,0,'Données projet'!$E$13+1,1))-AVERAGE(OFFSET($H$3,0,0,'Données projet'!$E$13+1,1))</f>
        <v>479.84731392413374</v>
      </c>
      <c r="CZ107" s="59">
        <f t="shared" si="96"/>
        <v>203.57601099841213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66.089999999999975</v>
      </c>
      <c r="DC107" s="16">
        <f>IF(ISNA(VLOOKUP(A107,'Données projet'!$A$139:$I$159,5,0)),0%,VLOOKUP(A107,'Données projet'!$A$139:$I$159,5,0)*VLOOKUP('Données projet'!$B$13,Paramètres!$A$1:$I$89,7,0))</f>
        <v>0.15049999999999999</v>
      </c>
      <c r="DD107" s="16">
        <f>IF(ISNA(VLOOKUP(A107,'Données projet'!$A$139:$I$159,6,0)),0%,VLOOKUP(A107,'Données projet'!$A$139:$I$159,6,0)*VLOOKUP('Données projet'!$B$13,Paramètres!$A$1:$I$89,7,0))</f>
        <v>8.6000000000000007E-2</v>
      </c>
      <c r="DE107" s="16">
        <f>IF(ISNA(VLOOKUP(A107,'Données projet'!$A$139:$I$159,7,0)),0%,VLOOKUP(A107,'Données projet'!$A$139:$I$159,7,0))</f>
        <v>0.1</v>
      </c>
      <c r="DF107" s="21">
        <f>EXP(-LN(2)/35)*DF106+(1-EXP(-LN(2)/35))/(LN(2)/35)*DB107*DC107*VLOOKUP('Données projet'!$B$13,Paramètres!$A$1:$I$89,3,0)*0.475*44/12</f>
        <v>33.09538580102793</v>
      </c>
      <c r="DG107" s="21">
        <f>EXP(-LN(2)/25)*DG106+(1-EXP(-LN(2)/25))/(LN(2)/25)*Calculateur!DB107*Calculateur!DD107*VLOOKUP('Données projet'!$B$13,Paramètres!$A$1:$I$89,3,0)*0.475*44/12</f>
        <v>27.024374978935796</v>
      </c>
      <c r="DH107" s="21">
        <f>EXP(-LN(2)/2)*DH106+(1-EXP(-LN(2)/2))/(LN(2)/2)*DB107*DE107*VLOOKUP('Données projet'!$B$13,Paramètres!$A$1:$I$89,3,0)*0.475*44/12</f>
        <v>5.8275053982732432</v>
      </c>
      <c r="DI107" s="22">
        <f t="shared" si="69"/>
        <v>65.947266178236973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6.7984728957526396E-14</v>
      </c>
      <c r="P108" s="13">
        <f t="shared" si="87"/>
        <v>1.0682447123141398E-12</v>
      </c>
      <c r="Q108" s="20">
        <f t="shared" si="107"/>
        <v>1.978932943548152E-12</v>
      </c>
      <c r="R108" s="59">
        <f t="shared" si="55"/>
        <v>293.3333333333353</v>
      </c>
      <c r="S108" s="59">
        <f ca="1">AVERAGE(OFFSET($R$3,0,0,'Données projet'!$E$9+1,1))-AVERAGE(OFFSET($H$3,0,0,'Données projet'!$E$9+1,1))</f>
        <v>322.7909000321435</v>
      </c>
      <c r="T108" s="59">
        <f t="shared" si="88"/>
        <v>403.23516981532316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67.457285505430718</v>
      </c>
      <c r="AA108" s="21">
        <f>EXP(-LN(2)/25)*AA107+(1-EXP(-LN(2)/25))/(LN(2)/25)*Calculateur!V108*Calculateur!X108*VLOOKUP('Données projet'!$B$9,Paramètres!$A$1:$I$89,3,0)*0.475*44/12</f>
        <v>15.850685766243766</v>
      </c>
      <c r="AB108" s="21">
        <f>EXP(-LN(2)/2)*AB107+(1-EXP(-LN(2)/2))/(LN(2)/2)*V108*Y108*VLOOKUP('Données projet'!$B$9,Paramètres!$A$1:$I$89,3,0)*0.475*44/12</f>
        <v>3.2581331288747344E-6</v>
      </c>
      <c r="AC108" s="22">
        <f t="shared" si="57"/>
        <v>83.307974529807623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6.5620000000000003</v>
      </c>
      <c r="AI108" s="13">
        <f>IF('Données projet'!$A$62&gt;35,AI107+AH108-AQ107,IF(A108&lt;'Données projet'!$A$62,$AF$205^A108,IF(A108='Données projet'!$A$62,'Données projet'!$B$62,AI107+AH108-AQ107)))</f>
        <v>263.86200000000031</v>
      </c>
      <c r="AJ108" s="13">
        <f>AI108*VLOOKUP('Données projet'!$B$10,Paramètres!$A$1:$I$89,3,0)*VLOOKUP('Données projet'!$B$10,Paramètres!$A$1:$I$89,5,0)</f>
        <v>123.48741600000015</v>
      </c>
      <c r="AK108" s="13">
        <f t="shared" si="89"/>
        <v>32.48702070756385</v>
      </c>
      <c r="AL108" s="20">
        <f t="shared" si="58"/>
        <v>271.65547726567394</v>
      </c>
      <c r="AM108" s="59">
        <f t="shared" si="59"/>
        <v>564.98881059900725</v>
      </c>
      <c r="AN108" s="59">
        <f ca="1">AVERAGE(OFFSET($AM$3,0,0,'Données projet'!$E$10+1,1))-AVERAGE(OFFSET($H$3,0,0,'Données projet'!$E$10+1,1))</f>
        <v>187.82209112143374</v>
      </c>
      <c r="AO108" s="59">
        <f t="shared" si="90"/>
        <v>158.99136654880203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77.702318912755743</v>
      </c>
      <c r="AV108" s="21">
        <f>EXP(-LN(2)/25)*AV107+(1-EXP(-LN(2)/25))/(LN(2)/25)*Calculateur!AQ108*Calculateur!AS108*VLOOKUP('Données projet'!$B$10,Paramètres!$A$1:$I$89,3,0)*0.475*44/12</f>
        <v>24.747204551513612</v>
      </c>
      <c r="AW108" s="21">
        <f>EXP(-LN(2)/2)*AW107+(1-EXP(-LN(2)/2))/(LN(2)/2)*AQ108*AT108*VLOOKUP('Données projet'!$B$10,Paramètres!$A$1:$I$89,3,0)*0.475*44/12</f>
        <v>2.9717122841554198</v>
      </c>
      <c r="AX108" s="21">
        <f t="shared" si="60"/>
        <v>105.42123574842478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140.32771978791288</v>
      </c>
      <c r="BJ108" s="59">
        <f t="shared" si="92"/>
        <v>135.76866977947634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8.0348154811616173</v>
      </c>
      <c r="BQ108" s="21">
        <f>EXP(-LN(2)/25)*BQ107+(1-EXP(-LN(2)/25))/(LN(2)/25)*Calculateur!BL108*Calculateur!BN108*VLOOKUP('Données projet'!$B$11,Paramètres!$A$1:$I$89,3,0)*0.475*44/12</f>
        <v>42.13382386724053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50.168639348402145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6.8811111111111085</v>
      </c>
      <c r="BY108" s="12">
        <f>IF('Données projet'!$A$114&gt;35,BY107+BX108-CG107,IF(A108&lt;'Données projet'!$A$114,$BV$205^A108,IF(A108='Données projet'!$A$114,'Données projet'!$B$114,BY107+BX108-CG107)))</f>
        <v>238.85111111111095</v>
      </c>
      <c r="BZ108" s="13">
        <f>BY108*VLOOKUP('Données projet'!$B$12,Paramètres!$A$1:$I$89,3,0)*VLOOKUP('Données projet'!$B$12,Paramètres!$A$1:$I$89,5,0)</f>
        <v>242.19502666666651</v>
      </c>
      <c r="CA108" s="13">
        <f t="shared" si="93"/>
        <v>58.911550627030486</v>
      </c>
      <c r="CB108" s="20">
        <f t="shared" si="64"/>
        <v>524.42728878652235</v>
      </c>
      <c r="CC108" s="59">
        <f t="shared" si="65"/>
        <v>817.76062211985573</v>
      </c>
      <c r="CD108" s="59">
        <f ca="1">AVERAGE(OFFSET($CC$3,0,0,'Données projet'!$E$12+1,1))-AVERAGE(OFFSET($H$3,0,0,'Données projet'!$E$12+1,1))</f>
        <v>372.05986520199804</v>
      </c>
      <c r="CE108" s="59">
        <f t="shared" si="94"/>
        <v>184.37981929432044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16.703806586496444</v>
      </c>
      <c r="CL108" s="21">
        <f>EXP(-LN(2)/25)*CL107+(1-EXP(-LN(2)/25))/(LN(2)/25)*Calculateur!CG108*Calculateur!CI108*VLOOKUP('Données projet'!$B$12,Paramètres!$A$1:$I$89,3,0)*0.475*44/12</f>
        <v>28.893124044249845</v>
      </c>
      <c r="CM108" s="21">
        <f>EXP(-LN(2)/2)*CM107+(1-EXP(-LN(2)/2))/(LN(2)/2)*CG108*CJ108*VLOOKUP('Données projet'!$B$12,Paramètres!$A$1:$I$89,3,0)*0.475*44/12</f>
        <v>2.7970274875840837</v>
      </c>
      <c r="CN108" s="22">
        <f t="shared" si="66"/>
        <v>48.393958118330367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8.8449999999999989</v>
      </c>
      <c r="CT108" s="12">
        <f>IF('Données projet'!$A$140&gt;35,CT107+CS108-DB107,IF(A108&lt;'Données projet'!$A$140,$CQ$205^A108,IF(A108='Données projet'!$A$140,'Données projet'!$B$140,CT107+CS108-DB107)))</f>
        <v>344.95500000000055</v>
      </c>
      <c r="CU108" s="17">
        <f>CT108*VLOOKUP('Données projet'!$B$13,Paramètres!$A$1:$I$89,3,0)*VLOOKUP('Données projet'!$B$13,Paramètres!$A$1:$I$89,5,0)</f>
        <v>312.11528400000049</v>
      </c>
      <c r="CV108" s="13">
        <f t="shared" si="95"/>
        <v>73.71041067221141</v>
      </c>
      <c r="CW108" s="20">
        <f t="shared" si="67"/>
        <v>671.97975155410234</v>
      </c>
      <c r="CX108" s="59">
        <f t="shared" si="68"/>
        <v>965.31308488743571</v>
      </c>
      <c r="CY108" s="59">
        <f ca="1">AVERAGE(OFFSET($CX$3,0,0,'Données projet'!$E$13+1,1))-AVERAGE(OFFSET($H$3,0,0,'Données projet'!$E$13+1,1))</f>
        <v>479.84731392413374</v>
      </c>
      <c r="CZ108" s="59">
        <f t="shared" si="96"/>
        <v>203.57601099841213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32.44640547166189</v>
      </c>
      <c r="DG108" s="21">
        <f>EXP(-LN(2)/25)*DG107+(1-EXP(-LN(2)/25))/(LN(2)/25)*Calculateur!DB108*Calculateur!DD108*VLOOKUP('Données projet'!$B$13,Paramètres!$A$1:$I$89,3,0)*0.475*44/12</f>
        <v>26.285392023986681</v>
      </c>
      <c r="DH108" s="21">
        <f>EXP(-LN(2)/2)*DH107+(1-EXP(-LN(2)/2))/(LN(2)/2)*DB108*DE108*VLOOKUP('Données projet'!$B$13,Paramètres!$A$1:$I$89,3,0)*0.475*44/12</f>
        <v>4.1206685845202227</v>
      </c>
      <c r="DI108" s="22">
        <f t="shared" si="69"/>
        <v>62.852466080168796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6.7984728957526396E-14</v>
      </c>
      <c r="P109" s="13">
        <f t="shared" si="87"/>
        <v>1.0682447123141398E-12</v>
      </c>
      <c r="Q109" s="20">
        <f t="shared" si="107"/>
        <v>1.978932943548152E-12</v>
      </c>
      <c r="R109" s="59">
        <f t="shared" si="55"/>
        <v>293.3333333333353</v>
      </c>
      <c r="S109" s="59">
        <f ca="1">AVERAGE(OFFSET($R$3,0,0,'Données projet'!$E$9+1,1))-AVERAGE(OFFSET($H$3,0,0,'Données projet'!$E$9+1,1))</f>
        <v>322.7909000321435</v>
      </c>
      <c r="T109" s="59">
        <f t="shared" si="88"/>
        <v>403.23516981532316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66.134489281550657</v>
      </c>
      <c r="AA109" s="21">
        <f>EXP(-LN(2)/25)*AA108+(1-EXP(-LN(2)/25))/(LN(2)/25)*Calculateur!V109*Calculateur!X109*VLOOKUP('Données projet'!$B$9,Paramètres!$A$1:$I$89,3,0)*0.475*44/12</f>
        <v>15.417247930414492</v>
      </c>
      <c r="AB109" s="21">
        <f>EXP(-LN(2)/2)*AB108+(1-EXP(-LN(2)/2))/(LN(2)/2)*V109*Y109*VLOOKUP('Données projet'!$B$9,Paramètres!$A$1:$I$89,3,0)*0.475*44/12</f>
        <v>2.3038480294358682E-6</v>
      </c>
      <c r="AC109" s="22">
        <f t="shared" si="57"/>
        <v>81.551739515813182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6.5620000000000003</v>
      </c>
      <c r="AI109" s="13">
        <f>IF('Données projet'!$A$62&gt;35,AI108+AH109-AQ108,IF(A109&lt;'Données projet'!$A$62,$AF$205^A109,IF(A109='Données projet'!$A$62,'Données projet'!$B$62,AI108+AH109-AQ108)))</f>
        <v>270.42400000000032</v>
      </c>
      <c r="AJ109" s="13">
        <f>AI109*VLOOKUP('Données projet'!$B$10,Paramètres!$A$1:$I$89,3,0)*VLOOKUP('Données projet'!$B$10,Paramètres!$A$1:$I$89,5,0)</f>
        <v>126.55843200000014</v>
      </c>
      <c r="AK109" s="13">
        <f t="shared" si="89"/>
        <v>33.199876486422404</v>
      </c>
      <c r="AL109" s="20">
        <f t="shared" si="58"/>
        <v>278.2457206138526</v>
      </c>
      <c r="AM109" s="59">
        <f t="shared" si="59"/>
        <v>571.57905394718591</v>
      </c>
      <c r="AN109" s="59">
        <f ca="1">AVERAGE(OFFSET($AM$3,0,0,'Données projet'!$E$10+1,1))-AVERAGE(OFFSET($H$3,0,0,'Données projet'!$E$10+1,1))</f>
        <v>187.82209112143374</v>
      </c>
      <c r="AO109" s="59">
        <f t="shared" si="90"/>
        <v>158.99136654880203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76.178623832611393</v>
      </c>
      <c r="AV109" s="21">
        <f>EXP(-LN(2)/25)*AV108+(1-EXP(-LN(2)/25))/(LN(2)/25)*Calculateur!AQ109*Calculateur!AS109*VLOOKUP('Données projet'!$B$10,Paramètres!$A$1:$I$89,3,0)*0.475*44/12</f>
        <v>24.070490941653546</v>
      </c>
      <c r="AW109" s="21">
        <f>EXP(-LN(2)/2)*AW108+(1-EXP(-LN(2)/2))/(LN(2)/2)*AQ109*AT109*VLOOKUP('Données projet'!$B$10,Paramètres!$A$1:$I$89,3,0)*0.475*44/12</f>
        <v>2.1013179078616617</v>
      </c>
      <c r="AX109" s="21">
        <f t="shared" si="60"/>
        <v>102.35043268212659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140.32771978791288</v>
      </c>
      <c r="BJ109" s="59">
        <f t="shared" si="92"/>
        <v>135.76866977947634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7.8772576503295726</v>
      </c>
      <c r="BQ109" s="21">
        <f>EXP(-LN(2)/25)*BQ108+(1-EXP(-LN(2)/25))/(LN(2)/25)*Calculateur!BL109*Calculateur!BN109*VLOOKUP('Données projet'!$B$11,Paramètres!$A$1:$I$89,3,0)*0.475*44/12</f>
        <v>40.98167223786934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48.858929888198915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6.8811111111111085</v>
      </c>
      <c r="BY109" s="12">
        <f>IF('Données projet'!$A$114&gt;35,BY108+BX109-CG108,IF(A109&lt;'Données projet'!$A$114,$BV$205^A109,IF(A109='Données projet'!$A$114,'Données projet'!$B$114,BY108+BX109-CG108)))</f>
        <v>245.73222222222205</v>
      </c>
      <c r="BZ109" s="13">
        <f>BY109*VLOOKUP('Données projet'!$B$12,Paramètres!$A$1:$I$89,3,0)*VLOOKUP('Données projet'!$B$12,Paramètres!$A$1:$I$89,5,0)</f>
        <v>249.17247333333319</v>
      </c>
      <c r="CA109" s="13">
        <f t="shared" si="93"/>
        <v>60.408704291647716</v>
      </c>
      <c r="CB109" s="20">
        <f t="shared" si="64"/>
        <v>539.18721769684169</v>
      </c>
      <c r="CC109" s="59">
        <f t="shared" si="65"/>
        <v>832.52055103017506</v>
      </c>
      <c r="CD109" s="59">
        <f ca="1">AVERAGE(OFFSET($CC$3,0,0,'Données projet'!$E$12+1,1))-AVERAGE(OFFSET($H$3,0,0,'Données projet'!$E$12+1,1))</f>
        <v>372.05986520199804</v>
      </c>
      <c r="CE109" s="59">
        <f t="shared" si="94"/>
        <v>184.37981929432044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16.376255127651255</v>
      </c>
      <c r="CL109" s="21">
        <f>EXP(-LN(2)/25)*CL108+(1-EXP(-LN(2)/25))/(LN(2)/25)*Calculateur!CG109*Calculateur!CI109*VLOOKUP('Données projet'!$B$12,Paramètres!$A$1:$I$89,3,0)*0.475*44/12</f>
        <v>28.103040047836476</v>
      </c>
      <c r="CM109" s="21">
        <f>EXP(-LN(2)/2)*CM108+(1-EXP(-LN(2)/2))/(LN(2)/2)*CG109*CJ109*VLOOKUP('Données projet'!$B$12,Paramètres!$A$1:$I$89,3,0)*0.475*44/12</f>
        <v>1.9777971036358777</v>
      </c>
      <c r="CN109" s="22">
        <f t="shared" si="66"/>
        <v>46.457092279123614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8.8449999999999989</v>
      </c>
      <c r="CT109" s="12">
        <f>IF('Données projet'!$A$140&gt;35,CT108+CS109-DB108,IF(A109&lt;'Données projet'!$A$140,$CQ$205^A109,IF(A109='Données projet'!$A$140,'Données projet'!$B$140,CT108+CS109-DB108)))</f>
        <v>353.80000000000052</v>
      </c>
      <c r="CU109" s="17">
        <f>CT109*VLOOKUP('Données projet'!$B$13,Paramètres!$A$1:$I$89,3,0)*VLOOKUP('Données projet'!$B$13,Paramètres!$A$1:$I$89,5,0)</f>
        <v>320.11824000000047</v>
      </c>
      <c r="CV109" s="13">
        <f t="shared" si="95"/>
        <v>75.377955265343587</v>
      </c>
      <c r="CW109" s="20">
        <f t="shared" si="67"/>
        <v>688.82254008714096</v>
      </c>
      <c r="CX109" s="59">
        <f t="shared" si="68"/>
        <v>982.15587342047434</v>
      </c>
      <c r="CY109" s="59">
        <f ca="1">AVERAGE(OFFSET($CX$3,0,0,'Données projet'!$E$13+1,1))-AVERAGE(OFFSET($H$3,0,0,'Données projet'!$E$13+1,1))</f>
        <v>479.84731392413374</v>
      </c>
      <c r="CZ109" s="59">
        <f t="shared" si="96"/>
        <v>203.57601099841213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31.810151250715805</v>
      </c>
      <c r="DG109" s="21">
        <f>EXP(-LN(2)/25)*DG108+(1-EXP(-LN(2)/25))/(LN(2)/25)*Calculateur!DB109*Calculateur!DD109*VLOOKUP('Données projet'!$B$13,Paramètres!$A$1:$I$89,3,0)*0.475*44/12</f>
        <v>25.566616596802074</v>
      </c>
      <c r="DH109" s="21">
        <f>EXP(-LN(2)/2)*DH108+(1-EXP(-LN(2)/2))/(LN(2)/2)*DB109*DE109*VLOOKUP('Données projet'!$B$13,Paramètres!$A$1:$I$89,3,0)*0.475*44/12</f>
        <v>2.9137526991366216</v>
      </c>
      <c r="DI109" s="22">
        <f t="shared" si="69"/>
        <v>60.290520546654506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6.7984728957526396E-14</v>
      </c>
      <c r="P110" s="13">
        <f t="shared" si="87"/>
        <v>1.0682447123141398E-12</v>
      </c>
      <c r="Q110" s="20">
        <f t="shared" si="107"/>
        <v>1.978932943548152E-12</v>
      </c>
      <c r="R110" s="59">
        <f t="shared" si="55"/>
        <v>293.3333333333353</v>
      </c>
      <c r="S110" s="59">
        <f ca="1">AVERAGE(OFFSET($R$3,0,0,'Données projet'!$E$9+1,1))-AVERAGE(OFFSET($H$3,0,0,'Données projet'!$E$9+1,1))</f>
        <v>322.7909000321435</v>
      </c>
      <c r="T110" s="59">
        <f t="shared" si="88"/>
        <v>403.23516981532316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64.837632284794864</v>
      </c>
      <c r="AA110" s="21">
        <f>EXP(-LN(2)/25)*AA109+(1-EXP(-LN(2)/25))/(LN(2)/25)*Calculateur!V110*Calculateur!X110*VLOOKUP('Données projet'!$B$9,Paramètres!$A$1:$I$89,3,0)*0.475*44/12</f>
        <v>14.995662474999476</v>
      </c>
      <c r="AB110" s="21">
        <f>EXP(-LN(2)/2)*AB109+(1-EXP(-LN(2)/2))/(LN(2)/2)*V110*Y110*VLOOKUP('Données projet'!$B$9,Paramètres!$A$1:$I$89,3,0)*0.475*44/12</f>
        <v>1.6290665644373672E-6</v>
      </c>
      <c r="AC110" s="22">
        <f t="shared" si="57"/>
        <v>79.833296388860902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6.5620000000000003</v>
      </c>
      <c r="AI110" s="13">
        <f>IF('Données projet'!$A$62&gt;35,AI109+AH110-AQ109,IF(A110&lt;'Données projet'!$A$62,$AF$205^A110,IF(A110='Données projet'!$A$62,'Données projet'!$B$62,AI109+AH110-AQ109)))</f>
        <v>276.98600000000033</v>
      </c>
      <c r="AJ110" s="13">
        <f>AI110*VLOOKUP('Données projet'!$B$10,Paramètres!$A$1:$I$89,3,0)*VLOOKUP('Données projet'!$B$10,Paramètres!$A$1:$I$89,5,0)</f>
        <v>129.62944800000017</v>
      </c>
      <c r="AK110" s="13">
        <f t="shared" si="89"/>
        <v>33.910721425340135</v>
      </c>
      <c r="AL110" s="20">
        <f t="shared" si="58"/>
        <v>284.83246174913438</v>
      </c>
      <c r="AM110" s="59">
        <f t="shared" si="59"/>
        <v>578.16579508246764</v>
      </c>
      <c r="AN110" s="59">
        <f ca="1">AVERAGE(OFFSET($AM$3,0,0,'Données projet'!$E$10+1,1))-AVERAGE(OFFSET($H$3,0,0,'Données projet'!$E$10+1,1))</f>
        <v>187.82209112143374</v>
      </c>
      <c r="AO110" s="59">
        <f t="shared" si="90"/>
        <v>158.99136654880203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74.684807483626443</v>
      </c>
      <c r="AV110" s="21">
        <f>EXP(-LN(2)/25)*AV109+(1-EXP(-LN(2)/25))/(LN(2)/25)*Calculateur!AQ110*Calculateur!AS110*VLOOKUP('Données projet'!$B$10,Paramètres!$A$1:$I$89,3,0)*0.475*44/12</f>
        <v>23.412282101041924</v>
      </c>
      <c r="AW110" s="21">
        <f>EXP(-LN(2)/2)*AW109+(1-EXP(-LN(2)/2))/(LN(2)/2)*AQ110*AT110*VLOOKUP('Données projet'!$B$10,Paramètres!$A$1:$I$89,3,0)*0.475*44/12</f>
        <v>1.4858561420777099</v>
      </c>
      <c r="AX110" s="21">
        <f t="shared" si="60"/>
        <v>99.582945726746075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140.32771978791288</v>
      </c>
      <c r="BJ110" s="59">
        <f t="shared" si="92"/>
        <v>135.76866977947634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7.722789432459356</v>
      </c>
      <c r="BQ110" s="21">
        <f>EXP(-LN(2)/25)*BQ109+(1-EXP(-LN(2)/25))/(LN(2)/25)*Calculateur!BL110*Calculateur!BN110*VLOOKUP('Données projet'!$B$11,Paramètres!$A$1:$I$89,3,0)*0.475*44/12</f>
        <v>39.861026255392325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47.583815687851683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6.8811111111111085</v>
      </c>
      <c r="BY110" s="12">
        <f>IF('Données projet'!$A$114&gt;35,BY109+BX110-CG109,IF(A110&lt;'Données projet'!$A$114,$BV$205^A110,IF(A110='Données projet'!$A$114,'Données projet'!$B$114,BY109+BX110-CG109)))</f>
        <v>252.61333333333314</v>
      </c>
      <c r="BZ110" s="13">
        <f>BY110*VLOOKUP('Données projet'!$B$12,Paramètres!$A$1:$I$89,3,0)*VLOOKUP('Données projet'!$B$12,Paramètres!$A$1:$I$89,5,0)</f>
        <v>256.14991999999984</v>
      </c>
      <c r="CA110" s="13">
        <f t="shared" si="93"/>
        <v>61.900985272770555</v>
      </c>
      <c r="CB110" s="20">
        <f t="shared" si="64"/>
        <v>553.93866001674166</v>
      </c>
      <c r="CC110" s="59">
        <f t="shared" si="65"/>
        <v>847.27199335007504</v>
      </c>
      <c r="CD110" s="59">
        <f ca="1">AVERAGE(OFFSET($CC$3,0,0,'Données projet'!$E$12+1,1))-AVERAGE(OFFSET($H$3,0,0,'Données projet'!$E$12+1,1))</f>
        <v>372.05986520199804</v>
      </c>
      <c r="CE110" s="59">
        <f t="shared" si="94"/>
        <v>184.37981929432044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16.055126753127357</v>
      </c>
      <c r="CL110" s="21">
        <f>EXP(-LN(2)/25)*CL109+(1-EXP(-LN(2)/25))/(LN(2)/25)*Calculateur!CG110*Calculateur!CI110*VLOOKUP('Données projet'!$B$12,Paramètres!$A$1:$I$89,3,0)*0.475*44/12</f>
        <v>27.334560939853741</v>
      </c>
      <c r="CM110" s="21">
        <f>EXP(-LN(2)/2)*CM109+(1-EXP(-LN(2)/2))/(LN(2)/2)*CG110*CJ110*VLOOKUP('Données projet'!$B$12,Paramètres!$A$1:$I$89,3,0)*0.475*44/12</f>
        <v>1.3985137437920421</v>
      </c>
      <c r="CN110" s="22">
        <f t="shared" si="66"/>
        <v>44.788201436773143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8.8449999999999989</v>
      </c>
      <c r="CT110" s="12">
        <f>IF('Données projet'!$A$140&gt;35,CT109+CS110-DB109,IF(A110&lt;'Données projet'!$A$140,$CQ$205^A110,IF(A110='Données projet'!$A$140,'Données projet'!$B$140,CT109+CS110-DB109)))</f>
        <v>362.64500000000055</v>
      </c>
      <c r="CU110" s="17">
        <f>CT110*VLOOKUP('Données projet'!$B$13,Paramètres!$A$1:$I$89,3,0)*VLOOKUP('Données projet'!$B$13,Paramètres!$A$1:$I$89,5,0)</f>
        <v>328.12119600000045</v>
      </c>
      <c r="CV110" s="13">
        <f t="shared" si="95"/>
        <v>77.040653823854953</v>
      </c>
      <c r="CW110" s="20">
        <f t="shared" si="67"/>
        <v>705.65688844321483</v>
      </c>
      <c r="CX110" s="59">
        <f t="shared" si="68"/>
        <v>998.9902217765482</v>
      </c>
      <c r="CY110" s="59">
        <f ca="1">AVERAGE(OFFSET($CX$3,0,0,'Données projet'!$E$13+1,1))-AVERAGE(OFFSET($H$3,0,0,'Données projet'!$E$13+1,1))</f>
        <v>479.84731392413374</v>
      </c>
      <c r="CZ110" s="59">
        <f t="shared" si="96"/>
        <v>203.57601099841213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31.186373586965715</v>
      </c>
      <c r="DG110" s="21">
        <f>EXP(-LN(2)/25)*DG109+(1-EXP(-LN(2)/25))/(LN(2)/25)*Calculateur!DB110*Calculateur!DD110*VLOOKUP('Données projet'!$B$13,Paramètres!$A$1:$I$89,3,0)*0.475*44/12</f>
        <v>24.867496121472588</v>
      </c>
      <c r="DH110" s="21">
        <f>EXP(-LN(2)/2)*DH109+(1-EXP(-LN(2)/2))/(LN(2)/2)*DB110*DE110*VLOOKUP('Données projet'!$B$13,Paramètres!$A$1:$I$89,3,0)*0.475*44/12</f>
        <v>2.0603342922601113</v>
      </c>
      <c r="DI110" s="22">
        <f t="shared" si="69"/>
        <v>58.114204000698408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6.7984728957526396E-14</v>
      </c>
      <c r="P111" s="13">
        <f t="shared" si="87"/>
        <v>1.0682447123141398E-12</v>
      </c>
      <c r="Q111" s="20">
        <f t="shared" si="107"/>
        <v>1.978932943548152E-12</v>
      </c>
      <c r="R111" s="59">
        <f t="shared" si="55"/>
        <v>293.3333333333353</v>
      </c>
      <c r="S111" s="59">
        <f ca="1">AVERAGE(OFFSET($R$3,0,0,'Données projet'!$E$9+1,1))-AVERAGE(OFFSET($H$3,0,0,'Données projet'!$E$9+1,1))</f>
        <v>322.7909000321435</v>
      </c>
      <c r="T111" s="59">
        <f t="shared" si="88"/>
        <v>403.23516981532316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63.566205862740787</v>
      </c>
      <c r="AA111" s="21">
        <f>EXP(-LN(2)/25)*AA110+(1-EXP(-LN(2)/25))/(LN(2)/25)*Calculateur!V111*Calculateur!X111*VLOOKUP('Données projet'!$B$9,Paramètres!$A$1:$I$89,3,0)*0.475*44/12</f>
        <v>14.585605296032998</v>
      </c>
      <c r="AB111" s="21">
        <f>EXP(-LN(2)/2)*AB110+(1-EXP(-LN(2)/2))/(LN(2)/2)*V111*Y111*VLOOKUP('Données projet'!$B$9,Paramètres!$A$1:$I$89,3,0)*0.475*44/12</f>
        <v>1.1519240147179341E-6</v>
      </c>
      <c r="AC111" s="22">
        <f t="shared" si="57"/>
        <v>78.151812310697792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6.5620000000000003</v>
      </c>
      <c r="AI111" s="13">
        <f>IF('Données projet'!$A$62&gt;35,AI110+AH111-AQ110,IF(A111&lt;'Données projet'!$A$62,$AF$205^A111,IF(A111='Données projet'!$A$62,'Données projet'!$B$62,AI110+AH111-AQ110)))</f>
        <v>283.54800000000034</v>
      </c>
      <c r="AJ111" s="13">
        <f>AI111*VLOOKUP('Données projet'!$B$10,Paramètres!$A$1:$I$89,3,0)*VLOOKUP('Données projet'!$B$10,Paramètres!$A$1:$I$89,5,0)</f>
        <v>132.70046400000015</v>
      </c>
      <c r="AK111" s="13">
        <f t="shared" si="89"/>
        <v>34.619608644457088</v>
      </c>
      <c r="AL111" s="20">
        <f t="shared" si="58"/>
        <v>291.41579318909641</v>
      </c>
      <c r="AM111" s="59">
        <f t="shared" si="59"/>
        <v>584.74912652242972</v>
      </c>
      <c r="AN111" s="59">
        <f ca="1">AVERAGE(OFFSET($AM$3,0,0,'Données projet'!$E$10+1,1))-AVERAGE(OFFSET($H$3,0,0,'Données projet'!$E$10+1,1))</f>
        <v>187.82209112143374</v>
      </c>
      <c r="AO111" s="59">
        <f t="shared" si="90"/>
        <v>158.99136654880203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73.220283962107089</v>
      </c>
      <c r="AV111" s="21">
        <f>EXP(-LN(2)/25)*AV110+(1-EXP(-LN(2)/25))/(LN(2)/25)*Calculateur!AQ111*Calculateur!AS111*VLOOKUP('Données projet'!$B$10,Paramètres!$A$1:$I$89,3,0)*0.475*44/12</f>
        <v>22.772072015790528</v>
      </c>
      <c r="AW111" s="21">
        <f>EXP(-LN(2)/2)*AW110+(1-EXP(-LN(2)/2))/(LN(2)/2)*AQ111*AT111*VLOOKUP('Données projet'!$B$10,Paramètres!$A$1:$I$89,3,0)*0.475*44/12</f>
        <v>1.0506589539308309</v>
      </c>
      <c r="AX111" s="21">
        <f t="shared" si="60"/>
        <v>97.043014931828452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140.32771978791288</v>
      </c>
      <c r="BJ111" s="59">
        <f t="shared" si="92"/>
        <v>135.76866977947634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7.5713502421252645</v>
      </c>
      <c r="BQ111" s="21">
        <f>EXP(-LN(2)/25)*BQ110+(1-EXP(-LN(2)/25))/(LN(2)/25)*Calculateur!BL111*Calculateur!BN111*VLOOKUP('Données projet'!$B$11,Paramètres!$A$1:$I$89,3,0)*0.475*44/12</f>
        <v>38.771024396238353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46.342374638363616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6.8811111111111085</v>
      </c>
      <c r="BY111" s="12">
        <f>IF('Données projet'!$A$114&gt;35,BY110+BX111-CG110,IF(A111&lt;'Données projet'!$A$114,$BV$205^A111,IF(A111='Données projet'!$A$114,'Données projet'!$B$114,BY110+BX111-CG110)))</f>
        <v>259.49444444444424</v>
      </c>
      <c r="BZ111" s="13">
        <f>BY111*VLOOKUP('Données projet'!$B$12,Paramètres!$A$1:$I$89,3,0)*VLOOKUP('Données projet'!$B$12,Paramètres!$A$1:$I$89,5,0)</f>
        <v>263.12736666666649</v>
      </c>
      <c r="CA111" s="13">
        <f t="shared" si="93"/>
        <v>63.388541553044227</v>
      </c>
      <c r="CB111" s="20">
        <f t="shared" si="64"/>
        <v>568.68187348266281</v>
      </c>
      <c r="CC111" s="59">
        <f t="shared" si="65"/>
        <v>862.01520681599618</v>
      </c>
      <c r="CD111" s="59">
        <f ca="1">AVERAGE(OFFSET($CC$3,0,0,'Données projet'!$E$12+1,1))-AVERAGE(OFFSET($H$3,0,0,'Données projet'!$E$12+1,1))</f>
        <v>372.05986520199804</v>
      </c>
      <c r="CE111" s="59">
        <f t="shared" si="94"/>
        <v>184.37981929432044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15.740295510158905</v>
      </c>
      <c r="CL111" s="21">
        <f>EXP(-LN(2)/25)*CL110+(1-EXP(-LN(2)/25))/(LN(2)/25)*Calculateur!CG111*Calculateur!CI111*VLOOKUP('Données projet'!$B$12,Paramètres!$A$1:$I$89,3,0)*0.475*44/12</f>
        <v>26.587095933491355</v>
      </c>
      <c r="CM111" s="21">
        <f>EXP(-LN(2)/2)*CM110+(1-EXP(-LN(2)/2))/(LN(2)/2)*CG111*CJ111*VLOOKUP('Données projet'!$B$12,Paramètres!$A$1:$I$89,3,0)*0.475*44/12</f>
        <v>0.98889855181793895</v>
      </c>
      <c r="CN111" s="22">
        <f t="shared" si="66"/>
        <v>43.316289995468196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8.8449999999999989</v>
      </c>
      <c r="CT111" s="12">
        <f>IF('Données projet'!$A$140&gt;35,CT110+CS111-DB110,IF(A111&lt;'Données projet'!$A$140,$CQ$205^A111,IF(A111='Données projet'!$A$140,'Données projet'!$B$140,CT110+CS111-DB110)))</f>
        <v>371.49000000000058</v>
      </c>
      <c r="CU111" s="17">
        <f>CT111*VLOOKUP('Données projet'!$B$13,Paramètres!$A$1:$I$89,3,0)*VLOOKUP('Données projet'!$B$13,Paramètres!$A$1:$I$89,5,0)</f>
        <v>336.12415200000049</v>
      </c>
      <c r="CV111" s="13">
        <f t="shared" si="95"/>
        <v>78.698638141016232</v>
      </c>
      <c r="CW111" s="20">
        <f t="shared" si="67"/>
        <v>722.4830261622709</v>
      </c>
      <c r="CX111" s="59">
        <f t="shared" si="68"/>
        <v>1015.8163594956043</v>
      </c>
      <c r="CY111" s="59">
        <f ca="1">AVERAGE(OFFSET($CX$3,0,0,'Données projet'!$E$13+1,1))-AVERAGE(OFFSET($H$3,0,0,'Données projet'!$E$13+1,1))</f>
        <v>479.84731392413374</v>
      </c>
      <c r="CZ111" s="59">
        <f t="shared" si="96"/>
        <v>203.57601099841213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30.574827822734957</v>
      </c>
      <c r="DG111" s="21">
        <f>EXP(-LN(2)/25)*DG110+(1-EXP(-LN(2)/25))/(LN(2)/25)*Calculateur!DB111*Calculateur!DD111*VLOOKUP('Données projet'!$B$13,Paramètres!$A$1:$I$89,3,0)*0.475*44/12</f>
        <v>24.187493132306134</v>
      </c>
      <c r="DH111" s="21">
        <f>EXP(-LN(2)/2)*DH110+(1-EXP(-LN(2)/2))/(LN(2)/2)*DB111*DE111*VLOOKUP('Données projet'!$B$13,Paramètres!$A$1:$I$89,3,0)*0.475*44/12</f>
        <v>1.4568763495683108</v>
      </c>
      <c r="DI111" s="22">
        <f t="shared" si="69"/>
        <v>56.219197304609402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6.7984728957526396E-14</v>
      </c>
      <c r="P112" s="13">
        <f t="shared" si="87"/>
        <v>1.0682447123141398E-12</v>
      </c>
      <c r="Q112" s="20">
        <f t="shared" si="107"/>
        <v>1.978932943548152E-12</v>
      </c>
      <c r="R112" s="59">
        <f t="shared" si="55"/>
        <v>293.3333333333353</v>
      </c>
      <c r="S112" s="59">
        <f ca="1">AVERAGE(OFFSET($R$3,0,0,'Données projet'!$E$9+1,1))-AVERAGE(OFFSET($H$3,0,0,'Données projet'!$E$9+1,1))</f>
        <v>322.7909000321435</v>
      </c>
      <c r="T112" s="59">
        <f t="shared" si="88"/>
        <v>403.23516981532316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62.319711337329643</v>
      </c>
      <c r="AA112" s="21">
        <f>EXP(-LN(2)/25)*AA111+(1-EXP(-LN(2)/25))/(LN(2)/25)*Calculateur!V112*Calculateur!X112*VLOOKUP('Données projet'!$B$9,Paramètres!$A$1:$I$89,3,0)*0.475*44/12</f>
        <v>14.186761152189328</v>
      </c>
      <c r="AB112" s="21">
        <f>EXP(-LN(2)/2)*AB111+(1-EXP(-LN(2)/2))/(LN(2)/2)*V112*Y112*VLOOKUP('Données projet'!$B$9,Paramètres!$A$1:$I$89,3,0)*0.475*44/12</f>
        <v>8.145332822186836E-7</v>
      </c>
      <c r="AC112" s="22">
        <f t="shared" si="57"/>
        <v>76.50647330405225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290.11</v>
      </c>
      <c r="AG112" s="12">
        <f>VLOOKUP(A112,'Données projet'!$A$61:$I$81,9,0)</f>
        <v>6.5620000000000003</v>
      </c>
      <c r="AH112" s="12">
        <f t="array" ref="AH112">INDEX(AG:AG,MIN(IF(ISNUMBER(AG112:AG308),ROW(AG112:AG308),"")))</f>
        <v>6.5620000000000003</v>
      </c>
      <c r="AI112" s="13">
        <f>IF('Données projet'!$A$62&gt;35,AI111+AH112-AQ111,IF(A112&lt;'Données projet'!$A$62,$AF$205^A112,IF(A112='Données projet'!$A$62,'Données projet'!$B$62,AI111+AH112-AQ111)))</f>
        <v>290.11000000000035</v>
      </c>
      <c r="AJ112" s="13">
        <f>AI112*VLOOKUP('Données projet'!$B$10,Paramètres!$A$1:$I$89,3,0)*VLOOKUP('Données projet'!$B$10,Paramètres!$A$1:$I$89,5,0)</f>
        <v>135.77148000000017</v>
      </c>
      <c r="AK112" s="13">
        <f t="shared" si="89"/>
        <v>35.326588664960227</v>
      </c>
      <c r="AL112" s="20">
        <f t="shared" si="58"/>
        <v>297.99580292480601</v>
      </c>
      <c r="AM112" s="59">
        <f t="shared" si="59"/>
        <v>591.32913625813933</v>
      </c>
      <c r="AN112" s="59">
        <f ca="1">AVERAGE(OFFSET($AM$3,0,0,'Données projet'!$E$10+1,1))-AVERAGE(OFFSET($H$3,0,0,'Données projet'!$E$10+1,1))</f>
        <v>187.82209112143374</v>
      </c>
      <c r="AO112" s="59">
        <f t="shared" si="90"/>
        <v>158.99136654880203</v>
      </c>
      <c r="AP112" s="15">
        <f>IF(ISNA(VLOOKUP(A112,'Données projet'!$A$61:$I$81,3,0)),0,VLOOKUP(A112,'Données projet'!$A$61:$I$81,3,0))</f>
        <v>6</v>
      </c>
      <c r="AQ112" s="15">
        <f>IF(ISNA(VLOOKUP(A112,'Données projet'!$A$61:$I$81,4,0)),0,VLOOKUP(A112,'Données projet'!$A$61:$I$81,4,0))</f>
        <v>290.11</v>
      </c>
      <c r="AR112" s="16">
        <f>IF(ISNA(VLOOKUP(A112,'Données projet'!$A$61:$I$81,5,0)),0%,VLOOKUP(A112,'Données projet'!$A$61:$I$81,5,0)*VLOOKUP('Données projet'!$B$10,Paramètres!$A$1:$I$89,7,0))</f>
        <v>0.33</v>
      </c>
      <c r="AS112" s="16">
        <f>IF(ISNA(VLOOKUP(A112,'Données projet'!$A$61:$I$81,6,0)),0%,VLOOKUP(A112,'Données projet'!$A$61:$I$81,6,0)*VLOOKUP('Données projet'!$B$10,Paramètres!$A$1:$I$89,7,0))</f>
        <v>0.11000000000000001</v>
      </c>
      <c r="AT112" s="16">
        <f>IF(ISNA(VLOOKUP(A112,'Données projet'!$A$61:$I$81,7,0)),0%,VLOOKUP(A112,'Données projet'!$A$61:$I$81,7,0))</f>
        <v>0.2</v>
      </c>
      <c r="AU112" s="21">
        <f>EXP(-LN(2)/35)*AU111+(1-EXP(-LN(2)/35))/(LN(2)/35)*AQ112*AR112*VLOOKUP('Données projet'!$B$10,Paramètres!$A$1:$I$89,3,0)*0.475*44/12</f>
        <v>131.2206532656123</v>
      </c>
      <c r="AV112" s="21">
        <f>EXP(-LN(2)/25)*AV111+(1-EXP(-LN(2)/25))/(LN(2)/25)*Calculateur!AQ112*Calculateur!AS112*VLOOKUP('Données projet'!$B$10,Paramètres!$A$1:$I$89,3,0)*0.475*44/12</f>
        <v>41.883419024461048</v>
      </c>
      <c r="AW112" s="21">
        <f>EXP(-LN(2)/2)*AW111+(1-EXP(-LN(2)/2))/(LN(2)/2)*AQ112*AT112*VLOOKUP('Données projet'!$B$10,Paramètres!$A$1:$I$89,3,0)*0.475*44/12</f>
        <v>31.487899018832582</v>
      </c>
      <c r="AX112" s="21">
        <f t="shared" si="60"/>
        <v>204.59197130890595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140.32771978791288</v>
      </c>
      <c r="BJ112" s="59">
        <f t="shared" si="92"/>
        <v>135.76866977947634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7.4228806819448394</v>
      </c>
      <c r="BQ112" s="21">
        <f>EXP(-LN(2)/25)*BQ111+(1-EXP(-LN(2)/25))/(LN(2)/25)*Calculateur!BL112*Calculateur!BN112*VLOOKUP('Données projet'!$B$11,Paramètres!$A$1:$I$89,3,0)*0.475*44/12</f>
        <v>37.710828695243656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45.133709377188495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6.8811111111111085</v>
      </c>
      <c r="BY112" s="12">
        <f>IF('Données projet'!$A$114&gt;35,BY111+BX112-CG111,IF(A112&lt;'Données projet'!$A$114,$BV$205^A112,IF(A112='Données projet'!$A$114,'Données projet'!$B$114,BY111+BX112-CG111)))</f>
        <v>266.37555555555537</v>
      </c>
      <c r="BZ112" s="13">
        <f>BY112*VLOOKUP('Données projet'!$B$12,Paramètres!$A$1:$I$89,3,0)*VLOOKUP('Données projet'!$B$12,Paramètres!$A$1:$I$89,5,0)</f>
        <v>270.10481333333314</v>
      </c>
      <c r="CA112" s="13">
        <f t="shared" si="93"/>
        <v>64.87151281999401</v>
      </c>
      <c r="CB112" s="20">
        <f t="shared" si="64"/>
        <v>583.41710138371138</v>
      </c>
      <c r="CC112" s="59">
        <f t="shared" si="65"/>
        <v>876.75043471704475</v>
      </c>
      <c r="CD112" s="59">
        <f ca="1">AVERAGE(OFFSET($CC$3,0,0,'Données projet'!$E$12+1,1))-AVERAGE(OFFSET($H$3,0,0,'Données projet'!$E$12+1,1))</f>
        <v>372.05986520199804</v>
      </c>
      <c r="CE112" s="59">
        <f t="shared" si="94"/>
        <v>184.37981929432044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15.431637915836966</v>
      </c>
      <c r="CL112" s="21">
        <f>EXP(-LN(2)/25)*CL111+(1-EXP(-LN(2)/25))/(LN(2)/25)*Calculateur!CG112*Calculateur!CI112*VLOOKUP('Données projet'!$B$12,Paramètres!$A$1:$I$89,3,0)*0.475*44/12</f>
        <v>25.860070397035425</v>
      </c>
      <c r="CM112" s="21">
        <f>EXP(-LN(2)/2)*CM111+(1-EXP(-LN(2)/2))/(LN(2)/2)*CG112*CJ112*VLOOKUP('Données projet'!$B$12,Paramètres!$A$1:$I$89,3,0)*0.475*44/12</f>
        <v>0.69925687189602115</v>
      </c>
      <c r="CN112" s="22">
        <f t="shared" si="66"/>
        <v>41.990965184768406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8.8449999999999989</v>
      </c>
      <c r="CT112" s="12">
        <f>IF('Données projet'!$A$140&gt;35,CT111+CS112-DB111,IF(A112&lt;'Données projet'!$A$140,$CQ$205^A112,IF(A112='Données projet'!$A$140,'Données projet'!$B$140,CT111+CS112-DB111)))</f>
        <v>380.3350000000006</v>
      </c>
      <c r="CU112" s="17">
        <f>CT112*VLOOKUP('Données projet'!$B$13,Paramètres!$A$1:$I$89,3,0)*VLOOKUP('Données projet'!$B$13,Paramètres!$A$1:$I$89,5,0)</f>
        <v>344.12710800000053</v>
      </c>
      <c r="CV112" s="13">
        <f t="shared" si="95"/>
        <v>80.352033376279337</v>
      </c>
      <c r="CW112" s="20">
        <f t="shared" si="67"/>
        <v>739.30117123035416</v>
      </c>
      <c r="CX112" s="59">
        <f t="shared" si="68"/>
        <v>1032.6345045636874</v>
      </c>
      <c r="CY112" s="59">
        <f ca="1">AVERAGE(OFFSET($CX$3,0,0,'Données projet'!$E$13+1,1))-AVERAGE(OFFSET($H$3,0,0,'Données projet'!$E$13+1,1))</f>
        <v>479.84731392413374</v>
      </c>
      <c r="CZ112" s="59">
        <f t="shared" si="96"/>
        <v>203.57601099841213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29.97527409793468</v>
      </c>
      <c r="DG112" s="21">
        <f>EXP(-LN(2)/25)*DG111+(1-EXP(-LN(2)/25))/(LN(2)/25)*Calculateur!DB112*Calculateur!DD112*VLOOKUP('Données projet'!$B$13,Paramètres!$A$1:$I$89,3,0)*0.475*44/12</f>
        <v>23.526084860638239</v>
      </c>
      <c r="DH112" s="21">
        <f>EXP(-LN(2)/2)*DH111+(1-EXP(-LN(2)/2))/(LN(2)/2)*DB112*DE112*VLOOKUP('Données projet'!$B$13,Paramètres!$A$1:$I$89,3,0)*0.475*44/12</f>
        <v>1.0301671461300557</v>
      </c>
      <c r="DI112" s="22">
        <f t="shared" si="69"/>
        <v>54.531526104702976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6.7984728957526396E-14</v>
      </c>
      <c r="P113" s="13">
        <f t="shared" si="87"/>
        <v>1.0682447123141398E-12</v>
      </c>
      <c r="Q113" s="20">
        <f t="shared" si="107"/>
        <v>1.978932943548152E-12</v>
      </c>
      <c r="R113" s="59">
        <f t="shared" si="55"/>
        <v>293.3333333333353</v>
      </c>
      <c r="S113" s="59">
        <f ca="1">AVERAGE(OFFSET($R$3,0,0,'Données projet'!$E$9+1,1))-AVERAGE(OFFSET($H$3,0,0,'Données projet'!$E$9+1,1))</f>
        <v>322.7909000321435</v>
      </c>
      <c r="T113" s="59">
        <f t="shared" si="88"/>
        <v>403.23516981532316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61.097659809275221</v>
      </c>
      <c r="AA113" s="21">
        <f>EXP(-LN(2)/25)*AA112+(1-EXP(-LN(2)/25))/(LN(2)/25)*Calculateur!V113*Calculateur!X113*VLOOKUP('Données projet'!$B$9,Paramètres!$A$1:$I$89,3,0)*0.475*44/12</f>
        <v>13.798823422433367</v>
      </c>
      <c r="AB113" s="21">
        <f>EXP(-LN(2)/2)*AB112+(1-EXP(-LN(2)/2))/(LN(2)/2)*V113*Y113*VLOOKUP('Données projet'!$B$9,Paramètres!$A$1:$I$89,3,0)*0.475*44/12</f>
        <v>5.7596200735896706E-7</v>
      </c>
      <c r="AC113" s="22">
        <f t="shared" si="57"/>
        <v>74.896483807670592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3.4106051316484809E-13</v>
      </c>
      <c r="AJ113" s="13">
        <f>AI113*VLOOKUP('Données projet'!$B$10,Paramètres!$A$1:$I$89,3,0)*VLOOKUP('Données projet'!$B$10,Paramètres!$A$1:$I$89,5,0)</f>
        <v>1.5961632016114892E-13</v>
      </c>
      <c r="AK113" s="13">
        <f t="shared" si="89"/>
        <v>2.2708641912150958E-12</v>
      </c>
      <c r="AL113" s="20">
        <f t="shared" si="58"/>
        <v>4.2330868906469593E-12</v>
      </c>
      <c r="AM113" s="59">
        <f t="shared" si="59"/>
        <v>293.33333333333752</v>
      </c>
      <c r="AN113" s="59">
        <f ca="1">AVERAGE(OFFSET($AM$3,0,0,'Données projet'!$E$10+1,1))-AVERAGE(OFFSET($H$3,0,0,'Données projet'!$E$10+1,1))</f>
        <v>187.82209112143374</v>
      </c>
      <c r="AO113" s="59">
        <f t="shared" si="90"/>
        <v>158.99136654880203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128.64749629176916</v>
      </c>
      <c r="AV113" s="21">
        <f>EXP(-LN(2)/25)*AV112+(1-EXP(-LN(2)/25))/(LN(2)/25)*Calculateur!AQ113*Calculateur!AS113*VLOOKUP('Données projet'!$B$10,Paramètres!$A$1:$I$89,3,0)*0.475*44/12</f>
        <v>40.738114728683883</v>
      </c>
      <c r="AW113" s="21">
        <f>EXP(-LN(2)/2)*AW112+(1-EXP(-LN(2)/2))/(LN(2)/2)*AQ113*AT113*VLOOKUP('Données projet'!$B$10,Paramètres!$A$1:$I$89,3,0)*0.475*44/12</f>
        <v>22.265306921533757</v>
      </c>
      <c r="AX113" s="21">
        <f t="shared" si="60"/>
        <v>191.65091794198679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140.32771978791288</v>
      </c>
      <c r="BJ113" s="59">
        <f t="shared" si="92"/>
        <v>135.76866977947634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7.2773225192820625</v>
      </c>
      <c r="BQ113" s="21">
        <f>EXP(-LN(2)/25)*BQ112+(1-EXP(-LN(2)/25))/(LN(2)/25)*Calculateur!BL113*Calculateur!BN113*VLOOKUP('Données projet'!$B$11,Paramètres!$A$1:$I$89,3,0)*0.475*44/12</f>
        <v>36.679624101445924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43.95694662072799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6.8811111111111085</v>
      </c>
      <c r="BY113" s="12">
        <f>IF('Données projet'!$A$114&gt;35,BY112+BX113-CG112,IF(A113&lt;'Données projet'!$A$114,$BV$205^A113,IF(A113='Données projet'!$A$114,'Données projet'!$B$114,BY112+BX113-CG112)))</f>
        <v>273.25666666666649</v>
      </c>
      <c r="BZ113" s="13">
        <f>BY113*VLOOKUP('Données projet'!$B$12,Paramètres!$A$1:$I$89,3,0)*VLOOKUP('Données projet'!$B$12,Paramètres!$A$1:$I$89,5,0)</f>
        <v>277.08225999999985</v>
      </c>
      <c r="CA113" s="13">
        <f t="shared" si="93"/>
        <v>66.350031133112068</v>
      </c>
      <c r="CB113" s="20">
        <f t="shared" si="64"/>
        <v>598.14457372350319</v>
      </c>
      <c r="CC113" s="59">
        <f t="shared" si="65"/>
        <v>891.47790705683656</v>
      </c>
      <c r="CD113" s="59">
        <f ca="1">AVERAGE(OFFSET($CC$3,0,0,'Données projet'!$E$12+1,1))-AVERAGE(OFFSET($H$3,0,0,'Données projet'!$E$12+1,1))</f>
        <v>372.05986520199804</v>
      </c>
      <c r="CE113" s="59">
        <f t="shared" si="94"/>
        <v>184.37981929432044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15.129032908677138</v>
      </c>
      <c r="CL113" s="21">
        <f>EXP(-LN(2)/25)*CL112+(1-EXP(-LN(2)/25))/(LN(2)/25)*Calculateur!CG113*Calculateur!CI113*VLOOKUP('Données projet'!$B$12,Paramètres!$A$1:$I$89,3,0)*0.475*44/12</f>
        <v>25.152925412106494</v>
      </c>
      <c r="CM113" s="21">
        <f>EXP(-LN(2)/2)*CM112+(1-EXP(-LN(2)/2))/(LN(2)/2)*CG113*CJ113*VLOOKUP('Données projet'!$B$12,Paramètres!$A$1:$I$89,3,0)*0.475*44/12</f>
        <v>0.49444927590896953</v>
      </c>
      <c r="CN113" s="22">
        <f t="shared" si="66"/>
        <v>40.7764075966926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8.8449999999999989</v>
      </c>
      <c r="CT113" s="12">
        <f>IF('Données projet'!$A$140&gt;35,CT112+CS113-DB112,IF(A113&lt;'Données projet'!$A$140,$CQ$205^A113,IF(A113='Données projet'!$A$140,'Données projet'!$B$140,CT112+CS113-DB112)))</f>
        <v>389.18000000000063</v>
      </c>
      <c r="CU113" s="17">
        <f>CT113*VLOOKUP('Données projet'!$B$13,Paramètres!$A$1:$I$89,3,0)*VLOOKUP('Données projet'!$B$13,Paramètres!$A$1:$I$89,5,0)</f>
        <v>352.13006400000057</v>
      </c>
      <c r="CV113" s="13">
        <f t="shared" si="95"/>
        <v>82.000958535583734</v>
      </c>
      <c r="CW113" s="20">
        <f t="shared" si="67"/>
        <v>756.11153091614267</v>
      </c>
      <c r="CX113" s="59">
        <f t="shared" si="68"/>
        <v>1049.444864249476</v>
      </c>
      <c r="CY113" s="59">
        <f ca="1">AVERAGE(OFFSET($CX$3,0,0,'Données projet'!$E$13+1,1))-AVERAGE(OFFSET($H$3,0,0,'Données projet'!$E$13+1,1))</f>
        <v>479.84731392413374</v>
      </c>
      <c r="CZ113" s="59">
        <f t="shared" si="96"/>
        <v>203.57601099841213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29.387477255986074</v>
      </c>
      <c r="DG113" s="21">
        <f>EXP(-LN(2)/25)*DG112+(1-EXP(-LN(2)/25))/(LN(2)/25)*Calculateur!DB113*Calculateur!DD113*VLOOKUP('Données projet'!$B$13,Paramètres!$A$1:$I$89,3,0)*0.475*44/12</f>
        <v>22.882762832941054</v>
      </c>
      <c r="DH113" s="21">
        <f>EXP(-LN(2)/2)*DH112+(1-EXP(-LN(2)/2))/(LN(2)/2)*DB113*DE113*VLOOKUP('Données projet'!$B$13,Paramètres!$A$1:$I$89,3,0)*0.475*44/12</f>
        <v>0.7284381747841554</v>
      </c>
      <c r="DI113" s="22">
        <f t="shared" si="69"/>
        <v>52.998678263711277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293.3333333333353</v>
      </c>
      <c r="S114" s="59">
        <f ca="1">AVERAGE(OFFSET($R$3,0,0,'Données projet'!$E$9+1,1))-AVERAGE(OFFSET($H$3,0,0,'Données projet'!$E$9+1,1))</f>
        <v>322.7909000321435</v>
      </c>
      <c r="T114" s="59">
        <f t="shared" si="88"/>
        <v>403.23516981532316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59.899571966308116</v>
      </c>
      <c r="AA114" s="21">
        <f>EXP(-LN(2)/25)*AA113+(1-EXP(-LN(2)/25))/(LN(2)/25)*Calculateur!V114*Calculateur!X114*VLOOKUP('Données projet'!$B$9,Paramètres!$A$1:$I$89,3,0)*0.475*44/12</f>
        <v>13.42149387029834</v>
      </c>
      <c r="AB114" s="21">
        <f>EXP(-LN(2)/2)*AB113+(1-EXP(-LN(2)/2))/(LN(2)/2)*V114*Y114*VLOOKUP('Données projet'!$B$9,Paramètres!$A$1:$I$89,3,0)*0.475*44/12</f>
        <v>4.072666411093418E-7</v>
      </c>
      <c r="AC114" s="22">
        <f t="shared" si="57"/>
        <v>73.321066243873091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3.4106051316484809E-13</v>
      </c>
      <c r="AJ114" s="13">
        <f>AI114*VLOOKUP('Données projet'!$B$10,Paramètres!$A$1:$I$89,3,0)*VLOOKUP('Données projet'!$B$10,Paramètres!$A$1:$I$89,5,0)</f>
        <v>1.5961632016114892E-13</v>
      </c>
      <c r="AK114" s="13">
        <f t="shared" si="89"/>
        <v>2.2708641912150958E-12</v>
      </c>
      <c r="AL114" s="20">
        <f t="shared" si="58"/>
        <v>4.2330868906469593E-12</v>
      </c>
      <c r="AM114" s="59">
        <f t="shared" si="59"/>
        <v>293.33333333333752</v>
      </c>
      <c r="AN114" s="59">
        <f ca="1">AVERAGE(OFFSET($AM$3,0,0,'Données projet'!$E$10+1,1))-AVERAGE(OFFSET($H$3,0,0,'Données projet'!$E$10+1,1))</f>
        <v>187.82209112143374</v>
      </c>
      <c r="AO114" s="59">
        <f t="shared" si="90"/>
        <v>158.99136654880203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126.12479735671231</v>
      </c>
      <c r="AV114" s="21">
        <f>EXP(-LN(2)/25)*AV113+(1-EXP(-LN(2)/25))/(LN(2)/25)*Calculateur!AQ114*Calculateur!AS114*VLOOKUP('Données projet'!$B$10,Paramètres!$A$1:$I$89,3,0)*0.475*44/12</f>
        <v>39.624128839103676</v>
      </c>
      <c r="AW114" s="21">
        <f>EXP(-LN(2)/2)*AW113+(1-EXP(-LN(2)/2))/(LN(2)/2)*AQ114*AT114*VLOOKUP('Données projet'!$B$10,Paramètres!$A$1:$I$89,3,0)*0.475*44/12</f>
        <v>15.743949509416293</v>
      </c>
      <c r="AX114" s="21">
        <f t="shared" si="60"/>
        <v>181.49287570523228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140.32771978791288</v>
      </c>
      <c r="BJ114" s="59">
        <f t="shared" si="92"/>
        <v>135.76866977947634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7.13461866340739</v>
      </c>
      <c r="BQ114" s="21">
        <f>EXP(-LN(2)/25)*BQ113+(1-EXP(-LN(2)/25))/(LN(2)/25)*Calculateur!BL114*Calculateur!BN114*VLOOKUP('Données projet'!$B$11,Paramètres!$A$1:$I$89,3,0)*0.475*44/12</f>
        <v>35.676617851494285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42.811236514901672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6.8811111111111085</v>
      </c>
      <c r="BY114" s="12">
        <f>IF('Données projet'!$A$114&gt;35,BY113+BX114-CG113,IF(A114&lt;'Données projet'!$A$114,$BV$205^A114,IF(A114='Données projet'!$A$114,'Données projet'!$B$114,BY113+BX114-CG113)))</f>
        <v>280.13777777777761</v>
      </c>
      <c r="BZ114" s="13">
        <f>BY114*VLOOKUP('Données projet'!$B$12,Paramètres!$A$1:$I$89,3,0)*VLOOKUP('Données projet'!$B$12,Paramètres!$A$1:$I$89,5,0)</f>
        <v>284.0597066666665</v>
      </c>
      <c r="CA114" s="13">
        <f t="shared" si="93"/>
        <v>67.824221521859315</v>
      </c>
      <c r="CB114" s="20">
        <f t="shared" si="64"/>
        <v>612.86450826168243</v>
      </c>
      <c r="CC114" s="59">
        <f t="shared" si="65"/>
        <v>906.19784159501569</v>
      </c>
      <c r="CD114" s="59">
        <f ca="1">AVERAGE(OFFSET($CC$3,0,0,'Données projet'!$E$12+1,1))-AVERAGE(OFFSET($H$3,0,0,'Données projet'!$E$12+1,1))</f>
        <v>372.05986520199804</v>
      </c>
      <c r="CE114" s="59">
        <f t="shared" si="94"/>
        <v>184.37981929432044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14.832361801136884</v>
      </c>
      <c r="CL114" s="21">
        <f>EXP(-LN(2)/25)*CL113+(1-EXP(-LN(2)/25))/(LN(2)/25)*Calculateur!CG114*Calculateur!CI114*VLOOKUP('Données projet'!$B$12,Paramètres!$A$1:$I$89,3,0)*0.475*44/12</f>
        <v>24.465117343977582</v>
      </c>
      <c r="CM114" s="21">
        <f>EXP(-LN(2)/2)*CM113+(1-EXP(-LN(2)/2))/(LN(2)/2)*CG114*CJ114*VLOOKUP('Données projet'!$B$12,Paramètres!$A$1:$I$89,3,0)*0.475*44/12</f>
        <v>0.34962843594801063</v>
      </c>
      <c r="CN114" s="22">
        <f t="shared" si="66"/>
        <v>39.647107581062478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8.8449999999999989</v>
      </c>
      <c r="CT114" s="12">
        <f>IF('Données projet'!$A$140&gt;35,CT113+CS114-DB113,IF(A114&lt;'Données projet'!$A$140,$CQ$205^A114,IF(A114='Données projet'!$A$140,'Données projet'!$B$140,CT113+CS114-DB113)))</f>
        <v>398.02500000000066</v>
      </c>
      <c r="CU114" s="17">
        <f>CT114*VLOOKUP('Données projet'!$B$13,Paramètres!$A$1:$I$89,3,0)*VLOOKUP('Données projet'!$B$13,Paramètres!$A$1:$I$89,5,0)</f>
        <v>360.13302000000061</v>
      </c>
      <c r="CV114" s="13">
        <f t="shared" si="95"/>
        <v>83.645526906767415</v>
      </c>
      <c r="CW114" s="20">
        <f t="shared" si="67"/>
        <v>772.91430252928774</v>
      </c>
      <c r="CX114" s="59">
        <f t="shared" si="68"/>
        <v>1066.2476358626211</v>
      </c>
      <c r="CY114" s="59">
        <f ca="1">AVERAGE(OFFSET($CX$3,0,0,'Données projet'!$E$13+1,1))-AVERAGE(OFFSET($H$3,0,0,'Données projet'!$E$13+1,1))</f>
        <v>479.84731392413374</v>
      </c>
      <c r="CZ114" s="59">
        <f t="shared" si="96"/>
        <v>203.57601099841213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28.811206751587406</v>
      </c>
      <c r="DG114" s="21">
        <f>EXP(-LN(2)/25)*DG113+(1-EXP(-LN(2)/25))/(LN(2)/25)*Calculateur!DB114*Calculateur!DD114*VLOOKUP('Données projet'!$B$13,Paramètres!$A$1:$I$89,3,0)*0.475*44/12</f>
        <v>22.257032479922085</v>
      </c>
      <c r="DH114" s="21">
        <f>EXP(-LN(2)/2)*DH113+(1-EXP(-LN(2)/2))/(LN(2)/2)*DB114*DE114*VLOOKUP('Données projet'!$B$13,Paramètres!$A$1:$I$89,3,0)*0.475*44/12</f>
        <v>0.51508357306502783</v>
      </c>
      <c r="DI114" s="22">
        <f t="shared" si="69"/>
        <v>51.583322804574522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293.3333333333353</v>
      </c>
      <c r="S115" s="59">
        <f ca="1">AVERAGE(OFFSET($R$3,0,0,'Données projet'!$E$9+1,1))-AVERAGE(OFFSET($H$3,0,0,'Données projet'!$E$9+1,1))</f>
        <v>322.7909000321435</v>
      </c>
      <c r="T115" s="59">
        <f t="shared" si="88"/>
        <v>403.23516981532316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58.724977895180167</v>
      </c>
      <c r="AA115" s="21">
        <f>EXP(-LN(2)/25)*AA114+(1-EXP(-LN(2)/25))/(LN(2)/25)*Calculateur!V115*Calculateur!X115*VLOOKUP('Données projet'!$B$9,Paramètres!$A$1:$I$89,3,0)*0.475*44/12</f>
        <v>13.054482414609344</v>
      </c>
      <c r="AB115" s="21">
        <f>EXP(-LN(2)/2)*AB114+(1-EXP(-LN(2)/2))/(LN(2)/2)*V115*Y115*VLOOKUP('Données projet'!$B$9,Paramètres!$A$1:$I$89,3,0)*0.475*44/12</f>
        <v>2.8798100367948353E-7</v>
      </c>
      <c r="AC115" s="22">
        <f t="shared" si="57"/>
        <v>71.779460597770523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3.4106051316484809E-13</v>
      </c>
      <c r="AJ115" s="13">
        <f>AI115*VLOOKUP('Données projet'!$B$10,Paramètres!$A$1:$I$89,3,0)*VLOOKUP('Données projet'!$B$10,Paramètres!$A$1:$I$89,5,0)</f>
        <v>1.5961632016114892E-13</v>
      </c>
      <c r="AK115" s="13">
        <f t="shared" si="89"/>
        <v>2.2708641912150958E-12</v>
      </c>
      <c r="AL115" s="20">
        <f t="shared" si="58"/>
        <v>4.2330868906469593E-12</v>
      </c>
      <c r="AM115" s="59">
        <f t="shared" si="59"/>
        <v>293.33333333333752</v>
      </c>
      <c r="AN115" s="59">
        <f ca="1">AVERAGE(OFFSET($AM$3,0,0,'Données projet'!$E$10+1,1))-AVERAGE(OFFSET($H$3,0,0,'Données projet'!$E$10+1,1))</f>
        <v>187.82209112143374</v>
      </c>
      <c r="AO115" s="59">
        <f t="shared" si="90"/>
        <v>158.99136654880203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123.65156700907751</v>
      </c>
      <c r="AV115" s="21">
        <f>EXP(-LN(2)/25)*AV114+(1-EXP(-LN(2)/25))/(LN(2)/25)*Calculateur!AQ115*Calculateur!AS115*VLOOKUP('Données projet'!$B$10,Paramètres!$A$1:$I$89,3,0)*0.475*44/12</f>
        <v>38.540604952256011</v>
      </c>
      <c r="AW115" s="21">
        <f>EXP(-LN(2)/2)*AW114+(1-EXP(-LN(2)/2))/(LN(2)/2)*AQ115*AT115*VLOOKUP('Données projet'!$B$10,Paramètres!$A$1:$I$89,3,0)*0.475*44/12</f>
        <v>11.13265346076688</v>
      </c>
      <c r="AX115" s="21">
        <f t="shared" si="60"/>
        <v>173.32482542210039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140.32771978791288</v>
      </c>
      <c r="BJ115" s="59">
        <f t="shared" si="92"/>
        <v>135.76866977947634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6.9947131431056624</v>
      </c>
      <c r="BQ115" s="21">
        <f>EXP(-LN(2)/25)*BQ114+(1-EXP(-LN(2)/25))/(LN(2)/25)*Calculateur!BL115*Calculateur!BN115*VLOOKUP('Données projet'!$B$11,Paramètres!$A$1:$I$89,3,0)*0.475*44/12</f>
        <v>34.701038860193378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41.695752003299042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6.8811111111111085</v>
      </c>
      <c r="BY115" s="12">
        <f>IF('Données projet'!$A$114&gt;35,BY114+BX115-CG114,IF(A115&lt;'Données projet'!$A$114,$BV$205^A115,IF(A115='Données projet'!$A$114,'Données projet'!$B$114,BY114+BX115-CG114)))</f>
        <v>287.01888888888874</v>
      </c>
      <c r="BZ115" s="13">
        <f>BY115*VLOOKUP('Données projet'!$B$12,Paramètres!$A$1:$I$89,3,0)*VLOOKUP('Données projet'!$B$12,Paramètres!$A$1:$I$89,5,0)</f>
        <v>291.03715333333321</v>
      </c>
      <c r="CA115" s="13">
        <f t="shared" si="93"/>
        <v>69.294202523257042</v>
      </c>
      <c r="CB115" s="20">
        <f t="shared" si="64"/>
        <v>627.57711145022802</v>
      </c>
      <c r="CC115" s="59">
        <f t="shared" si="65"/>
        <v>920.91044478356139</v>
      </c>
      <c r="CD115" s="59">
        <f ca="1">AVERAGE(OFFSET($CC$3,0,0,'Données projet'!$E$12+1,1))-AVERAGE(OFFSET($H$3,0,0,'Données projet'!$E$12+1,1))</f>
        <v>372.05986520199804</v>
      </c>
      <c r="CE115" s="59">
        <f t="shared" si="94"/>
        <v>184.37981929432044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14.541508233063986</v>
      </c>
      <c r="CL115" s="21">
        <f>EXP(-LN(2)/25)*CL114+(1-EXP(-LN(2)/25))/(LN(2)/25)*Calculateur!CG115*Calculateur!CI115*VLOOKUP('Données projet'!$B$12,Paramètres!$A$1:$I$89,3,0)*0.475*44/12</f>
        <v>23.79611742364191</v>
      </c>
      <c r="CM115" s="21">
        <f>EXP(-LN(2)/2)*CM114+(1-EXP(-LN(2)/2))/(LN(2)/2)*CG115*CJ115*VLOOKUP('Données projet'!$B$12,Paramètres!$A$1:$I$89,3,0)*0.475*44/12</f>
        <v>0.24722463795448482</v>
      </c>
      <c r="CN115" s="22">
        <f t="shared" si="66"/>
        <v>38.584850294660377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8.8449999999999989</v>
      </c>
      <c r="CT115" s="12">
        <f>IF('Données projet'!$A$140&gt;35,CT114+CS115-DB114,IF(A115&lt;'Données projet'!$A$140,$CQ$205^A115,IF(A115='Données projet'!$A$140,'Données projet'!$B$140,CT114+CS115-DB114)))</f>
        <v>406.87000000000069</v>
      </c>
      <c r="CU115" s="17">
        <f>CT115*VLOOKUP('Données projet'!$B$13,Paramètres!$A$1:$I$89,3,0)*VLOOKUP('Données projet'!$B$13,Paramètres!$A$1:$I$89,5,0)</f>
        <v>368.1359760000006</v>
      </c>
      <c r="CV115" s="13">
        <f t="shared" si="95"/>
        <v>85.285846455183602</v>
      </c>
      <c r="CW115" s="20">
        <f t="shared" si="67"/>
        <v>789.70967410944593</v>
      </c>
      <c r="CX115" s="59">
        <f t="shared" si="68"/>
        <v>1083.0430074427793</v>
      </c>
      <c r="CY115" s="59">
        <f ca="1">AVERAGE(OFFSET($CX$3,0,0,'Données projet'!$E$13+1,1))-AVERAGE(OFFSET($H$3,0,0,'Données projet'!$E$13+1,1))</f>
        <v>479.84731392413374</v>
      </c>
      <c r="CZ115" s="59">
        <f t="shared" si="96"/>
        <v>203.57601099841213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28.246236560289695</v>
      </c>
      <c r="DG115" s="21">
        <f>EXP(-LN(2)/25)*DG114+(1-EXP(-LN(2)/25))/(LN(2)/25)*Calculateur!DB115*Calculateur!DD115*VLOOKUP('Données projet'!$B$13,Paramètres!$A$1:$I$89,3,0)*0.475*44/12</f>
        <v>21.648412756312148</v>
      </c>
      <c r="DH115" s="21">
        <f>EXP(-LN(2)/2)*DH114+(1-EXP(-LN(2)/2))/(LN(2)/2)*DB115*DE115*VLOOKUP('Données projet'!$B$13,Paramètres!$A$1:$I$89,3,0)*0.475*44/12</f>
        <v>0.3642190873920777</v>
      </c>
      <c r="DI115" s="22">
        <f t="shared" si="69"/>
        <v>50.258868403993922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293.3333333333353</v>
      </c>
      <c r="S116" s="59">
        <f ca="1">AVERAGE(OFFSET($R$3,0,0,'Données projet'!$E$9+1,1))-AVERAGE(OFFSET($H$3,0,0,'Données projet'!$E$9+1,1))</f>
        <v>322.7909000321435</v>
      </c>
      <c r="T116" s="59">
        <f t="shared" si="88"/>
        <v>403.23516981532316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57.573416897355401</v>
      </c>
      <c r="AA116" s="21">
        <f>EXP(-LN(2)/25)*AA115+(1-EXP(-LN(2)/25))/(LN(2)/25)*Calculateur!V116*Calculateur!X116*VLOOKUP('Données projet'!$B$9,Paramètres!$A$1:$I$89,3,0)*0.475*44/12</f>
        <v>12.697506906476457</v>
      </c>
      <c r="AB116" s="21">
        <f>EXP(-LN(2)/2)*AB115+(1-EXP(-LN(2)/2))/(LN(2)/2)*V116*Y116*VLOOKUP('Données projet'!$B$9,Paramètres!$A$1:$I$89,3,0)*0.475*44/12</f>
        <v>2.036333205546709E-7</v>
      </c>
      <c r="AC116" s="22">
        <f t="shared" si="57"/>
        <v>70.270924007465183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3.4106051316484809E-13</v>
      </c>
      <c r="AJ116" s="13">
        <f>AI116*VLOOKUP('Données projet'!$B$10,Paramètres!$A$1:$I$89,3,0)*VLOOKUP('Données projet'!$B$10,Paramètres!$A$1:$I$89,5,0)</f>
        <v>1.5961632016114892E-13</v>
      </c>
      <c r="AK116" s="13">
        <f t="shared" si="89"/>
        <v>2.2708641912150958E-12</v>
      </c>
      <c r="AL116" s="20">
        <f t="shared" si="58"/>
        <v>4.2330868906469593E-12</v>
      </c>
      <c r="AM116" s="59">
        <f t="shared" si="59"/>
        <v>293.33333333333752</v>
      </c>
      <c r="AN116" s="59">
        <f ca="1">AVERAGE(OFFSET($AM$3,0,0,'Données projet'!$E$10+1,1))-AVERAGE(OFFSET($H$3,0,0,'Données projet'!$E$10+1,1))</f>
        <v>187.82209112143374</v>
      </c>
      <c r="AO116" s="59">
        <f t="shared" si="90"/>
        <v>158.99136654880203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121.22683520003827</v>
      </c>
      <c r="AV116" s="21">
        <f>EXP(-LN(2)/25)*AV115+(1-EXP(-LN(2)/25))/(LN(2)/25)*Calculateur!AQ116*Calculateur!AS116*VLOOKUP('Données projet'!$B$10,Paramètres!$A$1:$I$89,3,0)*0.475*44/12</f>
        <v>37.486710083074243</v>
      </c>
      <c r="AW116" s="21">
        <f>EXP(-LN(2)/2)*AW115+(1-EXP(-LN(2)/2))/(LN(2)/2)*AQ116*AT116*VLOOKUP('Données projet'!$B$10,Paramètres!$A$1:$I$89,3,0)*0.475*44/12</f>
        <v>7.8719747547081482</v>
      </c>
      <c r="AX116" s="21">
        <f t="shared" si="60"/>
        <v>166.58552003782069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140.32771978791288</v>
      </c>
      <c r="BJ116" s="59">
        <f t="shared" si="92"/>
        <v>135.76866977947634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6.8575510847231103</v>
      </c>
      <c r="BQ116" s="21">
        <f>EXP(-LN(2)/25)*BQ115+(1-EXP(-LN(2)/25))/(LN(2)/25)*Calculateur!BL116*Calculateur!BN116*VLOOKUP('Données projet'!$B$11,Paramètres!$A$1:$I$89,3,0)*0.475*44/12</f>
        <v>33.75213712771307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40.609688212436183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293.89999999999998</v>
      </c>
      <c r="BW116" s="12">
        <f>VLOOKUP(A116,'Données projet'!$A$113:$I$133,9,0)</f>
        <v>6.8811111111111085</v>
      </c>
      <c r="BX116" s="12">
        <f t="array" ref="BX116">INDEX(BW:BW,MIN(IF(ISNUMBER(BW116:BW312),ROW(BW116:BW312),"")))</f>
        <v>6.8811111111111085</v>
      </c>
      <c r="BY116" s="12">
        <f>IF('Données projet'!$A$114&gt;35,BY115+BX116-CG115,IF(A116&lt;'Données projet'!$A$114,$BV$205^A116,IF(A116='Données projet'!$A$114,'Données projet'!$B$114,BY115+BX116-CG115)))</f>
        <v>293.89999999999986</v>
      </c>
      <c r="BZ116" s="13">
        <f>BY116*VLOOKUP('Données projet'!$B$12,Paramètres!$A$1:$I$89,3,0)*VLOOKUP('Données projet'!$B$12,Paramètres!$A$1:$I$89,5,0)</f>
        <v>298.01459999999986</v>
      </c>
      <c r="CA116" s="13">
        <f t="shared" si="93"/>
        <v>70.760086666473185</v>
      </c>
      <c r="CB116" s="20">
        <f t="shared" si="64"/>
        <v>642.2825792774405</v>
      </c>
      <c r="CC116" s="59">
        <f t="shared" si="65"/>
        <v>935.61591261077388</v>
      </c>
      <c r="CD116" s="59">
        <f ca="1">AVERAGE(OFFSET($CC$3,0,0,'Données projet'!$E$12+1,1))-AVERAGE(OFFSET($H$3,0,0,'Données projet'!$E$12+1,1))</f>
        <v>372.05986520199804</v>
      </c>
      <c r="CE116" s="59">
        <f t="shared" si="94"/>
        <v>184.37981929432044</v>
      </c>
      <c r="CF116" s="15">
        <f>IF(ISNA(VLOOKUP(A116,'Données projet'!$A$113:$I$133,3,0)),0,VLOOKUP(A116,'Données projet'!$A$113:$I$133,3,0))</f>
        <v>7</v>
      </c>
      <c r="CG116" s="15">
        <f>IF(ISNA(VLOOKUP(A116,'Données projet'!$A$113:$I$133,4,0)),0,VLOOKUP(A116,'Données projet'!$A$113:$I$133,4,0))</f>
        <v>41.639999999999986</v>
      </c>
      <c r="CH116" s="16">
        <f>IF(ISNA(VLOOKUP(A116,'Données projet'!$A$113:$I$133,5,0)),0%,VLOOKUP(A116,'Données projet'!$A$113:$I$133,5,0)*VLOOKUP('Données projet'!$B$12,Paramètres!$A$1:$I$89,7,0))</f>
        <v>0.15049999999999999</v>
      </c>
      <c r="CI116" s="16">
        <f>IF(ISNA(VLOOKUP(A116,'Données projet'!$A$113:$I$133,6,0)),0%,VLOOKUP(A116,'Données projet'!$A$113:$I$133,6,0)*VLOOKUP('Données projet'!$B$12,Paramètres!$A$1:$I$89,7,0))</f>
        <v>8.6000000000000007E-2</v>
      </c>
      <c r="CJ116" s="16">
        <f>IF(ISNA(VLOOKUP(A116,'Données projet'!$A$113:$I$133,7,0)),0%,VLOOKUP(A116,'Données projet'!$A$113:$I$133,7,0))</f>
        <v>0.1</v>
      </c>
      <c r="CK116" s="21">
        <f>EXP(-LN(2)/35)*CK115+(1-EXP(-LN(2)/35))/(LN(2)/35)*CG116*CH116*VLOOKUP('Données projet'!$B$12,Paramètres!$A$1:$I$89,3,0)*0.475*44/12</f>
        <v>21.281130984296624</v>
      </c>
      <c r="CL116" s="21">
        <f>EXP(-LN(2)/25)*CL115+(1-EXP(-LN(2)/25))/(LN(2)/25)*Calculateur!CG116*Calculateur!CI116*VLOOKUP('Données projet'!$B$12,Paramètres!$A$1:$I$89,3,0)*0.475*44/12</f>
        <v>27.143761998936192</v>
      </c>
      <c r="CM116" s="21">
        <f>EXP(-LN(2)/2)*CM115+(1-EXP(-LN(2)/2))/(LN(2)/2)*CG116*CJ116*VLOOKUP('Données projet'!$B$12,Paramètres!$A$1:$I$89,3,0)*0.475*44/12</f>
        <v>4.1586641354046767</v>
      </c>
      <c r="CN116" s="22">
        <f t="shared" si="66"/>
        <v>52.583557118637493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8.8449999999999989</v>
      </c>
      <c r="CT116" s="12">
        <f>IF('Données projet'!$A$140&gt;35,CT115+CS116-DB115,IF(A116&lt;'Données projet'!$A$140,$CQ$205^A116,IF(A116='Données projet'!$A$140,'Données projet'!$B$140,CT115+CS116-DB115)))</f>
        <v>415.71500000000071</v>
      </c>
      <c r="CU116" s="17">
        <f>CT116*VLOOKUP('Données projet'!$B$13,Paramètres!$A$1:$I$89,3,0)*VLOOKUP('Données projet'!$B$13,Paramètres!$A$1:$I$89,5,0)</f>
        <v>376.13893200000064</v>
      </c>
      <c r="CV116" s="13">
        <f t="shared" si="95"/>
        <v>86.922020183945492</v>
      </c>
      <c r="CW116" s="20">
        <f t="shared" si="67"/>
        <v>806.49782505370615</v>
      </c>
      <c r="CX116" s="59">
        <f t="shared" si="68"/>
        <v>1099.8311583870395</v>
      </c>
      <c r="CY116" s="59">
        <f ca="1">AVERAGE(OFFSET($CX$3,0,0,'Données projet'!$E$13+1,1))-AVERAGE(OFFSET($H$3,0,0,'Données projet'!$E$13+1,1))</f>
        <v>479.84731392413374</v>
      </c>
      <c r="CZ116" s="59">
        <f t="shared" si="96"/>
        <v>203.57601099841213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27.692345089845542</v>
      </c>
      <c r="DG116" s="21">
        <f>EXP(-LN(2)/25)*DG115+(1-EXP(-LN(2)/25))/(LN(2)/25)*Calculateur!DB116*Calculateur!DD116*VLOOKUP('Données projet'!$B$13,Paramètres!$A$1:$I$89,3,0)*0.475*44/12</f>
        <v>21.056435771050243</v>
      </c>
      <c r="DH116" s="21">
        <f>EXP(-LN(2)/2)*DH115+(1-EXP(-LN(2)/2))/(LN(2)/2)*DB116*DE116*VLOOKUP('Données projet'!$B$13,Paramètres!$A$1:$I$89,3,0)*0.475*44/12</f>
        <v>0.25754178653251392</v>
      </c>
      <c r="DI116" s="22">
        <f t="shared" si="69"/>
        <v>49.006322647428298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293.3333333333353</v>
      </c>
      <c r="S117" s="59">
        <f ca="1">AVERAGE(OFFSET($R$3,0,0,'Données projet'!$E$9+1,1))-AVERAGE(OFFSET($H$3,0,0,'Données projet'!$E$9+1,1))</f>
        <v>322.7909000321435</v>
      </c>
      <c r="T117" s="59">
        <f t="shared" si="88"/>
        <v>403.23516981532316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56.444437308315123</v>
      </c>
      <c r="AA117" s="21">
        <f>EXP(-LN(2)/25)*AA116+(1-EXP(-LN(2)/25))/(LN(2)/25)*Calculateur!V117*Calculateur!X117*VLOOKUP('Données projet'!$B$9,Paramètres!$A$1:$I$89,3,0)*0.475*44/12</f>
        <v>12.35029291238599</v>
      </c>
      <c r="AB117" s="21">
        <f>EXP(-LN(2)/2)*AB116+(1-EXP(-LN(2)/2))/(LN(2)/2)*V117*Y117*VLOOKUP('Données projet'!$B$9,Paramètres!$A$1:$I$89,3,0)*0.475*44/12</f>
        <v>1.4399050183974177E-7</v>
      </c>
      <c r="AC117" s="22">
        <f t="shared" si="57"/>
        <v>68.794730364691617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3.4106051316484809E-13</v>
      </c>
      <c r="AJ117" s="13">
        <f>AI117*VLOOKUP('Données projet'!$B$10,Paramètres!$A$1:$I$89,3,0)*VLOOKUP('Données projet'!$B$10,Paramètres!$A$1:$I$89,5,0)</f>
        <v>1.5961632016114892E-13</v>
      </c>
      <c r="AK117" s="13">
        <f t="shared" si="89"/>
        <v>2.2708641912150958E-12</v>
      </c>
      <c r="AL117" s="20">
        <f t="shared" si="58"/>
        <v>4.2330868906469593E-12</v>
      </c>
      <c r="AM117" s="59">
        <f t="shared" si="59"/>
        <v>293.33333333333752</v>
      </c>
      <c r="AN117" s="59">
        <f ca="1">AVERAGE(OFFSET($AM$3,0,0,'Données projet'!$E$10+1,1))-AVERAGE(OFFSET($H$3,0,0,'Données projet'!$E$10+1,1))</f>
        <v>187.82209112143374</v>
      </c>
      <c r="AO117" s="59">
        <f t="shared" si="90"/>
        <v>158.99136654880203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118.84965090283391</v>
      </c>
      <c r="AV117" s="21">
        <f>EXP(-LN(2)/25)*AV116+(1-EXP(-LN(2)/25))/(LN(2)/25)*Calculateur!AQ117*Calculateur!AS117*VLOOKUP('Données projet'!$B$10,Paramètres!$A$1:$I$89,3,0)*0.475*44/12</f>
        <v>36.461634024512172</v>
      </c>
      <c r="AW117" s="21">
        <f>EXP(-LN(2)/2)*AW116+(1-EXP(-LN(2)/2))/(LN(2)/2)*AQ117*AT117*VLOOKUP('Données projet'!$B$10,Paramètres!$A$1:$I$89,3,0)*0.475*44/12</f>
        <v>5.5663267303834409</v>
      </c>
      <c r="AX117" s="21">
        <f t="shared" si="60"/>
        <v>160.87761165772955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140.32771978791288</v>
      </c>
      <c r="BJ117" s="59">
        <f t="shared" si="92"/>
        <v>135.76866977947634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6.7230786906448454</v>
      </c>
      <c r="BQ117" s="21">
        <f>EXP(-LN(2)/25)*BQ116+(1-EXP(-LN(2)/25))/(LN(2)/25)*Calculateur!BL117*Calculateur!BN117*VLOOKUP('Données projet'!$B$11,Paramètres!$A$1:$I$89,3,0)*0.475*44/12</f>
        <v>32.829183163008004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39.552261853652851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7.0011111111111104</v>
      </c>
      <c r="BY117" s="12">
        <f>IF('Données projet'!$A$114&gt;35,BY116+BX117-CG116,IF(A117&lt;'Données projet'!$A$114,$BV$205^A117,IF(A117='Données projet'!$A$114,'Données projet'!$B$114,BY116+BX117-CG116)))</f>
        <v>259.26111111111101</v>
      </c>
      <c r="BZ117" s="13">
        <f>BY117*VLOOKUP('Données projet'!$B$12,Paramètres!$A$1:$I$89,3,0)*VLOOKUP('Données projet'!$B$12,Paramètres!$A$1:$I$89,5,0)</f>
        <v>262.89076666666659</v>
      </c>
      <c r="CA117" s="13">
        <f t="shared" si="93"/>
        <v>63.338175499546331</v>
      </c>
      <c r="CB117" s="20">
        <f t="shared" si="64"/>
        <v>568.18207427282073</v>
      </c>
      <c r="CC117" s="59">
        <f t="shared" si="65"/>
        <v>861.51540760615399</v>
      </c>
      <c r="CD117" s="59">
        <f ca="1">AVERAGE(OFFSET($CC$3,0,0,'Données projet'!$E$12+1,1))-AVERAGE(OFFSET($H$3,0,0,'Données projet'!$E$12+1,1))</f>
        <v>372.05986520199804</v>
      </c>
      <c r="CE117" s="59">
        <f t="shared" si="94"/>
        <v>184.37981929432044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20.863820985902777</v>
      </c>
      <c r="CL117" s="21">
        <f>EXP(-LN(2)/25)*CL116+(1-EXP(-LN(2)/25))/(LN(2)/25)*Calculateur!CG117*Calculateur!CI117*VLOOKUP('Données projet'!$B$12,Paramètres!$A$1:$I$89,3,0)*0.475*44/12</f>
        <v>26.401514399646878</v>
      </c>
      <c r="CM117" s="21">
        <f>EXP(-LN(2)/2)*CM116+(1-EXP(-LN(2)/2))/(LN(2)/2)*CG117*CJ117*VLOOKUP('Données projet'!$B$12,Paramètres!$A$1:$I$89,3,0)*0.475*44/12</f>
        <v>2.9406196108219378</v>
      </c>
      <c r="CN117" s="22">
        <f t="shared" si="66"/>
        <v>50.205954996371595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424.56</v>
      </c>
      <c r="CR117" s="12">
        <f>VLOOKUP(A117,'Données projet'!$A$139:$I$159,9,0)</f>
        <v>8.8449999999999989</v>
      </c>
      <c r="CS117" s="12">
        <f t="array" ref="CS117">INDEX(CR:CR,MIN(IF(ISNUMBER(CR117:CR313),ROW(CR117:CR313),"")))</f>
        <v>8.8449999999999989</v>
      </c>
      <c r="CT117" s="12">
        <f>IF('Données projet'!$A$140&gt;35,CT116+CS117-DB116,IF(A117&lt;'Données projet'!$A$140,$CQ$205^A117,IF(A117='Données projet'!$A$140,'Données projet'!$B$140,CT116+CS117-DB116)))</f>
        <v>424.56000000000074</v>
      </c>
      <c r="CU117" s="17">
        <f>CT117*VLOOKUP('Données projet'!$B$13,Paramètres!$A$1:$I$89,3,0)*VLOOKUP('Données projet'!$B$13,Paramètres!$A$1:$I$89,5,0)</f>
        <v>384.14188800000068</v>
      </c>
      <c r="CV117" s="13">
        <f t="shared" si="95"/>
        <v>88.554146462646884</v>
      </c>
      <c r="CW117" s="20">
        <f t="shared" si="67"/>
        <v>823.27892668911102</v>
      </c>
      <c r="CX117" s="59">
        <f t="shared" si="68"/>
        <v>1116.6122600224444</v>
      </c>
      <c r="CY117" s="59">
        <f ca="1">AVERAGE(OFFSET($CX$3,0,0,'Données projet'!$E$13+1,1))-AVERAGE(OFFSET($H$3,0,0,'Données projet'!$E$13+1,1))</f>
        <v>479.84731392413374</v>
      </c>
      <c r="CZ117" s="59">
        <f t="shared" si="96"/>
        <v>203.57601099841213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61.860000000000014</v>
      </c>
      <c r="DC117" s="16">
        <f>IF(ISNA(VLOOKUP(A117,'Données projet'!$A$139:$I$159,5,0)),0%,VLOOKUP(A117,'Données projet'!$A$139:$I$159,5,0)*VLOOKUP('Données projet'!$B$13,Paramètres!$A$1:$I$89,7,0))</f>
        <v>0.15049999999999999</v>
      </c>
      <c r="DD117" s="16">
        <f>IF(ISNA(VLOOKUP(A117,'Données projet'!$A$139:$I$159,6,0)),0%,VLOOKUP(A117,'Données projet'!$A$139:$I$159,6,0)*VLOOKUP('Données projet'!$B$13,Paramètres!$A$1:$I$89,7,0))</f>
        <v>8.6000000000000007E-2</v>
      </c>
      <c r="DE117" s="16">
        <f>IF(ISNA(VLOOKUP(A117,'Données projet'!$A$139:$I$159,7,0)),0%,VLOOKUP(A117,'Données projet'!$A$139:$I$159,7,0))</f>
        <v>0.1</v>
      </c>
      <c r="DF117" s="21">
        <f>EXP(-LN(2)/35)*DF116+(1-EXP(-LN(2)/35))/(LN(2)/35)*DB117*DC117*VLOOKUP('Données projet'!$B$13,Paramètres!$A$1:$I$89,3,0)*0.475*44/12</f>
        <v>36.461382647651561</v>
      </c>
      <c r="DG117" s="21">
        <f>EXP(-LN(2)/25)*DG116+(1-EXP(-LN(2)/25))/(LN(2)/25)*Calculateur!DB117*Calculateur!DD117*VLOOKUP('Données projet'!$B$13,Paramètres!$A$1:$I$89,3,0)*0.475*44/12</f>
        <v>25.780876368276925</v>
      </c>
      <c r="DH117" s="21">
        <f>EXP(-LN(2)/2)*DH116+(1-EXP(-LN(2)/2))/(LN(2)/2)*DB117*DE117*VLOOKUP('Données projet'!$B$13,Paramètres!$A$1:$I$89,3,0)*0.475*44/12</f>
        <v>5.4631172440400739</v>
      </c>
      <c r="DI117" s="22">
        <f t="shared" si="69"/>
        <v>67.70537625996856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293.3333333333353</v>
      </c>
      <c r="S118" s="59">
        <f ca="1">AVERAGE(OFFSET($R$3,0,0,'Données projet'!$E$9+1,1))-AVERAGE(OFFSET($H$3,0,0,'Données projet'!$E$9+1,1))</f>
        <v>322.7909000321435</v>
      </c>
      <c r="T118" s="59">
        <f t="shared" si="88"/>
        <v>403.23516981532316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55.337596320406369</v>
      </c>
      <c r="AA118" s="21">
        <f>EXP(-LN(2)/25)*AA117+(1-EXP(-LN(2)/25))/(LN(2)/25)*Calculateur!V118*Calculateur!X118*VLOOKUP('Données projet'!$B$9,Paramètres!$A$1:$I$89,3,0)*0.475*44/12</f>
        <v>12.012573503223118</v>
      </c>
      <c r="AB118" s="21">
        <f>EXP(-LN(2)/2)*AB117+(1-EXP(-LN(2)/2))/(LN(2)/2)*V118*Y118*VLOOKUP('Données projet'!$B$9,Paramètres!$A$1:$I$89,3,0)*0.475*44/12</f>
        <v>1.0181666027733545E-7</v>
      </c>
      <c r="AC118" s="22">
        <f t="shared" si="57"/>
        <v>67.350169925446153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3.4106051316484809E-13</v>
      </c>
      <c r="AJ118" s="13">
        <f>AI118*VLOOKUP('Données projet'!$B$10,Paramètres!$A$1:$I$89,3,0)*VLOOKUP('Données projet'!$B$10,Paramètres!$A$1:$I$89,5,0)</f>
        <v>1.5961632016114892E-13</v>
      </c>
      <c r="AK118" s="13">
        <f t="shared" si="89"/>
        <v>2.2708641912150958E-12</v>
      </c>
      <c r="AL118" s="20">
        <f t="shared" si="58"/>
        <v>4.2330868906469593E-12</v>
      </c>
      <c r="AM118" s="59">
        <f t="shared" si="59"/>
        <v>293.33333333333752</v>
      </c>
      <c r="AN118" s="59">
        <f ca="1">AVERAGE(OFFSET($AM$3,0,0,'Données projet'!$E$10+1,1))-AVERAGE(OFFSET($H$3,0,0,'Données projet'!$E$10+1,1))</f>
        <v>187.82209112143374</v>
      </c>
      <c r="AO118" s="59">
        <f t="shared" si="90"/>
        <v>158.99136654880203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116.51908173975849</v>
      </c>
      <c r="AV118" s="21">
        <f>EXP(-LN(2)/25)*AV117+(1-EXP(-LN(2)/25))/(LN(2)/25)*Calculateur!AQ118*Calculateur!AS118*VLOOKUP('Données projet'!$B$10,Paramètres!$A$1:$I$89,3,0)*0.475*44/12</f>
        <v>35.464588724677888</v>
      </c>
      <c r="AW118" s="21">
        <f>EXP(-LN(2)/2)*AW117+(1-EXP(-LN(2)/2))/(LN(2)/2)*AQ118*AT118*VLOOKUP('Données projet'!$B$10,Paramètres!$A$1:$I$89,3,0)*0.475*44/12</f>
        <v>3.9359873773540746</v>
      </c>
      <c r="AX118" s="21">
        <f t="shared" si="60"/>
        <v>155.91965784179047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140.32771978791288</v>
      </c>
      <c r="BJ118" s="59">
        <f t="shared" si="92"/>
        <v>135.76866977947634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6.5912432181943936</v>
      </c>
      <c r="BQ118" s="21">
        <f>EXP(-LN(2)/25)*BQ117+(1-EXP(-LN(2)/25))/(LN(2)/25)*Calculateur!BL118*Calculateur!BN118*VLOOKUP('Données projet'!$B$11,Paramètres!$A$1:$I$89,3,0)*0.475*44/12</f>
        <v>31.931467423003841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38.522710641198238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7.0011111111111104</v>
      </c>
      <c r="BY118" s="12">
        <f>IF('Données projet'!$A$114&gt;35,BY117+BX118-CG117,IF(A118&lt;'Données projet'!$A$114,$BV$205^A118,IF(A118='Données projet'!$A$114,'Données projet'!$B$114,BY117+BX118-CG117)))</f>
        <v>266.26222222222214</v>
      </c>
      <c r="BZ118" s="13">
        <f>BY118*VLOOKUP('Données projet'!$B$12,Paramètres!$A$1:$I$89,3,0)*VLOOKUP('Données projet'!$B$12,Paramètres!$A$1:$I$89,5,0)</f>
        <v>269.98989333333327</v>
      </c>
      <c r="CA118" s="13">
        <f t="shared" si="93"/>
        <v>64.847124393424096</v>
      </c>
      <c r="CB118" s="20">
        <f t="shared" si="64"/>
        <v>583.1744725407691</v>
      </c>
      <c r="CC118" s="59">
        <f t="shared" si="65"/>
        <v>876.50780587410236</v>
      </c>
      <c r="CD118" s="59">
        <f ca="1">AVERAGE(OFFSET($CC$3,0,0,'Données projet'!$E$12+1,1))-AVERAGE(OFFSET($H$3,0,0,'Données projet'!$E$12+1,1))</f>
        <v>372.05986520199804</v>
      </c>
      <c r="CE118" s="59">
        <f t="shared" si="94"/>
        <v>184.37981929432044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20.454694182043468</v>
      </c>
      <c r="CL118" s="21">
        <f>EXP(-LN(2)/25)*CL117+(1-EXP(-LN(2)/25))/(LN(2)/25)*Calculateur!CG118*Calculateur!CI118*VLOOKUP('Données projet'!$B$12,Paramètres!$A$1:$I$89,3,0)*0.475*44/12</f>
        <v>25.679563599993234</v>
      </c>
      <c r="CM118" s="21">
        <f>EXP(-LN(2)/2)*CM117+(1-EXP(-LN(2)/2))/(LN(2)/2)*CG118*CJ118*VLOOKUP('Données projet'!$B$12,Paramètres!$A$1:$I$89,3,0)*0.475*44/12</f>
        <v>2.0793320677023388</v>
      </c>
      <c r="CN118" s="22">
        <f t="shared" si="66"/>
        <v>48.213589849739037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8.9160000000000021</v>
      </c>
      <c r="CT118" s="12">
        <f>IF('Données projet'!$A$140&gt;35,CT117+CS118-DB117,IF(A118&lt;'Données projet'!$A$140,$CQ$205^A118,IF(A118='Données projet'!$A$140,'Données projet'!$B$140,CT117+CS118-DB117)))</f>
        <v>371.61600000000072</v>
      </c>
      <c r="CU118" s="17">
        <f>CT118*VLOOKUP('Données projet'!$B$13,Paramètres!$A$1:$I$89,3,0)*VLOOKUP('Données projet'!$B$13,Paramètres!$A$1:$I$89,5,0)</f>
        <v>336.23815680000064</v>
      </c>
      <c r="CV118" s="13">
        <f t="shared" si="95"/>
        <v>78.722223243612518</v>
      </c>
      <c r="CW118" s="20">
        <f t="shared" si="67"/>
        <v>722.72266190929292</v>
      </c>
      <c r="CX118" s="59">
        <f t="shared" si="68"/>
        <v>1016.0559952426263</v>
      </c>
      <c r="CY118" s="59">
        <f ca="1">AVERAGE(OFFSET($CX$3,0,0,'Données projet'!$E$13+1,1))-AVERAGE(OFFSET($H$3,0,0,'Données projet'!$E$13+1,1))</f>
        <v>479.84731392413374</v>
      </c>
      <c r="CZ118" s="59">
        <f t="shared" si="96"/>
        <v>203.57601099841213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35.746397173178586</v>
      </c>
      <c r="DG118" s="21">
        <f>EXP(-LN(2)/25)*DG117+(1-EXP(-LN(2)/25))/(LN(2)/25)*Calculateur!DB118*Calculateur!DD118*VLOOKUP('Données projet'!$B$13,Paramètres!$A$1:$I$89,3,0)*0.475*44/12</f>
        <v>25.075896948229026</v>
      </c>
      <c r="DH118" s="21">
        <f>EXP(-LN(2)/2)*DH117+(1-EXP(-LN(2)/2))/(LN(2)/2)*DB118*DE118*VLOOKUP('Données projet'!$B$13,Paramètres!$A$1:$I$89,3,0)*0.475*44/12</f>
        <v>3.8630072496778993</v>
      </c>
      <c r="DI118" s="22">
        <f t="shared" si="69"/>
        <v>64.685301371085501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293.3333333333353</v>
      </c>
      <c r="S119" s="59">
        <f ca="1">AVERAGE(OFFSET($R$3,0,0,'Données projet'!$E$9+1,1))-AVERAGE(OFFSET($H$3,0,0,'Données projet'!$E$9+1,1))</f>
        <v>322.7909000321435</v>
      </c>
      <c r="T119" s="59">
        <f t="shared" si="88"/>
        <v>403.23516981532316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54.252459809164165</v>
      </c>
      <c r="AA119" s="21">
        <f>EXP(-LN(2)/25)*AA118+(1-EXP(-LN(2)/25))/(LN(2)/25)*Calculateur!V119*Calculateur!X119*VLOOKUP('Données projet'!$B$9,Paramètres!$A$1:$I$89,3,0)*0.475*44/12</f>
        <v>11.684089049063697</v>
      </c>
      <c r="AB119" s="21">
        <f>EXP(-LN(2)/2)*AB118+(1-EXP(-LN(2)/2))/(LN(2)/2)*V119*Y119*VLOOKUP('Données projet'!$B$9,Paramètres!$A$1:$I$89,3,0)*0.475*44/12</f>
        <v>7.1995250919870883E-8</v>
      </c>
      <c r="AC119" s="22">
        <f t="shared" si="57"/>
        <v>65.936548930223111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3.4106051316484809E-13</v>
      </c>
      <c r="AJ119" s="13">
        <f>AI119*VLOOKUP('Données projet'!$B$10,Paramètres!$A$1:$I$89,3,0)*VLOOKUP('Données projet'!$B$10,Paramètres!$A$1:$I$89,5,0)</f>
        <v>1.5961632016114892E-13</v>
      </c>
      <c r="AK119" s="13">
        <f t="shared" si="89"/>
        <v>2.2708641912150958E-12</v>
      </c>
      <c r="AL119" s="20">
        <f t="shared" si="58"/>
        <v>4.2330868906469593E-12</v>
      </c>
      <c r="AM119" s="59">
        <f t="shared" si="59"/>
        <v>293.33333333333752</v>
      </c>
      <c r="AN119" s="59">
        <f ca="1">AVERAGE(OFFSET($AM$3,0,0,'Données projet'!$E$10+1,1))-AVERAGE(OFFSET($H$3,0,0,'Données projet'!$E$10+1,1))</f>
        <v>187.82209112143374</v>
      </c>
      <c r="AO119" s="59">
        <f t="shared" si="90"/>
        <v>158.99136654880203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114.23421361646415</v>
      </c>
      <c r="AV119" s="21">
        <f>EXP(-LN(2)/25)*AV118+(1-EXP(-LN(2)/25))/(LN(2)/25)*Calculateur!AQ119*Calculateur!AS119*VLOOKUP('Données projet'!$B$10,Paramètres!$A$1:$I$89,3,0)*0.475*44/12</f>
        <v>34.494807680999905</v>
      </c>
      <c r="AW119" s="21">
        <f>EXP(-LN(2)/2)*AW118+(1-EXP(-LN(2)/2))/(LN(2)/2)*AQ119*AT119*VLOOKUP('Données projet'!$B$10,Paramètres!$A$1:$I$89,3,0)*0.475*44/12</f>
        <v>2.7831633651917209</v>
      </c>
      <c r="AX119" s="21">
        <f t="shared" si="60"/>
        <v>151.51218466265576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140.32771978791288</v>
      </c>
      <c r="BJ119" s="59">
        <f t="shared" si="92"/>
        <v>135.76866977947634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6.4619929589469969</v>
      </c>
      <c r="BQ119" s="21">
        <f>EXP(-LN(2)/25)*BQ118+(1-EXP(-LN(2)/25))/(LN(2)/25)*Calculateur!BL119*Calculateur!BN119*VLOOKUP('Données projet'!$B$11,Paramètres!$A$1:$I$89,3,0)*0.475*44/12</f>
        <v>31.05829976711891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37.520292726065904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7.0011111111111104</v>
      </c>
      <c r="BY119" s="12">
        <f>IF('Données projet'!$A$114&gt;35,BY118+BX119-CG118,IF(A119&lt;'Données projet'!$A$114,$BV$205^A119,IF(A119='Données projet'!$A$114,'Données projet'!$B$114,BY118+BX119-CG118)))</f>
        <v>273.26333333333326</v>
      </c>
      <c r="BZ119" s="13">
        <f>BY119*VLOOKUP('Données projet'!$B$12,Paramètres!$A$1:$I$89,3,0)*VLOOKUP('Données projet'!$B$12,Paramètres!$A$1:$I$89,5,0)</f>
        <v>277.08901999999995</v>
      </c>
      <c r="CA119" s="13">
        <f t="shared" si="93"/>
        <v>66.351461456355509</v>
      </c>
      <c r="CB119" s="20">
        <f t="shared" si="64"/>
        <v>598.15883853648563</v>
      </c>
      <c r="CC119" s="59">
        <f t="shared" si="65"/>
        <v>891.492171869819</v>
      </c>
      <c r="CD119" s="59">
        <f ca="1">AVERAGE(OFFSET($CC$3,0,0,'Données projet'!$E$12+1,1))-AVERAGE(OFFSET($H$3,0,0,'Données projet'!$E$12+1,1))</f>
        <v>372.05986520199804</v>
      </c>
      <c r="CE119" s="59">
        <f t="shared" si="94"/>
        <v>184.37981929432044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20.05359010526513</v>
      </c>
      <c r="CL119" s="21">
        <f>EXP(-LN(2)/25)*CL118+(1-EXP(-LN(2)/25))/(LN(2)/25)*Calculateur!CG119*Calculateur!CI119*VLOOKUP('Données projet'!$B$12,Paramètres!$A$1:$I$89,3,0)*0.475*44/12</f>
        <v>24.977354582921862</v>
      </c>
      <c r="CM119" s="21">
        <f>EXP(-LN(2)/2)*CM118+(1-EXP(-LN(2)/2))/(LN(2)/2)*CG119*CJ119*VLOOKUP('Données projet'!$B$12,Paramètres!$A$1:$I$89,3,0)*0.475*44/12</f>
        <v>1.4703098054109691</v>
      </c>
      <c r="CN119" s="22">
        <f t="shared" si="66"/>
        <v>46.501254493597962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8.9160000000000021</v>
      </c>
      <c r="CT119" s="12">
        <f>IF('Données projet'!$A$140&gt;35,CT118+CS119-DB118,IF(A119&lt;'Données projet'!$A$140,$CQ$205^A119,IF(A119='Données projet'!$A$140,'Données projet'!$B$140,CT118+CS119-DB118)))</f>
        <v>380.53200000000072</v>
      </c>
      <c r="CU119" s="17">
        <f>CT119*VLOOKUP('Données projet'!$B$13,Paramètres!$A$1:$I$89,3,0)*VLOOKUP('Données projet'!$B$13,Paramètres!$A$1:$I$89,5,0)</f>
        <v>344.30535360000061</v>
      </c>
      <c r="CV119" s="13">
        <f t="shared" si="95"/>
        <v>80.388807253544201</v>
      </c>
      <c r="CW119" s="20">
        <f t="shared" si="67"/>
        <v>739.67566348659057</v>
      </c>
      <c r="CX119" s="59">
        <f t="shared" si="68"/>
        <v>1033.0089968199238</v>
      </c>
      <c r="CY119" s="59">
        <f ca="1">AVERAGE(OFFSET($CX$3,0,0,'Données projet'!$E$13+1,1))-AVERAGE(OFFSET($H$3,0,0,'Données projet'!$E$13+1,1))</f>
        <v>479.84731392413374</v>
      </c>
      <c r="CZ119" s="59">
        <f t="shared" si="96"/>
        <v>203.57601099841213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35.045432127761948</v>
      </c>
      <c r="DG119" s="21">
        <f>EXP(-LN(2)/25)*DG118+(1-EXP(-LN(2)/25))/(LN(2)/25)*Calculateur!DB119*Calculateur!DD119*VLOOKUP('Données projet'!$B$13,Paramètres!$A$1:$I$89,3,0)*0.475*44/12</f>
        <v>24.390195227495596</v>
      </c>
      <c r="DH119" s="21">
        <f>EXP(-LN(2)/2)*DH118+(1-EXP(-LN(2)/2))/(LN(2)/2)*DB119*DE119*VLOOKUP('Données projet'!$B$13,Paramètres!$A$1:$I$89,3,0)*0.475*44/12</f>
        <v>2.7315586220200374</v>
      </c>
      <c r="DI119" s="22">
        <f t="shared" si="69"/>
        <v>62.167185977277583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293.3333333333353</v>
      </c>
      <c r="S120" s="59">
        <f ca="1">AVERAGE(OFFSET($R$3,0,0,'Données projet'!$E$9+1,1))-AVERAGE(OFFSET($H$3,0,0,'Données projet'!$E$9+1,1))</f>
        <v>322.7909000321435</v>
      </c>
      <c r="T120" s="59">
        <f t="shared" si="88"/>
        <v>403.23516981532316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53.188602163039498</v>
      </c>
      <c r="AA120" s="21">
        <f>EXP(-LN(2)/25)*AA119+(1-EXP(-LN(2)/25))/(LN(2)/25)*Calculateur!V120*Calculateur!X120*VLOOKUP('Données projet'!$B$9,Paramètres!$A$1:$I$89,3,0)*0.475*44/12</f>
        <v>11.364587019577511</v>
      </c>
      <c r="AB120" s="21">
        <f>EXP(-LN(2)/2)*AB119+(1-EXP(-LN(2)/2))/(LN(2)/2)*V120*Y120*VLOOKUP('Données projet'!$B$9,Paramètres!$A$1:$I$89,3,0)*0.475*44/12</f>
        <v>5.0908330138667725E-8</v>
      </c>
      <c r="AC120" s="22">
        <f t="shared" si="57"/>
        <v>64.55318923352533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3.4106051316484809E-13</v>
      </c>
      <c r="AJ120" s="13">
        <f>AI120*VLOOKUP('Données projet'!$B$10,Paramètres!$A$1:$I$89,3,0)*VLOOKUP('Données projet'!$B$10,Paramètres!$A$1:$I$89,5,0)</f>
        <v>1.5961632016114892E-13</v>
      </c>
      <c r="AK120" s="13">
        <f t="shared" si="89"/>
        <v>2.2708641912150958E-12</v>
      </c>
      <c r="AL120" s="20">
        <f t="shared" si="58"/>
        <v>4.2330868906469593E-12</v>
      </c>
      <c r="AM120" s="59">
        <f t="shared" si="59"/>
        <v>293.33333333333752</v>
      </c>
      <c r="AN120" s="59">
        <f ca="1">AVERAGE(OFFSET($AM$3,0,0,'Données projet'!$E$10+1,1))-AVERAGE(OFFSET($H$3,0,0,'Données projet'!$E$10+1,1))</f>
        <v>187.82209112143374</v>
      </c>
      <c r="AO120" s="59">
        <f t="shared" si="90"/>
        <v>158.99136654880203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111.99415036343565</v>
      </c>
      <c r="AV120" s="21">
        <f>EXP(-LN(2)/25)*AV119+(1-EXP(-LN(2)/25))/(LN(2)/25)*Calculateur!AQ120*Calculateur!AS120*VLOOKUP('Données projet'!$B$10,Paramètres!$A$1:$I$89,3,0)*0.475*44/12</f>
        <v>33.551545350959863</v>
      </c>
      <c r="AW120" s="21">
        <f>EXP(-LN(2)/2)*AW119+(1-EXP(-LN(2)/2))/(LN(2)/2)*AQ120*AT120*VLOOKUP('Données projet'!$B$10,Paramètres!$A$1:$I$89,3,0)*0.475*44/12</f>
        <v>1.9679936886770375</v>
      </c>
      <c r="AX120" s="21">
        <f t="shared" si="60"/>
        <v>147.51368940307256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140.32771978791288</v>
      </c>
      <c r="BJ120" s="59">
        <f t="shared" si="92"/>
        <v>135.76866977947634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6.3352772184485673</v>
      </c>
      <c r="BQ120" s="21">
        <f>EXP(-LN(2)/25)*BQ119+(1-EXP(-LN(2)/25))/(LN(2)/25)*Calculateur!BL120*Calculateur!BN120*VLOOKUP('Données projet'!$B$11,Paramètres!$A$1:$I$89,3,0)*0.475*44/12</f>
        <v>30.209008926702044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36.544286145150608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7.0011111111111104</v>
      </c>
      <c r="BY120" s="12">
        <f>IF('Données projet'!$A$114&gt;35,BY119+BX120-CG119,IF(A120&lt;'Données projet'!$A$114,$BV$205^A120,IF(A120='Données projet'!$A$114,'Données projet'!$B$114,BY119+BX120-CG119)))</f>
        <v>280.26444444444439</v>
      </c>
      <c r="BZ120" s="13">
        <f>BY120*VLOOKUP('Données projet'!$B$12,Paramètres!$A$1:$I$89,3,0)*VLOOKUP('Données projet'!$B$12,Paramètres!$A$1:$I$89,5,0)</f>
        <v>284.18814666666663</v>
      </c>
      <c r="CA120" s="13">
        <f t="shared" si="93"/>
        <v>67.851318431342392</v>
      </c>
      <c r="CB120" s="20">
        <f t="shared" si="64"/>
        <v>613.13540171236571</v>
      </c>
      <c r="CC120" s="59">
        <f t="shared" si="65"/>
        <v>906.46873504569908</v>
      </c>
      <c r="CD120" s="59">
        <f ca="1">AVERAGE(OFFSET($CC$3,0,0,'Données projet'!$E$12+1,1))-AVERAGE(OFFSET($H$3,0,0,'Données projet'!$E$12+1,1))</f>
        <v>372.05986520199804</v>
      </c>
      <c r="CE120" s="59">
        <f t="shared" si="94"/>
        <v>184.37981929432044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19.660351434783085</v>
      </c>
      <c r="CL120" s="21">
        <f>EXP(-LN(2)/25)*CL119+(1-EXP(-LN(2)/25))/(LN(2)/25)*Calculateur!CG120*Calculateur!CI120*VLOOKUP('Données projet'!$B$12,Paramètres!$A$1:$I$89,3,0)*0.475*44/12</f>
        <v>24.294347508349873</v>
      </c>
      <c r="CM120" s="21">
        <f>EXP(-LN(2)/2)*CM119+(1-EXP(-LN(2)/2))/(LN(2)/2)*CG120*CJ120*VLOOKUP('Données projet'!$B$12,Paramètres!$A$1:$I$89,3,0)*0.475*44/12</f>
        <v>1.0396660338511694</v>
      </c>
      <c r="CN120" s="22">
        <f t="shared" si="66"/>
        <v>44.994364976984123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8.9160000000000021</v>
      </c>
      <c r="CT120" s="12">
        <f>IF('Données projet'!$A$140&gt;35,CT119+CS120-DB119,IF(A120&lt;'Données projet'!$A$140,$CQ$205^A120,IF(A120='Données projet'!$A$140,'Données projet'!$B$140,CT119+CS120-DB119)))</f>
        <v>389.44800000000072</v>
      </c>
      <c r="CU120" s="17">
        <f>CT120*VLOOKUP('Données projet'!$B$13,Paramètres!$A$1:$I$89,3,0)*VLOOKUP('Données projet'!$B$13,Paramètres!$A$1:$I$89,5,0)</f>
        <v>352.37255040000065</v>
      </c>
      <c r="CV120" s="13">
        <f t="shared" si="95"/>
        <v>82.050851753476593</v>
      </c>
      <c r="CW120" s="20">
        <f t="shared" si="67"/>
        <v>756.62075875063954</v>
      </c>
      <c r="CX120" s="59">
        <f t="shared" si="68"/>
        <v>1049.9540920839729</v>
      </c>
      <c r="CY120" s="59">
        <f ca="1">AVERAGE(OFFSET($CX$3,0,0,'Données projet'!$E$13+1,1))-AVERAGE(OFFSET($H$3,0,0,'Données projet'!$E$13+1,1))</f>
        <v>479.84731392413374</v>
      </c>
      <c r="CZ120" s="59">
        <f t="shared" si="96"/>
        <v>203.57601099841213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34.358212579339472</v>
      </c>
      <c r="DG120" s="21">
        <f>EXP(-LN(2)/25)*DG119+(1-EXP(-LN(2)/25))/(LN(2)/25)*Calculateur!DB120*Calculateur!DD120*VLOOKUP('Données projet'!$B$13,Paramètres!$A$1:$I$89,3,0)*0.475*44/12</f>
        <v>23.723244056375105</v>
      </c>
      <c r="DH120" s="21">
        <f>EXP(-LN(2)/2)*DH119+(1-EXP(-LN(2)/2))/(LN(2)/2)*DB120*DE120*VLOOKUP('Données projet'!$B$13,Paramètres!$A$1:$I$89,3,0)*0.475*44/12</f>
        <v>1.9315036248389501</v>
      </c>
      <c r="DI120" s="22">
        <f t="shared" si="69"/>
        <v>60.012960260553527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293.3333333333353</v>
      </c>
      <c r="S121" s="59">
        <f ca="1">AVERAGE(OFFSET($R$3,0,0,'Données projet'!$E$9+1,1))-AVERAGE(OFFSET($H$3,0,0,'Données projet'!$E$9+1,1))</f>
        <v>322.7909000321435</v>
      </c>
      <c r="T121" s="59">
        <f t="shared" si="88"/>
        <v>403.23516981532316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52.145606116466247</v>
      </c>
      <c r="AA121" s="21">
        <f>EXP(-LN(2)/25)*AA120+(1-EXP(-LN(2)/25))/(LN(2)/25)*Calculateur!V121*Calculateur!X121*VLOOKUP('Données projet'!$B$9,Paramètres!$A$1:$I$89,3,0)*0.475*44/12</f>
        <v>11.053821789889508</v>
      </c>
      <c r="AB121" s="21">
        <f>EXP(-LN(2)/2)*AB120+(1-EXP(-LN(2)/2))/(LN(2)/2)*V121*Y121*VLOOKUP('Données projet'!$B$9,Paramètres!$A$1:$I$89,3,0)*0.475*44/12</f>
        <v>3.5997625459935441E-8</v>
      </c>
      <c r="AC121" s="22">
        <f t="shared" si="57"/>
        <v>63.199427942353374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3.4106051316484809E-13</v>
      </c>
      <c r="AJ121" s="13">
        <f>AI121*VLOOKUP('Données projet'!$B$10,Paramètres!$A$1:$I$89,3,0)*VLOOKUP('Données projet'!$B$10,Paramètres!$A$1:$I$89,5,0)</f>
        <v>1.5961632016114892E-13</v>
      </c>
      <c r="AK121" s="13">
        <f t="shared" si="89"/>
        <v>2.2708641912150958E-12</v>
      </c>
      <c r="AL121" s="20">
        <f t="shared" si="58"/>
        <v>4.2330868906469593E-12</v>
      </c>
      <c r="AM121" s="59">
        <f t="shared" si="59"/>
        <v>293.33333333333752</v>
      </c>
      <c r="AN121" s="59">
        <f ca="1">AVERAGE(OFFSET($AM$3,0,0,'Données projet'!$E$10+1,1))-AVERAGE(OFFSET($H$3,0,0,'Données projet'!$E$10+1,1))</f>
        <v>187.82209112143374</v>
      </c>
      <c r="AO121" s="59">
        <f t="shared" si="90"/>
        <v>158.99136654880203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109.79801338449538</v>
      </c>
      <c r="AV121" s="21">
        <f>EXP(-LN(2)/25)*AV120+(1-EXP(-LN(2)/25))/(LN(2)/25)*Calculateur!AQ121*Calculateur!AS121*VLOOKUP('Données projet'!$B$10,Paramètres!$A$1:$I$89,3,0)*0.475*44/12</f>
        <v>32.634076578938782</v>
      </c>
      <c r="AW121" s="21">
        <f>EXP(-LN(2)/2)*AW120+(1-EXP(-LN(2)/2))/(LN(2)/2)*AQ121*AT121*VLOOKUP('Données projet'!$B$10,Paramètres!$A$1:$I$89,3,0)*0.475*44/12</f>
        <v>1.3915816825958607</v>
      </c>
      <c r="AX121" s="21">
        <f t="shared" si="60"/>
        <v>143.82367164603002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140.32771978791288</v>
      </c>
      <c r="BJ121" s="59">
        <f t="shared" si="92"/>
        <v>135.76866977947634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6.2110462963323423</v>
      </c>
      <c r="BQ121" s="21">
        <f>EXP(-LN(2)/25)*BQ120+(1-EXP(-LN(2)/25))/(LN(2)/25)*Calculateur!BL121*Calculateur!BN121*VLOOKUP('Données projet'!$B$11,Paramètres!$A$1:$I$89,3,0)*0.475*44/12</f>
        <v>29.38294198897864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35.593988285310985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7.0011111111111104</v>
      </c>
      <c r="BY121" s="12">
        <f>IF('Données projet'!$A$114&gt;35,BY120+BX121-CG120,IF(A121&lt;'Données projet'!$A$114,$BV$205^A121,IF(A121='Données projet'!$A$114,'Données projet'!$B$114,BY120+BX121-CG120)))</f>
        <v>287.26555555555552</v>
      </c>
      <c r="BZ121" s="13">
        <f>BY121*VLOOKUP('Données projet'!$B$12,Paramètres!$A$1:$I$89,3,0)*VLOOKUP('Données projet'!$B$12,Paramètres!$A$1:$I$89,5,0)</f>
        <v>291.2872733333333</v>
      </c>
      <c r="CA121" s="13">
        <f t="shared" si="93"/>
        <v>69.346820104270833</v>
      </c>
      <c r="CB121" s="20">
        <f t="shared" si="64"/>
        <v>628.10437940382712</v>
      </c>
      <c r="CC121" s="59">
        <f t="shared" si="65"/>
        <v>921.43771273716038</v>
      </c>
      <c r="CD121" s="59">
        <f ca="1">AVERAGE(OFFSET($CC$3,0,0,'Données projet'!$E$12+1,1))-AVERAGE(OFFSET($H$3,0,0,'Données projet'!$E$12+1,1))</f>
        <v>372.05986520199804</v>
      </c>
      <c r="CE121" s="59">
        <f t="shared" si="94"/>
        <v>184.37981929432044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19.274823934777288</v>
      </c>
      <c r="CL121" s="21">
        <f>EXP(-LN(2)/25)*CL120+(1-EXP(-LN(2)/25))/(LN(2)/25)*Calculateur!CG121*Calculateur!CI121*VLOOKUP('Données projet'!$B$12,Paramètres!$A$1:$I$89,3,0)*0.475*44/12</f>
        <v>23.630017298149834</v>
      </c>
      <c r="CM121" s="21">
        <f>EXP(-LN(2)/2)*CM120+(1-EXP(-LN(2)/2))/(LN(2)/2)*CG121*CJ121*VLOOKUP('Données projet'!$B$12,Paramètres!$A$1:$I$89,3,0)*0.475*44/12</f>
        <v>0.73515490270548456</v>
      </c>
      <c r="CN121" s="22">
        <f t="shared" si="66"/>
        <v>43.639996135632607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8.9160000000000021</v>
      </c>
      <c r="CT121" s="12">
        <f>IF('Données projet'!$A$140&gt;35,CT120+CS121-DB120,IF(A121&lt;'Données projet'!$A$140,$CQ$205^A121,IF(A121='Données projet'!$A$140,'Données projet'!$B$140,CT120+CS121-DB120)))</f>
        <v>398.36400000000071</v>
      </c>
      <c r="CU121" s="17">
        <f>CT121*VLOOKUP('Données projet'!$B$13,Paramètres!$A$1:$I$89,3,0)*VLOOKUP('Données projet'!$B$13,Paramètres!$A$1:$I$89,5,0)</f>
        <v>360.43974720000062</v>
      </c>
      <c r="CV121" s="13">
        <f t="shared" si="95"/>
        <v>83.708472633827739</v>
      </c>
      <c r="CW121" s="20">
        <f t="shared" si="67"/>
        <v>773.55814954391769</v>
      </c>
      <c r="CX121" s="59">
        <f t="shared" si="68"/>
        <v>1066.8914828772511</v>
      </c>
      <c r="CY121" s="59">
        <f ca="1">AVERAGE(OFFSET($CX$3,0,0,'Données projet'!$E$13+1,1))-AVERAGE(OFFSET($H$3,0,0,'Données projet'!$E$13+1,1))</f>
        <v>479.84731392413374</v>
      </c>
      <c r="CZ121" s="59">
        <f t="shared" si="96"/>
        <v>203.57601099841213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33.684468987099024</v>
      </c>
      <c r="DG121" s="21">
        <f>EXP(-LN(2)/25)*DG120+(1-EXP(-LN(2)/25))/(LN(2)/25)*Calculateur!DB121*Calculateur!DD121*VLOOKUP('Données projet'!$B$13,Paramètres!$A$1:$I$89,3,0)*0.475*44/12</f>
        <v>23.074530700102343</v>
      </c>
      <c r="DH121" s="21">
        <f>EXP(-LN(2)/2)*DH120+(1-EXP(-LN(2)/2))/(LN(2)/2)*DB121*DE121*VLOOKUP('Données projet'!$B$13,Paramètres!$A$1:$I$89,3,0)*0.475*44/12</f>
        <v>1.3657793110100189</v>
      </c>
      <c r="DI121" s="22">
        <f t="shared" si="69"/>
        <v>58.124778998211383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293.3333333333353</v>
      </c>
      <c r="S122" s="59">
        <f ca="1">AVERAGE(OFFSET($R$3,0,0,'Données projet'!$E$9+1,1))-AVERAGE(OFFSET($H$3,0,0,'Données projet'!$E$9+1,1))</f>
        <v>322.7909000321435</v>
      </c>
      <c r="T122" s="59">
        <f t="shared" si="88"/>
        <v>403.23516981532316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51.123062586201527</v>
      </c>
      <c r="AA122" s="21">
        <f>EXP(-LN(2)/25)*AA121+(1-EXP(-LN(2)/25))/(LN(2)/25)*Calculateur!V122*Calculateur!X122*VLOOKUP('Données projet'!$B$9,Paramètres!$A$1:$I$89,3,0)*0.475*44/12</f>
        <v>10.751554451749755</v>
      </c>
      <c r="AB122" s="21">
        <f>EXP(-LN(2)/2)*AB121+(1-EXP(-LN(2)/2))/(LN(2)/2)*V122*Y122*VLOOKUP('Données projet'!$B$9,Paramètres!$A$1:$I$89,3,0)*0.475*44/12</f>
        <v>2.5454165069333863E-8</v>
      </c>
      <c r="AC122" s="22">
        <f t="shared" si="57"/>
        <v>61.874617063405445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3.4106051316484809E-13</v>
      </c>
      <c r="AJ122" s="13">
        <f>AI122*VLOOKUP('Données projet'!$B$10,Paramètres!$A$1:$I$89,3,0)*VLOOKUP('Données projet'!$B$10,Paramètres!$A$1:$I$89,5,0)</f>
        <v>1.5961632016114892E-13</v>
      </c>
      <c r="AK122" s="13">
        <f t="shared" si="89"/>
        <v>2.2708641912150958E-12</v>
      </c>
      <c r="AL122" s="20">
        <f t="shared" si="58"/>
        <v>4.2330868906469593E-12</v>
      </c>
      <c r="AM122" s="59">
        <f t="shared" si="59"/>
        <v>293.33333333333752</v>
      </c>
      <c r="AN122" s="59">
        <f ca="1">AVERAGE(OFFSET($AM$3,0,0,'Données projet'!$E$10+1,1))-AVERAGE(OFFSET($H$3,0,0,'Données projet'!$E$10+1,1))</f>
        <v>187.82209112143374</v>
      </c>
      <c r="AO122" s="59">
        <f t="shared" si="90"/>
        <v>158.99136654880203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107.64494131220083</v>
      </c>
      <c r="AV122" s="21">
        <f>EXP(-LN(2)/25)*AV121+(1-EXP(-LN(2)/25))/(LN(2)/25)*Calculateur!AQ122*Calculateur!AS122*VLOOKUP('Données projet'!$B$10,Paramètres!$A$1:$I$89,3,0)*0.475*44/12</f>
        <v>31.741696038736201</v>
      </c>
      <c r="AW122" s="21">
        <f>EXP(-LN(2)/2)*AW121+(1-EXP(-LN(2)/2))/(LN(2)/2)*AQ122*AT122*VLOOKUP('Données projet'!$B$10,Paramètres!$A$1:$I$89,3,0)*0.475*44/12</f>
        <v>0.98399684433851897</v>
      </c>
      <c r="AX122" s="21">
        <f t="shared" si="60"/>
        <v>140.37063419527556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140.32771978791288</v>
      </c>
      <c r="BJ122" s="59">
        <f t="shared" si="92"/>
        <v>135.76866977947634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6.0892514668254361</v>
      </c>
      <c r="BQ122" s="21">
        <f>EXP(-LN(2)/25)*BQ121+(1-EXP(-LN(2)/25))/(LN(2)/25)*Calculateur!BL122*Calculateur!BN122*VLOOKUP('Données projet'!$B$11,Paramètres!$A$1:$I$89,3,0)*0.475*44/12</f>
        <v>28.579463895108255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34.668715361933693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7.0011111111111104</v>
      </c>
      <c r="BY122" s="12">
        <f>IF('Données projet'!$A$114&gt;35,BY121+BX122-CG121,IF(A122&lt;'Données projet'!$A$114,$BV$205^A122,IF(A122='Données projet'!$A$114,'Données projet'!$B$114,BY121+BX122-CG121)))</f>
        <v>294.26666666666665</v>
      </c>
      <c r="BZ122" s="13">
        <f>BY122*VLOOKUP('Données projet'!$B$12,Paramètres!$A$1:$I$89,3,0)*VLOOKUP('Données projet'!$B$12,Paramètres!$A$1:$I$89,5,0)</f>
        <v>298.38640000000004</v>
      </c>
      <c r="CA122" s="13">
        <f t="shared" si="93"/>
        <v>70.838084831776925</v>
      </c>
      <c r="CB122" s="20">
        <f t="shared" si="64"/>
        <v>643.06597774867816</v>
      </c>
      <c r="CC122" s="59">
        <f t="shared" si="65"/>
        <v>936.39931108201154</v>
      </c>
      <c r="CD122" s="59">
        <f ca="1">AVERAGE(OFFSET($CC$3,0,0,'Données projet'!$E$12+1,1))-AVERAGE(OFFSET($H$3,0,0,'Données projet'!$E$12+1,1))</f>
        <v>372.05986520199804</v>
      </c>
      <c r="CE122" s="59">
        <f t="shared" si="94"/>
        <v>184.37981929432044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18.896856393898048</v>
      </c>
      <c r="CL122" s="21">
        <f>EXP(-LN(2)/25)*CL121+(1-EXP(-LN(2)/25))/(LN(2)/25)*Calculateur!CG122*Calculateur!CI122*VLOOKUP('Données projet'!$B$12,Paramètres!$A$1:$I$89,3,0)*0.475*44/12</f>
        <v>22.983853232483323</v>
      </c>
      <c r="CM122" s="21">
        <f>EXP(-LN(2)/2)*CM121+(1-EXP(-LN(2)/2))/(LN(2)/2)*CG122*CJ122*VLOOKUP('Données projet'!$B$12,Paramètres!$A$1:$I$89,3,0)*0.475*44/12</f>
        <v>0.5198330169255847</v>
      </c>
      <c r="CN122" s="22">
        <f t="shared" si="66"/>
        <v>42.400542643306963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8.9160000000000021</v>
      </c>
      <c r="CT122" s="12">
        <f>IF('Données projet'!$A$140&gt;35,CT121+CS122-DB121,IF(A122&lt;'Données projet'!$A$140,$CQ$205^A122,IF(A122='Données projet'!$A$140,'Données projet'!$B$140,CT121+CS122-DB121)))</f>
        <v>407.28000000000071</v>
      </c>
      <c r="CU122" s="17">
        <f>CT122*VLOOKUP('Données projet'!$B$13,Paramètres!$A$1:$I$89,3,0)*VLOOKUP('Données projet'!$B$13,Paramètres!$A$1:$I$89,5,0)</f>
        <v>368.5069440000006</v>
      </c>
      <c r="CV122" s="13">
        <f t="shared" si="95"/>
        <v>85.361780301252097</v>
      </c>
      <c r="CW122" s="20">
        <f t="shared" si="67"/>
        <v>790.48802815801503</v>
      </c>
      <c r="CX122" s="59">
        <f t="shared" si="68"/>
        <v>1083.8213614913484</v>
      </c>
      <c r="CY122" s="59">
        <f ca="1">AVERAGE(OFFSET($CX$3,0,0,'Données projet'!$E$13+1,1))-AVERAGE(OFFSET($H$3,0,0,'Données projet'!$E$13+1,1))</f>
        <v>479.84731392413374</v>
      </c>
      <c r="CZ122" s="59">
        <f t="shared" si="96"/>
        <v>203.57601099841213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33.023937095759393</v>
      </c>
      <c r="DG122" s="21">
        <f>EXP(-LN(2)/25)*DG121+(1-EXP(-LN(2)/25))/(LN(2)/25)*Calculateur!DB122*Calculateur!DD122*VLOOKUP('Données projet'!$B$13,Paramètres!$A$1:$I$89,3,0)*0.475*44/12</f>
        <v>22.443556444671213</v>
      </c>
      <c r="DH122" s="21">
        <f>EXP(-LN(2)/2)*DH121+(1-EXP(-LN(2)/2))/(LN(2)/2)*DB122*DE122*VLOOKUP('Données projet'!$B$13,Paramètres!$A$1:$I$89,3,0)*0.475*44/12</f>
        <v>0.96575181241947516</v>
      </c>
      <c r="DI122" s="22">
        <f t="shared" si="69"/>
        <v>56.433245352850086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293.3333333333353</v>
      </c>
      <c r="S123" s="59">
        <f ca="1">AVERAGE(OFFSET($R$3,0,0,'Données projet'!$E$9+1,1))-AVERAGE(OFFSET($H$3,0,0,'Données projet'!$E$9+1,1))</f>
        <v>322.7909000321435</v>
      </c>
      <c r="T123" s="59">
        <f t="shared" si="88"/>
        <v>403.23516981532316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50.120570510875325</v>
      </c>
      <c r="AA123" s="21">
        <f>EXP(-LN(2)/25)*AA122+(1-EXP(-LN(2)/25))/(LN(2)/25)*Calculateur!V123*Calculateur!X123*VLOOKUP('Données projet'!$B$9,Paramètres!$A$1:$I$89,3,0)*0.475*44/12</f>
        <v>10.457552629866981</v>
      </c>
      <c r="AB123" s="21">
        <f>EXP(-LN(2)/2)*AB122+(1-EXP(-LN(2)/2))/(LN(2)/2)*V123*Y123*VLOOKUP('Données projet'!$B$9,Paramètres!$A$1:$I$89,3,0)*0.475*44/12</f>
        <v>1.7998812729967721E-8</v>
      </c>
      <c r="AC123" s="22">
        <f t="shared" si="57"/>
        <v>60.578123158741121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3.4106051316484809E-13</v>
      </c>
      <c r="AJ123" s="13">
        <f>AI123*VLOOKUP('Données projet'!$B$10,Paramètres!$A$1:$I$89,3,0)*VLOOKUP('Données projet'!$B$10,Paramètres!$A$1:$I$89,5,0)</f>
        <v>1.5961632016114892E-13</v>
      </c>
      <c r="AK123" s="13">
        <f t="shared" si="89"/>
        <v>2.2708641912150958E-12</v>
      </c>
      <c r="AL123" s="20">
        <f t="shared" si="58"/>
        <v>4.2330868906469593E-12</v>
      </c>
      <c r="AM123" s="59">
        <f t="shared" si="59"/>
        <v>293.33333333333752</v>
      </c>
      <c r="AN123" s="59">
        <f ca="1">AVERAGE(OFFSET($AM$3,0,0,'Données projet'!$E$10+1,1))-AVERAGE(OFFSET($H$3,0,0,'Données projet'!$E$10+1,1))</f>
        <v>187.82209112143374</v>
      </c>
      <c r="AO123" s="59">
        <f t="shared" si="90"/>
        <v>158.99136654880203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105.53408966999969</v>
      </c>
      <c r="AV123" s="21">
        <f>EXP(-LN(2)/25)*AV122+(1-EXP(-LN(2)/25))/(LN(2)/25)*Calculateur!AQ123*Calculateur!AS123*VLOOKUP('Données projet'!$B$10,Paramètres!$A$1:$I$89,3,0)*0.475*44/12</f>
        <v>30.873717691333713</v>
      </c>
      <c r="AW123" s="21">
        <f>EXP(-LN(2)/2)*AW122+(1-EXP(-LN(2)/2))/(LN(2)/2)*AQ123*AT123*VLOOKUP('Données projet'!$B$10,Paramètres!$A$1:$I$89,3,0)*0.475*44/12</f>
        <v>0.69579084129793045</v>
      </c>
      <c r="AX123" s="21">
        <f t="shared" si="60"/>
        <v>137.10359820263133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140.32771978791288</v>
      </c>
      <c r="BJ123" s="59">
        <f t="shared" si="92"/>
        <v>135.76866977947634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5.9698449596376495</v>
      </c>
      <c r="BQ123" s="21">
        <f>EXP(-LN(2)/25)*BQ122+(1-EXP(-LN(2)/25))/(LN(2)/25)*Calculateur!BL123*Calculateur!BN123*VLOOKUP('Données projet'!$B$11,Paramètres!$A$1:$I$89,3,0)*0.475*44/12</f>
        <v>27.797956951967834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33.767801911605481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7.0011111111111104</v>
      </c>
      <c r="BY123" s="12">
        <f>IF('Données projet'!$A$114&gt;35,BY122+BX123-CG122,IF(A123&lt;'Données projet'!$A$114,$BV$205^A123,IF(A123='Données projet'!$A$114,'Données projet'!$B$114,BY122+BX123-CG122)))</f>
        <v>301.26777777777778</v>
      </c>
      <c r="BZ123" s="13">
        <f>BY123*VLOOKUP('Données projet'!$B$12,Paramètres!$A$1:$I$89,3,0)*VLOOKUP('Données projet'!$B$12,Paramètres!$A$1:$I$89,5,0)</f>
        <v>305.48552666666666</v>
      </c>
      <c r="CA123" s="13">
        <f t="shared" si="93"/>
        <v>72.325225017462003</v>
      </c>
      <c r="CB123" s="20">
        <f t="shared" si="64"/>
        <v>658.020392516524</v>
      </c>
      <c r="CC123" s="59">
        <f t="shared" si="65"/>
        <v>951.35372584985726</v>
      </c>
      <c r="CD123" s="59">
        <f ca="1">AVERAGE(OFFSET($CC$3,0,0,'Données projet'!$E$12+1,1))-AVERAGE(OFFSET($H$3,0,0,'Données projet'!$E$12+1,1))</f>
        <v>372.05986520199804</v>
      </c>
      <c r="CE123" s="59">
        <f t="shared" si="94"/>
        <v>184.37981929432044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18.526300565958014</v>
      </c>
      <c r="CL123" s="21">
        <f>EXP(-LN(2)/25)*CL122+(1-EXP(-LN(2)/25))/(LN(2)/25)*Calculateur!CG123*Calculateur!CI123*VLOOKUP('Données projet'!$B$12,Paramètres!$A$1:$I$89,3,0)*0.475*44/12</f>
        <v>22.355358557172757</v>
      </c>
      <c r="CM123" s="21">
        <f>EXP(-LN(2)/2)*CM122+(1-EXP(-LN(2)/2))/(LN(2)/2)*CG123*CJ123*VLOOKUP('Données projet'!$B$12,Paramètres!$A$1:$I$89,3,0)*0.475*44/12</f>
        <v>0.36757745135274228</v>
      </c>
      <c r="CN123" s="22">
        <f t="shared" si="66"/>
        <v>41.249236574483518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8.9160000000000021</v>
      </c>
      <c r="CT123" s="12">
        <f>IF('Données projet'!$A$140&gt;35,CT122+CS123-DB122,IF(A123&lt;'Données projet'!$A$140,$CQ$205^A123,IF(A123='Données projet'!$A$140,'Données projet'!$B$140,CT122+CS123-DB122)))</f>
        <v>416.19600000000071</v>
      </c>
      <c r="CU123" s="17">
        <f>CT123*VLOOKUP('Données projet'!$B$13,Paramètres!$A$1:$I$89,3,0)*VLOOKUP('Données projet'!$B$13,Paramètres!$A$1:$I$89,5,0)</f>
        <v>376.57414080000063</v>
      </c>
      <c r="CV123" s="13">
        <f t="shared" si="95"/>
        <v>87.010880052402811</v>
      </c>
      <c r="CW123" s="20">
        <f t="shared" si="67"/>
        <v>807.41057798460258</v>
      </c>
      <c r="CX123" s="59">
        <f t="shared" si="68"/>
        <v>1100.743911317936</v>
      </c>
      <c r="CY123" s="59">
        <f ca="1">AVERAGE(OFFSET($CX$3,0,0,'Données projet'!$E$13+1,1))-AVERAGE(OFFSET($H$3,0,0,'Données projet'!$E$13+1,1))</f>
        <v>479.84731392413374</v>
      </c>
      <c r="CZ123" s="59">
        <f t="shared" si="96"/>
        <v>203.57601099841213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32.37635783192426</v>
      </c>
      <c r="DG123" s="21">
        <f>EXP(-LN(2)/25)*DG122+(1-EXP(-LN(2)/25))/(LN(2)/25)*Calculateur!DB123*Calculateur!DD123*VLOOKUP('Données projet'!$B$13,Paramètres!$A$1:$I$89,3,0)*0.475*44/12</f>
        <v>21.829836213436341</v>
      </c>
      <c r="DH123" s="21">
        <f>EXP(-LN(2)/2)*DH122+(1-EXP(-LN(2)/2))/(LN(2)/2)*DB123*DE123*VLOOKUP('Données projet'!$B$13,Paramètres!$A$1:$I$89,3,0)*0.475*44/12</f>
        <v>0.68288965550500957</v>
      </c>
      <c r="DI123" s="22">
        <f t="shared" si="69"/>
        <v>54.889083700865612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293.3333333333353</v>
      </c>
      <c r="S124" s="59">
        <f ca="1">AVERAGE(OFFSET($R$3,0,0,'Données projet'!$E$9+1,1))-AVERAGE(OFFSET($H$3,0,0,'Données projet'!$E$9+1,1))</f>
        <v>322.7909000321435</v>
      </c>
      <c r="T124" s="59">
        <f t="shared" si="88"/>
        <v>403.23516981532316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49.137736693686485</v>
      </c>
      <c r="AA124" s="21">
        <f>EXP(-LN(2)/25)*AA123+(1-EXP(-LN(2)/25))/(LN(2)/25)*Calculateur!V124*Calculateur!X124*VLOOKUP('Données projet'!$B$9,Paramètres!$A$1:$I$89,3,0)*0.475*44/12</f>
        <v>10.171590303264477</v>
      </c>
      <c r="AB124" s="21">
        <f>EXP(-LN(2)/2)*AB123+(1-EXP(-LN(2)/2))/(LN(2)/2)*V124*Y124*VLOOKUP('Données projet'!$B$9,Paramètres!$A$1:$I$89,3,0)*0.475*44/12</f>
        <v>1.2727082534666931E-8</v>
      </c>
      <c r="AC124" s="22">
        <f t="shared" si="57"/>
        <v>59.309327009678043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3.4106051316484809E-13</v>
      </c>
      <c r="AJ124" s="13">
        <f>AI124*VLOOKUP('Données projet'!$B$10,Paramètres!$A$1:$I$89,3,0)*VLOOKUP('Données projet'!$B$10,Paramètres!$A$1:$I$89,5,0)</f>
        <v>1.5961632016114892E-13</v>
      </c>
      <c r="AK124" s="13">
        <f t="shared" si="89"/>
        <v>2.2708641912150958E-12</v>
      </c>
      <c r="AL124" s="20">
        <f t="shared" si="58"/>
        <v>4.2330868906469593E-12</v>
      </c>
      <c r="AM124" s="59">
        <f t="shared" si="59"/>
        <v>293.33333333333752</v>
      </c>
      <c r="AN124" s="59">
        <f ca="1">AVERAGE(OFFSET($AM$3,0,0,'Données projet'!$E$10+1,1))-AVERAGE(OFFSET($H$3,0,0,'Données projet'!$E$10+1,1))</f>
        <v>187.82209112143374</v>
      </c>
      <c r="AO124" s="59">
        <f t="shared" si="90"/>
        <v>158.99136654880203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103.46463054100974</v>
      </c>
      <c r="AV124" s="21">
        <f>EXP(-LN(2)/25)*AV123+(1-EXP(-LN(2)/25))/(LN(2)/25)*Calculateur!AQ124*Calculateur!AS124*VLOOKUP('Données projet'!$B$10,Paramètres!$A$1:$I$89,3,0)*0.475*44/12</f>
        <v>30.029474257485941</v>
      </c>
      <c r="AW124" s="21">
        <f>EXP(-LN(2)/2)*AW123+(1-EXP(-LN(2)/2))/(LN(2)/2)*AQ124*AT124*VLOOKUP('Données projet'!$B$10,Paramètres!$A$1:$I$89,3,0)*0.475*44/12</f>
        <v>0.49199842216925954</v>
      </c>
      <c r="AX124" s="21">
        <f t="shared" si="60"/>
        <v>133.98610322066492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140.32771978791288</v>
      </c>
      <c r="BJ124" s="59">
        <f t="shared" si="92"/>
        <v>135.76866977947634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5.8527799412250374</v>
      </c>
      <c r="BQ124" s="21">
        <f>EXP(-LN(2)/25)*BQ123+(1-EXP(-LN(2)/25))/(LN(2)/25)*Calculateur!BL124*Calculateur!BN124*VLOOKUP('Données projet'!$B$11,Paramètres!$A$1:$I$89,3,0)*0.475*44/12</f>
        <v>27.037820357285248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32.890600298510286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7.0011111111111104</v>
      </c>
      <c r="BY124" s="12">
        <f>IF('Données projet'!$A$114&gt;35,BY123+BX124-CG123,IF(A124&lt;'Données projet'!$A$114,$BV$205^A124,IF(A124='Données projet'!$A$114,'Données projet'!$B$114,BY123+BX124-CG123)))</f>
        <v>308.26888888888891</v>
      </c>
      <c r="BZ124" s="13">
        <f>BY124*VLOOKUP('Données projet'!$B$12,Paramètres!$A$1:$I$89,3,0)*VLOOKUP('Données projet'!$B$12,Paramètres!$A$1:$I$89,5,0)</f>
        <v>312.58465333333339</v>
      </c>
      <c r="CA124" s="13">
        <f t="shared" si="93"/>
        <v>73.808347542593367</v>
      </c>
      <c r="CB124" s="20">
        <f t="shared" si="64"/>
        <v>672.96780985890575</v>
      </c>
      <c r="CC124" s="59">
        <f t="shared" si="65"/>
        <v>966.30114319223912</v>
      </c>
      <c r="CD124" s="59">
        <f ca="1">AVERAGE(OFFSET($CC$3,0,0,'Données projet'!$E$12+1,1))-AVERAGE(OFFSET($H$3,0,0,'Données projet'!$E$12+1,1))</f>
        <v>372.05986520199804</v>
      </c>
      <c r="CE124" s="59">
        <f t="shared" si="94"/>
        <v>184.37981929432044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18.163011111787146</v>
      </c>
      <c r="CL124" s="21">
        <f>EXP(-LN(2)/25)*CL123+(1-EXP(-LN(2)/25))/(LN(2)/25)*Calculateur!CG124*Calculateur!CI124*VLOOKUP('Données projet'!$B$12,Paramètres!$A$1:$I$89,3,0)*0.475*44/12</f>
        <v>21.744050101809655</v>
      </c>
      <c r="CM124" s="21">
        <f>EXP(-LN(2)/2)*CM123+(1-EXP(-LN(2)/2))/(LN(2)/2)*CG124*CJ124*VLOOKUP('Données projet'!$B$12,Paramètres!$A$1:$I$89,3,0)*0.475*44/12</f>
        <v>0.25991650846279235</v>
      </c>
      <c r="CN124" s="22">
        <f t="shared" si="66"/>
        <v>40.166977722059599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8.9160000000000021</v>
      </c>
      <c r="CT124" s="12">
        <f>IF('Données projet'!$A$140&gt;35,CT123+CS124-DB123,IF(A124&lt;'Données projet'!$A$140,$CQ$205^A124,IF(A124='Données projet'!$A$140,'Données projet'!$B$140,CT123+CS124-DB123)))</f>
        <v>425.11200000000071</v>
      </c>
      <c r="CU124" s="17">
        <f>CT124*VLOOKUP('Données projet'!$B$13,Paramètres!$A$1:$I$89,3,0)*VLOOKUP('Données projet'!$B$13,Paramètres!$A$1:$I$89,5,0)</f>
        <v>384.64133760000061</v>
      </c>
      <c r="CV124" s="13">
        <f t="shared" si="95"/>
        <v>88.65587241476193</v>
      </c>
      <c r="CW124" s="20">
        <f t="shared" si="67"/>
        <v>824.32597410904464</v>
      </c>
      <c r="CX124" s="59">
        <f t="shared" si="68"/>
        <v>1117.6593074423779</v>
      </c>
      <c r="CY124" s="59">
        <f ca="1">AVERAGE(OFFSET($CX$3,0,0,'Données projet'!$E$13+1,1))-AVERAGE(OFFSET($H$3,0,0,'Données projet'!$E$13+1,1))</f>
        <v>479.84731392413374</v>
      </c>
      <c r="CZ124" s="59">
        <f t="shared" si="96"/>
        <v>203.57601099841213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31.741477202468587</v>
      </c>
      <c r="DG124" s="21">
        <f>EXP(-LN(2)/25)*DG123+(1-EXP(-LN(2)/25))/(LN(2)/25)*Calculateur!DB124*Calculateur!DD124*VLOOKUP('Données projet'!$B$13,Paramètres!$A$1:$I$89,3,0)*0.475*44/12</f>
        <v>21.232898194198729</v>
      </c>
      <c r="DH124" s="21">
        <f>EXP(-LN(2)/2)*DH123+(1-EXP(-LN(2)/2))/(LN(2)/2)*DB124*DE124*VLOOKUP('Données projet'!$B$13,Paramètres!$A$1:$I$89,3,0)*0.475*44/12</f>
        <v>0.48287590620973764</v>
      </c>
      <c r="DI124" s="22">
        <f t="shared" si="69"/>
        <v>53.457251302877047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293.3333333333353</v>
      </c>
      <c r="S125" s="59">
        <f ca="1">AVERAGE(OFFSET($R$3,0,0,'Données projet'!$E$9+1,1))-AVERAGE(OFFSET($H$3,0,0,'Données projet'!$E$9+1,1))</f>
        <v>322.7909000321435</v>
      </c>
      <c r="T125" s="59">
        <f t="shared" si="88"/>
        <v>403.23516981532316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48.174175648183279</v>
      </c>
      <c r="AA125" s="21">
        <f>EXP(-LN(2)/25)*AA124+(1-EXP(-LN(2)/25))/(LN(2)/25)*Calculateur!V125*Calculateur!X125*VLOOKUP('Données projet'!$B$9,Paramètres!$A$1:$I$89,3,0)*0.475*44/12</f>
        <v>9.8934476315210222</v>
      </c>
      <c r="AB125" s="21">
        <f>EXP(-LN(2)/2)*AB124+(1-EXP(-LN(2)/2))/(LN(2)/2)*V125*Y125*VLOOKUP('Données projet'!$B$9,Paramètres!$A$1:$I$89,3,0)*0.475*44/12</f>
        <v>8.9994063649838603E-9</v>
      </c>
      <c r="AC125" s="22">
        <f t="shared" si="57"/>
        <v>58.067623288703707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3.4106051316484809E-13</v>
      </c>
      <c r="AJ125" s="13">
        <f>AI125*VLOOKUP('Données projet'!$B$10,Paramètres!$A$1:$I$89,3,0)*VLOOKUP('Données projet'!$B$10,Paramètres!$A$1:$I$89,5,0)</f>
        <v>1.5961632016114892E-13</v>
      </c>
      <c r="AK125" s="13">
        <f t="shared" si="89"/>
        <v>2.2708641912150958E-12</v>
      </c>
      <c r="AL125" s="20">
        <f t="shared" si="58"/>
        <v>4.2330868906469593E-12</v>
      </c>
      <c r="AM125" s="59">
        <f t="shared" si="59"/>
        <v>293.33333333333752</v>
      </c>
      <c r="AN125" s="59">
        <f ca="1">AVERAGE(OFFSET($AM$3,0,0,'Données projet'!$E$10+1,1))-AVERAGE(OFFSET($H$3,0,0,'Données projet'!$E$10+1,1))</f>
        <v>187.82209112143374</v>
      </c>
      <c r="AO125" s="59">
        <f t="shared" si="90"/>
        <v>158.99136654880203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101.43575224329385</v>
      </c>
      <c r="AV125" s="21">
        <f>EXP(-LN(2)/25)*AV124+(1-EXP(-LN(2)/25))/(LN(2)/25)*Calculateur!AQ125*Calculateur!AS125*VLOOKUP('Données projet'!$B$10,Paramètres!$A$1:$I$89,3,0)*0.475*44/12</f>
        <v>29.208316704733569</v>
      </c>
      <c r="AW125" s="21">
        <f>EXP(-LN(2)/2)*AW124+(1-EXP(-LN(2)/2))/(LN(2)/2)*AQ125*AT125*VLOOKUP('Données projet'!$B$10,Paramètres!$A$1:$I$89,3,0)*0.475*44/12</f>
        <v>0.34789542064896528</v>
      </c>
      <c r="AX125" s="21">
        <f t="shared" si="60"/>
        <v>130.99196436867638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140.32771978791288</v>
      </c>
      <c r="BJ125" s="59">
        <f t="shared" si="92"/>
        <v>135.76866977947634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5.7380104964208858</v>
      </c>
      <c r="BQ125" s="21">
        <f>EXP(-LN(2)/25)*BQ124+(1-EXP(-LN(2)/25))/(LN(2)/25)*Calculateur!BL125*Calculateur!BN125*VLOOKUP('Données projet'!$B$11,Paramètres!$A$1:$I$89,3,0)*0.475*44/12</f>
        <v>26.298469737758108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32.036480234178995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>
        <f>VLOOKUP(A125,'Données projet'!$A$113:$I$133,2,0)</f>
        <v>315.27</v>
      </c>
      <c r="BW125" s="12">
        <f>VLOOKUP(A125,'Données projet'!$A$113:$I$133,9,0)</f>
        <v>7.0011111111111104</v>
      </c>
      <c r="BX125" s="12">
        <f t="array" ref="BX125">INDEX(BW:BW,MIN(IF(ISNUMBER(BW125:BW321),ROW(BW125:BW321),"")))</f>
        <v>7.0011111111111104</v>
      </c>
      <c r="BY125" s="12">
        <f>IF('Données projet'!$A$114&gt;35,BY124+BX125-CG124,IF(A125&lt;'Données projet'!$A$114,$BV$205^A125,IF(A125='Données projet'!$A$114,'Données projet'!$B$114,BY124+BX125-CG124)))</f>
        <v>315.27000000000004</v>
      </c>
      <c r="BZ125" s="13">
        <f>BY125*VLOOKUP('Données projet'!$B$12,Paramètres!$A$1:$I$89,3,0)*VLOOKUP('Données projet'!$B$12,Paramètres!$A$1:$I$89,5,0)</f>
        <v>319.68378000000007</v>
      </c>
      <c r="CA125" s="13">
        <f t="shared" si="93"/>
        <v>75.287554156575837</v>
      </c>
      <c r="CB125" s="20">
        <f t="shared" si="64"/>
        <v>687.90840698936972</v>
      </c>
      <c r="CC125" s="59">
        <f t="shared" si="65"/>
        <v>981.24174032270298</v>
      </c>
      <c r="CD125" s="59">
        <f ca="1">AVERAGE(OFFSET($CC$3,0,0,'Données projet'!$E$12+1,1))-AVERAGE(OFFSET($H$3,0,0,'Données projet'!$E$12+1,1))</f>
        <v>372.05986520199804</v>
      </c>
      <c r="CE125" s="59">
        <f t="shared" si="94"/>
        <v>184.37981929432044</v>
      </c>
      <c r="CF125" s="15">
        <f>IF(ISNA(VLOOKUP(A125,'Données projet'!$A$113:$I$133,3,0)),0,VLOOKUP(A125,'Données projet'!$A$113:$I$133,3,0))</f>
        <v>8</v>
      </c>
      <c r="CG125" s="15">
        <f>IF(ISNA(VLOOKUP(A125,'Données projet'!$A$113:$I$133,4,0)),0,VLOOKUP(A125,'Données projet'!$A$113:$I$133,4,0))</f>
        <v>45.829999999999984</v>
      </c>
      <c r="CH125" s="16">
        <f>IF(ISNA(VLOOKUP(A125,'Données projet'!$A$113:$I$133,5,0)),0%,VLOOKUP(A125,'Données projet'!$A$113:$I$133,5,0)*VLOOKUP('Données projet'!$B$12,Paramètres!$A$1:$I$89,7,0))</f>
        <v>0.15049999999999999</v>
      </c>
      <c r="CI125" s="16">
        <f>IF(ISNA(VLOOKUP(A125,'Données projet'!$A$113:$I$133,6,0)),0%,VLOOKUP(A125,'Données projet'!$A$113:$I$133,6,0)*VLOOKUP('Données projet'!$B$12,Paramètres!$A$1:$I$89,7,0))</f>
        <v>8.6000000000000007E-2</v>
      </c>
      <c r="CJ125" s="16">
        <f>IF(ISNA(VLOOKUP(A125,'Données projet'!$A$113:$I$133,7,0)),0%,VLOOKUP(A125,'Données projet'!$A$113:$I$133,7,0))</f>
        <v>0.1</v>
      </c>
      <c r="CK125" s="21">
        <f>EXP(-LN(2)/35)*CK124+(1-EXP(-LN(2)/35))/(LN(2)/35)*CG125*CH125*VLOOKUP('Données projet'!$B$12,Paramètres!$A$1:$I$89,3,0)*0.475*44/12</f>
        <v>25.538481951763991</v>
      </c>
      <c r="CL125" s="21">
        <f>EXP(-LN(2)/25)*CL124+(1-EXP(-LN(2)/25))/(LN(2)/25)*Calculateur!CG125*Calculateur!CI125*VLOOKUP('Données projet'!$B$12,Paramètres!$A$1:$I$89,3,0)*0.475*44/12</f>
        <v>25.550140200309961</v>
      </c>
      <c r="CM125" s="21">
        <f>EXP(-LN(2)/2)*CM124+(1-EXP(-LN(2)/2))/(LN(2)/2)*CG125*CJ125*VLOOKUP('Données projet'!$B$12,Paramètres!$A$1:$I$89,3,0)*0.475*44/12</f>
        <v>4.568511149207775</v>
      </c>
      <c r="CN125" s="22">
        <f t="shared" si="66"/>
        <v>55.657133301281725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8.9160000000000021</v>
      </c>
      <c r="CT125" s="12">
        <f>IF('Données projet'!$A$140&gt;35,CT124+CS125-DB124,IF(A125&lt;'Données projet'!$A$140,$CQ$205^A125,IF(A125='Données projet'!$A$140,'Données projet'!$B$140,CT124+CS125-DB124)))</f>
        <v>434.0280000000007</v>
      </c>
      <c r="CU125" s="17">
        <f>CT125*VLOOKUP('Données projet'!$B$13,Paramètres!$A$1:$I$89,3,0)*VLOOKUP('Données projet'!$B$13,Paramètres!$A$1:$I$89,5,0)</f>
        <v>392.70853440000059</v>
      </c>
      <c r="CV125" s="13">
        <f t="shared" si="95"/>
        <v>90.296853458070288</v>
      </c>
      <c r="CW125" s="20">
        <f t="shared" si="67"/>
        <v>841.23438385280679</v>
      </c>
      <c r="CX125" s="59">
        <f t="shared" si="68"/>
        <v>1134.56771718614</v>
      </c>
      <c r="CY125" s="59">
        <f ca="1">AVERAGE(OFFSET($CX$3,0,0,'Données projet'!$E$13+1,1))-AVERAGE(OFFSET($H$3,0,0,'Données projet'!$E$13+1,1))</f>
        <v>479.84731392413374</v>
      </c>
      <c r="CZ125" s="59">
        <f t="shared" si="96"/>
        <v>203.57601099841213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31.11904619491759</v>
      </c>
      <c r="DG125" s="21">
        <f>EXP(-LN(2)/25)*DG124+(1-EXP(-LN(2)/25))/(LN(2)/25)*Calculateur!DB125*Calculateur!DD125*VLOOKUP('Données projet'!$B$13,Paramètres!$A$1:$I$89,3,0)*0.475*44/12</f>
        <v>20.652283476488776</v>
      </c>
      <c r="DH125" s="21">
        <f>EXP(-LN(2)/2)*DH124+(1-EXP(-LN(2)/2))/(LN(2)/2)*DB125*DE125*VLOOKUP('Données projet'!$B$13,Paramètres!$A$1:$I$89,3,0)*0.475*44/12</f>
        <v>0.34144482775250484</v>
      </c>
      <c r="DI125" s="22">
        <f t="shared" si="69"/>
        <v>52.112774499158867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293.3333333333353</v>
      </c>
      <c r="S126" s="59">
        <f ca="1">AVERAGE(OFFSET($R$3,0,0,'Données projet'!$E$9+1,1))-AVERAGE(OFFSET($H$3,0,0,'Données projet'!$E$9+1,1))</f>
        <v>322.7909000321435</v>
      </c>
      <c r="T126" s="59">
        <f t="shared" si="88"/>
        <v>403.23516981532316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47.229509447068189</v>
      </c>
      <c r="AA126" s="21">
        <f>EXP(-LN(2)/25)*AA125+(1-EXP(-LN(2)/25))/(LN(2)/25)*Calculateur!V126*Calculateur!X126*VLOOKUP('Données projet'!$B$9,Paramètres!$A$1:$I$89,3,0)*0.475*44/12</f>
        <v>9.6229107857632812</v>
      </c>
      <c r="AB126" s="21">
        <f>EXP(-LN(2)/2)*AB125+(1-EXP(-LN(2)/2))/(LN(2)/2)*V126*Y126*VLOOKUP('Données projet'!$B$9,Paramètres!$A$1:$I$89,3,0)*0.475*44/12</f>
        <v>6.3635412673334656E-9</v>
      </c>
      <c r="AC126" s="22">
        <f t="shared" si="57"/>
        <v>56.852420239195013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3.4106051316484809E-13</v>
      </c>
      <c r="AJ126" s="13">
        <f>AI126*VLOOKUP('Données projet'!$B$10,Paramètres!$A$1:$I$89,3,0)*VLOOKUP('Données projet'!$B$10,Paramètres!$A$1:$I$89,5,0)</f>
        <v>1.5961632016114892E-13</v>
      </c>
      <c r="AK126" s="13">
        <f t="shared" si="89"/>
        <v>2.2708641912150958E-12</v>
      </c>
      <c r="AL126" s="20">
        <f t="shared" si="58"/>
        <v>4.2330868906469593E-12</v>
      </c>
      <c r="AM126" s="59">
        <f t="shared" si="59"/>
        <v>293.33333333333752</v>
      </c>
      <c r="AN126" s="59">
        <f ca="1">AVERAGE(OFFSET($AM$3,0,0,'Données projet'!$E$10+1,1))-AVERAGE(OFFSET($H$3,0,0,'Données projet'!$E$10+1,1))</f>
        <v>187.82209112143374</v>
      </c>
      <c r="AO126" s="59">
        <f t="shared" si="90"/>
        <v>158.99136654880203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99.446659011502604</v>
      </c>
      <c r="AV126" s="21">
        <f>EXP(-LN(2)/25)*AV125+(1-EXP(-LN(2)/25))/(LN(2)/25)*Calculateur!AQ126*Calculateur!AS126*VLOOKUP('Données projet'!$B$10,Paramètres!$A$1:$I$89,3,0)*0.475*44/12</f>
        <v>28.409613748444009</v>
      </c>
      <c r="AW126" s="21">
        <f>EXP(-LN(2)/2)*AW125+(1-EXP(-LN(2)/2))/(LN(2)/2)*AQ126*AT126*VLOOKUP('Données projet'!$B$10,Paramètres!$A$1:$I$89,3,0)*0.475*44/12</f>
        <v>0.24599921108462983</v>
      </c>
      <c r="AX126" s="21">
        <f t="shared" si="60"/>
        <v>128.10227197103126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140.32771978791288</v>
      </c>
      <c r="BJ126" s="59">
        <f t="shared" si="92"/>
        <v>135.76866977947634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5.6254916104268942</v>
      </c>
      <c r="BQ126" s="21">
        <f>EXP(-LN(2)/25)*BQ125+(1-EXP(-LN(2)/25))/(LN(2)/25)*Calculateur!BL126*Calculateur!BN126*VLOOKUP('Données projet'!$B$11,Paramètres!$A$1:$I$89,3,0)*0.475*44/12</f>
        <v>25.579336699802695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31.20482831022959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7.1129999999999995</v>
      </c>
      <c r="BY126" s="12">
        <f>IF('Données projet'!$A$114&gt;35,BY125+BX126-CG125,IF(A126&lt;'Données projet'!$A$114,$BV$205^A126,IF(A126='Données projet'!$A$114,'Données projet'!$B$114,BY125+BX126-CG125)))</f>
        <v>276.55300000000005</v>
      </c>
      <c r="BZ126" s="13">
        <f>BY126*VLOOKUP('Données projet'!$B$12,Paramètres!$A$1:$I$89,3,0)*VLOOKUP('Données projet'!$B$12,Paramètres!$A$1:$I$89,5,0)</f>
        <v>280.42474200000009</v>
      </c>
      <c r="CA126" s="13">
        <f t="shared" si="93"/>
        <v>67.056761155527383</v>
      </c>
      <c r="CB126" s="20">
        <f t="shared" si="64"/>
        <v>605.19695132921026</v>
      </c>
      <c r="CC126" s="59">
        <f t="shared" si="65"/>
        <v>898.53028466254364</v>
      </c>
      <c r="CD126" s="59">
        <f ca="1">AVERAGE(OFFSET($CC$3,0,0,'Données projet'!$E$12+1,1))-AVERAGE(OFFSET($H$3,0,0,'Données projet'!$E$12+1,1))</f>
        <v>372.05986520199804</v>
      </c>
      <c r="CE126" s="59">
        <f t="shared" si="94"/>
        <v>184.37981929432044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25.037687897625794</v>
      </c>
      <c r="CL126" s="21">
        <f>EXP(-LN(2)/25)*CL125+(1-EXP(-LN(2)/25))/(LN(2)/25)*Calculateur!CG126*Calculateur!CI126*VLOOKUP('Données projet'!$B$12,Paramètres!$A$1:$I$89,3,0)*0.475*44/12</f>
        <v>24.851470272909008</v>
      </c>
      <c r="CM126" s="21">
        <f>EXP(-LN(2)/2)*CM125+(1-EXP(-LN(2)/2))/(LN(2)/2)*CG126*CJ126*VLOOKUP('Données projet'!$B$12,Paramètres!$A$1:$I$89,3,0)*0.475*44/12</f>
        <v>3.2304252135311651</v>
      </c>
      <c r="CN126" s="22">
        <f t="shared" si="66"/>
        <v>53.119583384065962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8.9160000000000021</v>
      </c>
      <c r="CT126" s="12">
        <f>IF('Données projet'!$A$140&gt;35,CT125+CS126-DB125,IF(A126&lt;'Données projet'!$A$140,$CQ$205^A126,IF(A126='Données projet'!$A$140,'Données projet'!$B$140,CT125+CS126-DB125)))</f>
        <v>442.9440000000007</v>
      </c>
      <c r="CU126" s="17">
        <f>CT126*VLOOKUP('Données projet'!$B$13,Paramètres!$A$1:$I$89,3,0)*VLOOKUP('Données projet'!$B$13,Paramètres!$A$1:$I$89,5,0)</f>
        <v>400.77573120000062</v>
      </c>
      <c r="CV126" s="13">
        <f t="shared" si="95"/>
        <v>91.933915079444887</v>
      </c>
      <c r="CW126" s="20">
        <f t="shared" si="67"/>
        <v>858.13596727003414</v>
      </c>
      <c r="CX126" s="59">
        <f t="shared" si="68"/>
        <v>1151.4693006033674</v>
      </c>
      <c r="CY126" s="59">
        <f ca="1">AVERAGE(OFFSET($CX$3,0,0,'Données projet'!$E$13+1,1))-AVERAGE(OFFSET($H$3,0,0,'Données projet'!$E$13+1,1))</f>
        <v>479.84731392413374</v>
      </c>
      <c r="CZ126" s="59">
        <f t="shared" si="96"/>
        <v>203.57601099841213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30.508820679779241</v>
      </c>
      <c r="DG126" s="21">
        <f>EXP(-LN(2)/25)*DG125+(1-EXP(-LN(2)/25))/(LN(2)/25)*Calculateur!DB126*Calculateur!DD126*VLOOKUP('Données projet'!$B$13,Paramètres!$A$1:$I$89,3,0)*0.475*44/12</f>
        <v>20.087545698767805</v>
      </c>
      <c r="DH126" s="21">
        <f>EXP(-LN(2)/2)*DH125+(1-EXP(-LN(2)/2))/(LN(2)/2)*DB126*DE126*VLOOKUP('Données projet'!$B$13,Paramètres!$A$1:$I$89,3,0)*0.475*44/12</f>
        <v>0.24143795310486887</v>
      </c>
      <c r="DI126" s="22">
        <f t="shared" si="69"/>
        <v>50.837804331651917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293.3333333333353</v>
      </c>
      <c r="S127" s="59">
        <f ca="1">AVERAGE(OFFSET($R$3,0,0,'Données projet'!$E$9+1,1))-AVERAGE(OFFSET($H$3,0,0,'Données projet'!$E$9+1,1))</f>
        <v>322.7909000321435</v>
      </c>
      <c r="T127" s="59">
        <f t="shared" si="88"/>
        <v>403.23516981532316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46.303367573967471</v>
      </c>
      <c r="AA127" s="21">
        <f>EXP(-LN(2)/25)*AA126+(1-EXP(-LN(2)/25))/(LN(2)/25)*Calculateur!V127*Calculateur!X127*VLOOKUP('Données projet'!$B$9,Paramètres!$A$1:$I$89,3,0)*0.475*44/12</f>
        <v>9.3597717842796992</v>
      </c>
      <c r="AB127" s="21">
        <f>EXP(-LN(2)/2)*AB126+(1-EXP(-LN(2)/2))/(LN(2)/2)*V127*Y127*VLOOKUP('Données projet'!$B$9,Paramètres!$A$1:$I$89,3,0)*0.475*44/12</f>
        <v>4.4997031824919302E-9</v>
      </c>
      <c r="AC127" s="22">
        <f t="shared" si="57"/>
        <v>55.663139362746875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3.4106051316484809E-13</v>
      </c>
      <c r="AJ127" s="13">
        <f>AI127*VLOOKUP('Données projet'!$B$10,Paramètres!$A$1:$I$89,3,0)*VLOOKUP('Données projet'!$B$10,Paramètres!$A$1:$I$89,5,0)</f>
        <v>1.5961632016114892E-13</v>
      </c>
      <c r="AK127" s="13">
        <f t="shared" si="89"/>
        <v>2.2708641912150958E-12</v>
      </c>
      <c r="AL127" s="20">
        <f t="shared" si="58"/>
        <v>4.2330868906469593E-12</v>
      </c>
      <c r="AM127" s="59">
        <f t="shared" si="59"/>
        <v>293.33333333333752</v>
      </c>
      <c r="AN127" s="59">
        <f ca="1">AVERAGE(OFFSET($AM$3,0,0,'Données projet'!$E$10+1,1))-AVERAGE(OFFSET($H$3,0,0,'Données projet'!$E$10+1,1))</f>
        <v>187.82209112143374</v>
      </c>
      <c r="AO127" s="59">
        <f t="shared" si="90"/>
        <v>158.99136654880203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97.496570684759703</v>
      </c>
      <c r="AV127" s="21">
        <f>EXP(-LN(2)/25)*AV126+(1-EXP(-LN(2)/25))/(LN(2)/25)*Calculateur!AQ127*Calculateur!AS127*VLOOKUP('Données projet'!$B$10,Paramètres!$A$1:$I$89,3,0)*0.475*44/12</f>
        <v>27.632751366496151</v>
      </c>
      <c r="AW127" s="21">
        <f>EXP(-LN(2)/2)*AW126+(1-EXP(-LN(2)/2))/(LN(2)/2)*AQ127*AT127*VLOOKUP('Données projet'!$B$10,Paramètres!$A$1:$I$89,3,0)*0.475*44/12</f>
        <v>0.17394771032448267</v>
      </c>
      <c r="AX127" s="21">
        <f t="shared" si="60"/>
        <v>125.30326976158034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140.32771978791288</v>
      </c>
      <c r="BJ127" s="59">
        <f t="shared" si="92"/>
        <v>135.76866977947634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5.5151791511575015</v>
      </c>
      <c r="BQ127" s="21">
        <f>EXP(-LN(2)/25)*BQ126+(1-EXP(-LN(2)/25))/(LN(2)/25)*Calculateur!BL127*Calculateur!BN127*VLOOKUP('Données projet'!$B$11,Paramètres!$A$1:$I$89,3,0)*0.475*44/12</f>
        <v>24.879868392587735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30.395047543745235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7.1129999999999995</v>
      </c>
      <c r="BY127" s="12">
        <f>IF('Données projet'!$A$114&gt;35,BY126+BX127-CG126,IF(A127&lt;'Données projet'!$A$114,$BV$205^A127,IF(A127='Données projet'!$A$114,'Données projet'!$B$114,BY126+BX127-CG126)))</f>
        <v>283.66600000000005</v>
      </c>
      <c r="BZ127" s="13">
        <f>BY127*VLOOKUP('Données projet'!$B$12,Paramètres!$A$1:$I$89,3,0)*VLOOKUP('Données projet'!$B$12,Paramètres!$A$1:$I$89,5,0)</f>
        <v>287.63732400000009</v>
      </c>
      <c r="CA127" s="13">
        <f t="shared" si="93"/>
        <v>68.578458468860646</v>
      </c>
      <c r="CB127" s="20">
        <f t="shared" si="64"/>
        <v>620.40915446659915</v>
      </c>
      <c r="CC127" s="59">
        <f t="shared" si="65"/>
        <v>913.74248779993241</v>
      </c>
      <c r="CD127" s="59">
        <f ca="1">AVERAGE(OFFSET($CC$3,0,0,'Données projet'!$E$12+1,1))-AVERAGE(OFFSET($H$3,0,0,'Données projet'!$E$12+1,1))</f>
        <v>372.05986520199804</v>
      </c>
      <c r="CE127" s="59">
        <f t="shared" si="94"/>
        <v>184.37981929432044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24.546714109435037</v>
      </c>
      <c r="CL127" s="21">
        <f>EXP(-LN(2)/25)*CL126+(1-EXP(-LN(2)/25))/(LN(2)/25)*Calculateur!CG127*Calculateur!CI127*VLOOKUP('Données projet'!$B$12,Paramètres!$A$1:$I$89,3,0)*0.475*44/12</f>
        <v>24.171905511414288</v>
      </c>
      <c r="CM127" s="21">
        <f>EXP(-LN(2)/2)*CM126+(1-EXP(-LN(2)/2))/(LN(2)/2)*CG127*CJ127*VLOOKUP('Données projet'!$B$12,Paramètres!$A$1:$I$89,3,0)*0.475*44/12</f>
        <v>2.284255574603888</v>
      </c>
      <c r="CN127" s="22">
        <f t="shared" si="66"/>
        <v>51.002875195453214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451.86</v>
      </c>
      <c r="CR127" s="12">
        <f>VLOOKUP(A127,'Données projet'!$A$139:$I$159,9,0)</f>
        <v>8.9160000000000021</v>
      </c>
      <c r="CS127" s="12">
        <f t="array" ref="CS127">INDEX(CR:CR,MIN(IF(ISNUMBER(CR127:CR323),ROW(CR127:CR323),"")))</f>
        <v>8.9160000000000021</v>
      </c>
      <c r="CT127" s="12">
        <f>IF('Données projet'!$A$140&gt;35,CT126+CS127-DB126,IF(A127&lt;'Données projet'!$A$140,$CQ$205^A127,IF(A127='Données projet'!$A$140,'Données projet'!$B$140,CT126+CS127-DB126)))</f>
        <v>451.8600000000007</v>
      </c>
      <c r="CU127" s="17">
        <f>CT127*VLOOKUP('Données projet'!$B$13,Paramètres!$A$1:$I$89,3,0)*VLOOKUP('Données projet'!$B$13,Paramètres!$A$1:$I$89,5,0)</f>
        <v>408.84292800000065</v>
      </c>
      <c r="CV127" s="13">
        <f t="shared" si="95"/>
        <v>93.567145264891295</v>
      </c>
      <c r="CW127" s="20">
        <f t="shared" si="67"/>
        <v>875.03087760302014</v>
      </c>
      <c r="CX127" s="59">
        <f t="shared" si="68"/>
        <v>1168.3642109363534</v>
      </c>
      <c r="CY127" s="59">
        <f ca="1">AVERAGE(OFFSET($CX$3,0,0,'Données projet'!$E$13+1,1))-AVERAGE(OFFSET($H$3,0,0,'Données projet'!$E$13+1,1))</f>
        <v>479.84731392413374</v>
      </c>
      <c r="CZ127" s="59">
        <f t="shared" si="96"/>
        <v>203.57601099841213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57.81</v>
      </c>
      <c r="DC127" s="16">
        <f>IF(ISNA(VLOOKUP(A127,'Données projet'!$A$139:$I$159,5,0)),0%,VLOOKUP(A127,'Données projet'!$A$139:$I$159,5,0)*VLOOKUP('Données projet'!$B$13,Paramètres!$A$1:$I$89,7,0))</f>
        <v>0.15049999999999999</v>
      </c>
      <c r="DD127" s="16">
        <f>IF(ISNA(VLOOKUP(A127,'Données projet'!$A$139:$I$159,6,0)),0%,VLOOKUP(A127,'Données projet'!$A$139:$I$159,6,0)*VLOOKUP('Données projet'!$B$13,Paramètres!$A$1:$I$89,7,0))</f>
        <v>8.6000000000000007E-2</v>
      </c>
      <c r="DE127" s="16">
        <f>IF(ISNA(VLOOKUP(A127,'Données projet'!$A$139:$I$159,7,0)),0%,VLOOKUP(A127,'Données projet'!$A$139:$I$159,7,0))</f>
        <v>0.1</v>
      </c>
      <c r="DF127" s="21">
        <f>EXP(-LN(2)/35)*DF126+(1-EXP(-LN(2)/35))/(LN(2)/35)*DB127*DC127*VLOOKUP('Données projet'!$B$13,Paramètres!$A$1:$I$89,3,0)*0.475*44/12</f>
        <v>38.612963922572</v>
      </c>
      <c r="DG127" s="21">
        <f>EXP(-LN(2)/25)*DG126+(1-EXP(-LN(2)/25))/(LN(2)/25)*Calculateur!DB127*Calculateur!DD127*VLOOKUP('Données projet'!$B$13,Paramètres!$A$1:$I$89,3,0)*0.475*44/12</f>
        <v>24.491472381184234</v>
      </c>
      <c r="DH127" s="21">
        <f>EXP(-LN(2)/2)*DH126+(1-EXP(-LN(2)/2))/(LN(2)/2)*DB127*DE127*VLOOKUP('Données projet'!$B$13,Paramètres!$A$1:$I$89,3,0)*0.475*44/12</f>
        <v>5.1059803375246293</v>
      </c>
      <c r="DI127" s="22">
        <f t="shared" si="69"/>
        <v>68.210416641280858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293.3333333333353</v>
      </c>
      <c r="S128" s="59">
        <f ca="1">AVERAGE(OFFSET($R$3,0,0,'Données projet'!$E$9+1,1))-AVERAGE(OFFSET($H$3,0,0,'Données projet'!$E$9+1,1))</f>
        <v>322.7909000321435</v>
      </c>
      <c r="T128" s="59">
        <f t="shared" si="88"/>
        <v>403.23516981532316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45.395386778107493</v>
      </c>
      <c r="AA128" s="21">
        <f>EXP(-LN(2)/25)*AA127+(1-EXP(-LN(2)/25))/(LN(2)/25)*Calculateur!V128*Calculateur!X128*VLOOKUP('Données projet'!$B$9,Paramètres!$A$1:$I$89,3,0)*0.475*44/12</f>
        <v>9.1038283326295648</v>
      </c>
      <c r="AB128" s="21">
        <f>EXP(-LN(2)/2)*AB127+(1-EXP(-LN(2)/2))/(LN(2)/2)*V128*Y128*VLOOKUP('Données projet'!$B$9,Paramètres!$A$1:$I$89,3,0)*0.475*44/12</f>
        <v>3.1817706336667328E-9</v>
      </c>
      <c r="AC128" s="22">
        <f t="shared" si="57"/>
        <v>54.499215113918822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3.4106051316484809E-13</v>
      </c>
      <c r="AJ128" s="13">
        <f>AI128*VLOOKUP('Données projet'!$B$10,Paramètres!$A$1:$I$89,3,0)*VLOOKUP('Données projet'!$B$10,Paramètres!$A$1:$I$89,5,0)</f>
        <v>1.5961632016114892E-13</v>
      </c>
      <c r="AK128" s="13">
        <f t="shared" si="89"/>
        <v>2.2708641912150958E-12</v>
      </c>
      <c r="AL128" s="20">
        <f t="shared" si="58"/>
        <v>4.2330868906469593E-12</v>
      </c>
      <c r="AM128" s="59">
        <f t="shared" si="59"/>
        <v>293.33333333333752</v>
      </c>
      <c r="AN128" s="59">
        <f ca="1">AVERAGE(OFFSET($AM$3,0,0,'Données projet'!$E$10+1,1))-AVERAGE(OFFSET($H$3,0,0,'Données projet'!$E$10+1,1))</f>
        <v>187.82209112143374</v>
      </c>
      <c r="AO128" s="59">
        <f t="shared" si="90"/>
        <v>158.99136654880203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95.5847224006678</v>
      </c>
      <c r="AV128" s="21">
        <f>EXP(-LN(2)/25)*AV127+(1-EXP(-LN(2)/25))/(LN(2)/25)*Calculateur!AQ128*Calculateur!AS128*VLOOKUP('Données projet'!$B$10,Paramètres!$A$1:$I$89,3,0)*0.475*44/12</f>
        <v>26.877132327236076</v>
      </c>
      <c r="AW128" s="21">
        <f>EXP(-LN(2)/2)*AW127+(1-EXP(-LN(2)/2))/(LN(2)/2)*AQ128*AT128*VLOOKUP('Données projet'!$B$10,Paramètres!$A$1:$I$89,3,0)*0.475*44/12</f>
        <v>0.12299960554231493</v>
      </c>
      <c r="AX128" s="21">
        <f t="shared" si="60"/>
        <v>122.58485433344619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140.32771978791288</v>
      </c>
      <c r="BJ128" s="59">
        <f t="shared" si="92"/>
        <v>135.76866977947634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5.4070298519304245</v>
      </c>
      <c r="BQ128" s="21">
        <f>EXP(-LN(2)/25)*BQ127+(1-EXP(-LN(2)/25))/(LN(2)/25)*Calculateur!BL128*Calculateur!BN128*VLOOKUP('Données projet'!$B$11,Paramètres!$A$1:$I$89,3,0)*0.475*44/12</f>
        <v>24.19952708301701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29.606556934947434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7.1129999999999995</v>
      </c>
      <c r="BY128" s="12">
        <f>IF('Données projet'!$A$114&gt;35,BY127+BX128-CG127,IF(A128&lt;'Données projet'!$A$114,$BV$205^A128,IF(A128='Données projet'!$A$114,'Données projet'!$B$114,BY127+BX128-CG127)))</f>
        <v>290.77900000000005</v>
      </c>
      <c r="BZ128" s="13">
        <f>BY128*VLOOKUP('Données projet'!$B$12,Paramètres!$A$1:$I$89,3,0)*VLOOKUP('Données projet'!$B$12,Paramètres!$A$1:$I$89,5,0)</f>
        <v>294.84990600000009</v>
      </c>
      <c r="CA128" s="13">
        <f t="shared" si="93"/>
        <v>70.095720295999868</v>
      </c>
      <c r="CB128" s="20">
        <f t="shared" si="64"/>
        <v>635.61363246553321</v>
      </c>
      <c r="CC128" s="59">
        <f t="shared" si="65"/>
        <v>928.94696579886659</v>
      </c>
      <c r="CD128" s="59">
        <f ca="1">AVERAGE(OFFSET($CC$3,0,0,'Données projet'!$E$12+1,1))-AVERAGE(OFFSET($H$3,0,0,'Données projet'!$E$12+1,1))</f>
        <v>372.05986520199804</v>
      </c>
      <c r="CE128" s="59">
        <f t="shared" si="94"/>
        <v>184.37981929432044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24.065368017766257</v>
      </c>
      <c r="CL128" s="21">
        <f>EXP(-LN(2)/25)*CL127+(1-EXP(-LN(2)/25))/(LN(2)/25)*Calculateur!CG128*Calculateur!CI128*VLOOKUP('Données projet'!$B$12,Paramètres!$A$1:$I$89,3,0)*0.475*44/12</f>
        <v>23.510923484059397</v>
      </c>
      <c r="CM128" s="21">
        <f>EXP(-LN(2)/2)*CM127+(1-EXP(-LN(2)/2))/(LN(2)/2)*CG128*CJ128*VLOOKUP('Données projet'!$B$12,Paramètres!$A$1:$I$89,3,0)*0.475*44/12</f>
        <v>1.615212606765583</v>
      </c>
      <c r="CN128" s="22">
        <f t="shared" si="66"/>
        <v>49.191504108591232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9.0229999999999961</v>
      </c>
      <c r="CT128" s="12">
        <f>IF('Données projet'!$A$140&gt;35,CT127+CS128-DB127,IF(A128&lt;'Données projet'!$A$140,$CQ$205^A128,IF(A128='Données projet'!$A$140,'Données projet'!$B$140,CT127+CS128-DB127)))</f>
        <v>403.07300000000072</v>
      </c>
      <c r="CU128" s="17">
        <f>CT128*VLOOKUP('Données projet'!$B$13,Paramètres!$A$1:$I$89,3,0)*VLOOKUP('Données projet'!$B$13,Paramètres!$A$1:$I$89,5,0)</f>
        <v>364.70045040000065</v>
      </c>
      <c r="CV128" s="13">
        <f t="shared" si="95"/>
        <v>84.582200429685614</v>
      </c>
      <c r="CW128" s="20">
        <f t="shared" si="67"/>
        <v>782.50061686170341</v>
      </c>
      <c r="CX128" s="59">
        <f t="shared" si="68"/>
        <v>1075.8339501950368</v>
      </c>
      <c r="CY128" s="59">
        <f ca="1">AVERAGE(OFFSET($CX$3,0,0,'Données projet'!$E$13+1,1))-AVERAGE(OFFSET($H$3,0,0,'Données projet'!$E$13+1,1))</f>
        <v>479.84731392413374</v>
      </c>
      <c r="CZ128" s="59">
        <f t="shared" si="96"/>
        <v>203.57601099841213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37.855787251632833</v>
      </c>
      <c r="DG128" s="21">
        <f>EXP(-LN(2)/25)*DG127+(1-EXP(-LN(2)/25))/(LN(2)/25)*Calculateur!DB128*Calculateur!DD128*VLOOKUP('Données projet'!$B$13,Paramètres!$A$1:$I$89,3,0)*0.475*44/12</f>
        <v>23.821751780970196</v>
      </c>
      <c r="DH128" s="21">
        <f>EXP(-LN(2)/2)*DH127+(1-EXP(-LN(2)/2))/(LN(2)/2)*DB128*DE128*VLOOKUP('Données projet'!$B$13,Paramètres!$A$1:$I$89,3,0)*0.475*44/12</f>
        <v>3.6104733212688425</v>
      </c>
      <c r="DI128" s="22">
        <f t="shared" si="69"/>
        <v>65.288012353871878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293.3333333333353</v>
      </c>
      <c r="S129" s="59">
        <f ca="1">AVERAGE(OFFSET($R$3,0,0,'Données projet'!$E$9+1,1))-AVERAGE(OFFSET($H$3,0,0,'Données projet'!$E$9+1,1))</f>
        <v>322.7909000321435</v>
      </c>
      <c r="T129" s="59">
        <f t="shared" si="88"/>
        <v>403.23516981532316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44.505210931840729</v>
      </c>
      <c r="AA129" s="21">
        <f>EXP(-LN(2)/25)*AA128+(1-EXP(-LN(2)/25))/(LN(2)/25)*Calculateur!V129*Calculateur!X129*VLOOKUP('Données projet'!$B$9,Paramètres!$A$1:$I$89,3,0)*0.475*44/12</f>
        <v>8.854883668124284</v>
      </c>
      <c r="AB129" s="21">
        <f>EXP(-LN(2)/2)*AB128+(1-EXP(-LN(2)/2))/(LN(2)/2)*V129*Y129*VLOOKUP('Données projet'!$B$9,Paramètres!$A$1:$I$89,3,0)*0.475*44/12</f>
        <v>2.2498515912459651E-9</v>
      </c>
      <c r="AC129" s="22">
        <f t="shared" si="57"/>
        <v>53.360094602214858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3.4106051316484809E-13</v>
      </c>
      <c r="AJ129" s="13">
        <f>AI129*VLOOKUP('Données projet'!$B$10,Paramètres!$A$1:$I$89,3,0)*VLOOKUP('Données projet'!$B$10,Paramètres!$A$1:$I$89,5,0)</f>
        <v>1.5961632016114892E-13</v>
      </c>
      <c r="AK129" s="13">
        <f t="shared" si="89"/>
        <v>2.2708641912150958E-12</v>
      </c>
      <c r="AL129" s="20">
        <f t="shared" si="58"/>
        <v>4.2330868906469593E-12</v>
      </c>
      <c r="AM129" s="59">
        <f t="shared" si="59"/>
        <v>293.33333333333752</v>
      </c>
      <c r="AN129" s="59">
        <f ca="1">AVERAGE(OFFSET($AM$3,0,0,'Données projet'!$E$10+1,1))-AVERAGE(OFFSET($H$3,0,0,'Données projet'!$E$10+1,1))</f>
        <v>187.82209112143374</v>
      </c>
      <c r="AO129" s="59">
        <f t="shared" si="90"/>
        <v>158.99136654880203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93.710364295314633</v>
      </c>
      <c r="AV129" s="21">
        <f>EXP(-LN(2)/25)*AV128+(1-EXP(-LN(2)/25))/(LN(2)/25)*Calculateur!AQ129*Calculateur!AS129*VLOOKUP('Données projet'!$B$10,Paramètres!$A$1:$I$89,3,0)*0.475*44/12</f>
        <v>26.142175730340846</v>
      </c>
      <c r="AW129" s="21">
        <f>EXP(-LN(2)/2)*AW128+(1-EXP(-LN(2)/2))/(LN(2)/2)*AQ129*AT129*VLOOKUP('Données projet'!$B$10,Paramètres!$A$1:$I$89,3,0)*0.475*44/12</f>
        <v>8.6973855162241348E-2</v>
      </c>
      <c r="AX129" s="21">
        <f t="shared" si="60"/>
        <v>119.93951388081773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140.32771978791288</v>
      </c>
      <c r="BJ129" s="59">
        <f t="shared" si="92"/>
        <v>135.76866977947634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5.3010012944966318</v>
      </c>
      <c r="BQ129" s="21">
        <f>EXP(-LN(2)/25)*BQ128+(1-EXP(-LN(2)/25))/(LN(2)/25)*Calculateur!BL129*Calculateur!BN129*VLOOKUP('Données projet'!$B$11,Paramètres!$A$1:$I$89,3,0)*0.475*44/12</f>
        <v>23.537789742334088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28.83879103683072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7.1129999999999995</v>
      </c>
      <c r="BY129" s="12">
        <f>IF('Données projet'!$A$114&gt;35,BY128+BX129-CG128,IF(A129&lt;'Données projet'!$A$114,$BV$205^A129,IF(A129='Données projet'!$A$114,'Données projet'!$B$114,BY128+BX129-CG128)))</f>
        <v>297.89200000000005</v>
      </c>
      <c r="BZ129" s="13">
        <f>BY129*VLOOKUP('Données projet'!$B$12,Paramètres!$A$1:$I$89,3,0)*VLOOKUP('Données projet'!$B$12,Paramètres!$A$1:$I$89,5,0)</f>
        <v>302.06248800000009</v>
      </c>
      <c r="CA129" s="13">
        <f t="shared" si="93"/>
        <v>71.608667618813385</v>
      </c>
      <c r="CB129" s="20">
        <f t="shared" si="64"/>
        <v>650.81059603610004</v>
      </c>
      <c r="CC129" s="59">
        <f t="shared" si="65"/>
        <v>944.14392936943341</v>
      </c>
      <c r="CD129" s="59">
        <f ca="1">AVERAGE(OFFSET($CC$3,0,0,'Données projet'!$E$12+1,1))-AVERAGE(OFFSET($H$3,0,0,'Données projet'!$E$12+1,1))</f>
        <v>372.05986520199804</v>
      </c>
      <c r="CE129" s="59">
        <f t="shared" si="94"/>
        <v>184.37981929432044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23.593460829362979</v>
      </c>
      <c r="CL129" s="21">
        <f>EXP(-LN(2)/25)*CL128+(1-EXP(-LN(2)/25))/(LN(2)/25)*Calculateur!CG129*Calculateur!CI129*VLOOKUP('Données projet'!$B$12,Paramètres!$A$1:$I$89,3,0)*0.475*44/12</f>
        <v>22.868016045002062</v>
      </c>
      <c r="CM129" s="21">
        <f>EXP(-LN(2)/2)*CM128+(1-EXP(-LN(2)/2))/(LN(2)/2)*CG129*CJ129*VLOOKUP('Données projet'!$B$12,Paramètres!$A$1:$I$89,3,0)*0.475*44/12</f>
        <v>1.1421277873019442</v>
      </c>
      <c r="CN129" s="22">
        <f t="shared" si="66"/>
        <v>47.603604661666985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9.0229999999999961</v>
      </c>
      <c r="CT129" s="12">
        <f>IF('Données projet'!$A$140&gt;35,CT128+CS129-DB128,IF(A129&lt;'Données projet'!$A$140,$CQ$205^A129,IF(A129='Données projet'!$A$140,'Données projet'!$B$140,CT128+CS129-DB128)))</f>
        <v>412.09600000000069</v>
      </c>
      <c r="CU129" s="17">
        <f>CT129*VLOOKUP('Données projet'!$B$13,Paramètres!$A$1:$I$89,3,0)*VLOOKUP('Données projet'!$B$13,Paramètres!$A$1:$I$89,5,0)</f>
        <v>372.86446080000059</v>
      </c>
      <c r="CV129" s="13">
        <f t="shared" si="95"/>
        <v>86.253061792690659</v>
      </c>
      <c r="CW129" s="20">
        <f t="shared" si="67"/>
        <v>799.62968518227046</v>
      </c>
      <c r="CX129" s="59">
        <f t="shared" si="68"/>
        <v>1092.9630185156038</v>
      </c>
      <c r="CY129" s="59">
        <f ca="1">AVERAGE(OFFSET($CX$3,0,0,'Données projet'!$E$13+1,1))-AVERAGE(OFFSET($H$3,0,0,'Données projet'!$E$13+1,1))</f>
        <v>479.84731392413374</v>
      </c>
      <c r="CZ129" s="59">
        <f t="shared" si="96"/>
        <v>203.57601099841213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37.113458353378611</v>
      </c>
      <c r="DG129" s="21">
        <f>EXP(-LN(2)/25)*DG128+(1-EXP(-LN(2)/25))/(LN(2)/25)*Calculateur!DB129*Calculateur!DD129*VLOOKUP('Données projet'!$B$13,Paramètres!$A$1:$I$89,3,0)*0.475*44/12</f>
        <v>23.170344725788084</v>
      </c>
      <c r="DH129" s="21">
        <f>EXP(-LN(2)/2)*DH128+(1-EXP(-LN(2)/2))/(LN(2)/2)*DB129*DE129*VLOOKUP('Données projet'!$B$13,Paramètres!$A$1:$I$89,3,0)*0.475*44/12</f>
        <v>2.5529901687623151</v>
      </c>
      <c r="DI129" s="22">
        <f t="shared" si="69"/>
        <v>62.836793247929009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293.3333333333353</v>
      </c>
      <c r="S130" s="59">
        <f ca="1">AVERAGE(OFFSET($R$3,0,0,'Données projet'!$E$9+1,1))-AVERAGE(OFFSET($H$3,0,0,'Données projet'!$E$9+1,1))</f>
        <v>322.7909000321435</v>
      </c>
      <c r="T130" s="59">
        <f t="shared" si="88"/>
        <v>403.23516981532316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43.632490890965606</v>
      </c>
      <c r="AA130" s="21">
        <f>EXP(-LN(2)/25)*AA129+(1-EXP(-LN(2)/25))/(LN(2)/25)*Calculateur!V130*Calculateur!X130*VLOOKUP('Données projet'!$B$9,Paramètres!$A$1:$I$89,3,0)*0.475*44/12</f>
        <v>8.6127464085613319</v>
      </c>
      <c r="AB130" s="21">
        <f>EXP(-LN(2)/2)*AB129+(1-EXP(-LN(2)/2))/(LN(2)/2)*V130*Y130*VLOOKUP('Données projet'!$B$9,Paramètres!$A$1:$I$89,3,0)*0.475*44/12</f>
        <v>1.5908853168333664E-9</v>
      </c>
      <c r="AC130" s="22">
        <f t="shared" si="57"/>
        <v>52.245237301117818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3.4106051316484809E-13</v>
      </c>
      <c r="AJ130" s="13">
        <f>AI130*VLOOKUP('Données projet'!$B$10,Paramètres!$A$1:$I$89,3,0)*VLOOKUP('Données projet'!$B$10,Paramètres!$A$1:$I$89,5,0)</f>
        <v>1.5961632016114892E-13</v>
      </c>
      <c r="AK130" s="13">
        <f t="shared" si="89"/>
        <v>2.2708641912150958E-12</v>
      </c>
      <c r="AL130" s="20">
        <f t="shared" si="58"/>
        <v>4.2330868906469593E-12</v>
      </c>
      <c r="AM130" s="59">
        <f t="shared" si="59"/>
        <v>293.33333333333752</v>
      </c>
      <c r="AN130" s="59">
        <f ca="1">AVERAGE(OFFSET($AM$3,0,0,'Données projet'!$E$10+1,1))-AVERAGE(OFFSET($H$3,0,0,'Données projet'!$E$10+1,1))</f>
        <v>187.82209112143374</v>
      </c>
      <c r="AO130" s="59">
        <f t="shared" si="90"/>
        <v>158.99136654880203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91.872761209161879</v>
      </c>
      <c r="AV130" s="21">
        <f>EXP(-LN(2)/25)*AV129+(1-EXP(-LN(2)/25))/(LN(2)/25)*Calculateur!AQ130*Calculateur!AS130*VLOOKUP('Données projet'!$B$10,Paramètres!$A$1:$I$89,3,0)*0.475*44/12</f>
        <v>25.427316560237401</v>
      </c>
      <c r="AW130" s="21">
        <f>EXP(-LN(2)/2)*AW129+(1-EXP(-LN(2)/2))/(LN(2)/2)*AQ130*AT130*VLOOKUP('Données projet'!$B$10,Paramètres!$A$1:$I$89,3,0)*0.475*44/12</f>
        <v>6.1499802771157477E-2</v>
      </c>
      <c r="AX130" s="21">
        <f t="shared" si="60"/>
        <v>117.36157757217043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140.32771978791288</v>
      </c>
      <c r="BJ130" s="59">
        <f t="shared" si="92"/>
        <v>135.76866977947634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5.1970518924030813</v>
      </c>
      <c r="BQ130" s="21">
        <f>EXP(-LN(2)/25)*BQ129+(1-EXP(-LN(2)/25))/(LN(2)/25)*Calculateur!BL130*Calculateur!BN130*VLOOKUP('Données projet'!$B$11,Paramètres!$A$1:$I$89,3,0)*0.475*44/12</f>
        <v>22.894147644031396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28.091199536434477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7.1129999999999995</v>
      </c>
      <c r="BY130" s="12">
        <f>IF('Données projet'!$A$114&gt;35,BY129+BX130-CG129,IF(A130&lt;'Données projet'!$A$114,$BV$205^A130,IF(A130='Données projet'!$A$114,'Données projet'!$B$114,BY129+BX130-CG129)))</f>
        <v>305.00500000000005</v>
      </c>
      <c r="BZ130" s="13">
        <f>BY130*VLOOKUP('Données projet'!$B$12,Paramètres!$A$1:$I$89,3,0)*VLOOKUP('Données projet'!$B$12,Paramètres!$A$1:$I$89,5,0)</f>
        <v>309.27507000000008</v>
      </c>
      <c r="CA130" s="13">
        <f t="shared" si="93"/>
        <v>73.117415312099666</v>
      </c>
      <c r="CB130" s="20">
        <f t="shared" si="64"/>
        <v>666.00024525190713</v>
      </c>
      <c r="CC130" s="59">
        <f t="shared" si="65"/>
        <v>959.3335785852405</v>
      </c>
      <c r="CD130" s="59">
        <f ca="1">AVERAGE(OFFSET($CC$3,0,0,'Données projet'!$E$12+1,1))-AVERAGE(OFFSET($H$3,0,0,'Données projet'!$E$12+1,1))</f>
        <v>372.05986520199804</v>
      </c>
      <c r="CE130" s="59">
        <f t="shared" si="94"/>
        <v>184.37981929432044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23.130807453089325</v>
      </c>
      <c r="CL130" s="21">
        <f>EXP(-LN(2)/25)*CL129+(1-EXP(-LN(2)/25))/(LN(2)/25)*Calculateur!CG130*Calculateur!CI130*VLOOKUP('Données projet'!$B$12,Paramètres!$A$1:$I$89,3,0)*0.475*44/12</f>
        <v>22.242688943674782</v>
      </c>
      <c r="CM130" s="21">
        <f>EXP(-LN(2)/2)*CM129+(1-EXP(-LN(2)/2))/(LN(2)/2)*CG130*CJ130*VLOOKUP('Données projet'!$B$12,Paramètres!$A$1:$I$89,3,0)*0.475*44/12</f>
        <v>0.8076063033827916</v>
      </c>
      <c r="CN130" s="22">
        <f t="shared" si="66"/>
        <v>46.181102700146901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9.0229999999999961</v>
      </c>
      <c r="CT130" s="12">
        <f>IF('Données projet'!$A$140&gt;35,CT129+CS130-DB129,IF(A130&lt;'Données projet'!$A$140,$CQ$205^A130,IF(A130='Données projet'!$A$140,'Données projet'!$B$140,CT129+CS130-DB129)))</f>
        <v>421.11900000000071</v>
      </c>
      <c r="CU130" s="17">
        <f>CT130*VLOOKUP('Données projet'!$B$13,Paramètres!$A$1:$I$89,3,0)*VLOOKUP('Données projet'!$B$13,Paramètres!$A$1:$I$89,5,0)</f>
        <v>381.02847120000064</v>
      </c>
      <c r="CV130" s="13">
        <f t="shared" si="95"/>
        <v>87.919669823283783</v>
      </c>
      <c r="CW130" s="20">
        <f t="shared" si="67"/>
        <v>816.75134561555353</v>
      </c>
      <c r="CX130" s="59">
        <f t="shared" si="68"/>
        <v>1110.0846789488869</v>
      </c>
      <c r="CY130" s="59">
        <f ca="1">AVERAGE(OFFSET($CX$3,0,0,'Données projet'!$E$13+1,1))-AVERAGE(OFFSET($H$3,0,0,'Données projet'!$E$13+1,1))</f>
        <v>479.84731392413374</v>
      </c>
      <c r="CZ130" s="59">
        <f t="shared" si="96"/>
        <v>203.57601099841213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36.385686072043235</v>
      </c>
      <c r="DG130" s="21">
        <f>EXP(-LN(2)/25)*DG129+(1-EXP(-LN(2)/25))/(LN(2)/25)*Calculateur!DB130*Calculateur!DD130*VLOOKUP('Données projet'!$B$13,Paramètres!$A$1:$I$89,3,0)*0.475*44/12</f>
        <v>22.536750430785936</v>
      </c>
      <c r="DH130" s="21">
        <f>EXP(-LN(2)/2)*DH129+(1-EXP(-LN(2)/2))/(LN(2)/2)*DB130*DE130*VLOOKUP('Données projet'!$B$13,Paramètres!$A$1:$I$89,3,0)*0.475*44/12</f>
        <v>1.8052366606344215</v>
      </c>
      <c r="DI130" s="22">
        <f t="shared" si="69"/>
        <v>60.727673163463592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293.3333333333353</v>
      </c>
      <c r="S131" s="59">
        <f ca="1">AVERAGE(OFFSET($R$3,0,0,'Données projet'!$E$9+1,1))-AVERAGE(OFFSET($H$3,0,0,'Données projet'!$E$9+1,1))</f>
        <v>322.7909000321435</v>
      </c>
      <c r="T131" s="59">
        <f t="shared" si="88"/>
        <v>403.23516981532316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42.776884357785377</v>
      </c>
      <c r="AA131" s="21">
        <f>EXP(-LN(2)/25)*AA130+(1-EXP(-LN(2)/25))/(LN(2)/25)*Calculateur!V131*Calculateur!X131*VLOOKUP('Données projet'!$B$9,Paramètres!$A$1:$I$89,3,0)*0.475*44/12</f>
        <v>8.3772304050945738</v>
      </c>
      <c r="AB131" s="21">
        <f>EXP(-LN(2)/2)*AB130+(1-EXP(-LN(2)/2))/(LN(2)/2)*V131*Y131*VLOOKUP('Données projet'!$B$9,Paramètres!$A$1:$I$89,3,0)*0.475*44/12</f>
        <v>1.1249257956229825E-9</v>
      </c>
      <c r="AC131" s="22">
        <f t="shared" si="57"/>
        <v>51.154114764004873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3.4106051316484809E-13</v>
      </c>
      <c r="AJ131" s="13">
        <f>AI131*VLOOKUP('Données projet'!$B$10,Paramètres!$A$1:$I$89,3,0)*VLOOKUP('Données projet'!$B$10,Paramètres!$A$1:$I$89,5,0)</f>
        <v>1.5961632016114892E-13</v>
      </c>
      <c r="AK131" s="13">
        <f t="shared" si="89"/>
        <v>2.2708641912150958E-12</v>
      </c>
      <c r="AL131" s="20">
        <f t="shared" si="58"/>
        <v>4.2330868906469593E-12</v>
      </c>
      <c r="AM131" s="59">
        <f t="shared" si="59"/>
        <v>293.33333333333752</v>
      </c>
      <c r="AN131" s="59">
        <f ca="1">AVERAGE(OFFSET($AM$3,0,0,'Données projet'!$E$10+1,1))-AVERAGE(OFFSET($H$3,0,0,'Données projet'!$E$10+1,1))</f>
        <v>187.82209112143374</v>
      </c>
      <c r="AO131" s="59">
        <f t="shared" si="90"/>
        <v>158.99136654880203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90.071192398701371</v>
      </c>
      <c r="AV131" s="21">
        <f>EXP(-LN(2)/25)*AV130+(1-EXP(-LN(2)/25))/(LN(2)/25)*Calculateur!AQ131*Calculateur!AS131*VLOOKUP('Données projet'!$B$10,Paramètres!$A$1:$I$89,3,0)*0.475*44/12</f>
        <v>24.732005251733245</v>
      </c>
      <c r="AW131" s="21">
        <f>EXP(-LN(2)/2)*AW130+(1-EXP(-LN(2)/2))/(LN(2)/2)*AQ131*AT131*VLOOKUP('Données projet'!$B$10,Paramètres!$A$1:$I$89,3,0)*0.475*44/12</f>
        <v>4.3486927581120681E-2</v>
      </c>
      <c r="AX131" s="21">
        <f t="shared" si="60"/>
        <v>114.84668457801573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140.32771978791288</v>
      </c>
      <c r="BJ131" s="59">
        <f t="shared" si="92"/>
        <v>135.76866977947634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5.0951408746817108</v>
      </c>
      <c r="BQ131" s="21">
        <f>EXP(-LN(2)/25)*BQ130+(1-EXP(-LN(2)/25))/(LN(2)/25)*Calculateur!BL131*Calculateur!BN131*VLOOKUP('Données projet'!$B$11,Paramètres!$A$1:$I$89,3,0)*0.475*44/12</f>
        <v>22.268105972754459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27.363246847436169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7.1129999999999995</v>
      </c>
      <c r="BY131" s="12">
        <f>IF('Données projet'!$A$114&gt;35,BY130+BX131-CG130,IF(A131&lt;'Données projet'!$A$114,$BV$205^A131,IF(A131='Données projet'!$A$114,'Données projet'!$B$114,BY130+BX131-CG130)))</f>
        <v>312.11800000000005</v>
      </c>
      <c r="BZ131" s="13">
        <f>BY131*VLOOKUP('Données projet'!$B$12,Paramètres!$A$1:$I$89,3,0)*VLOOKUP('Données projet'!$B$12,Paramètres!$A$1:$I$89,5,0)</f>
        <v>316.48765200000008</v>
      </c>
      <c r="CA131" s="13">
        <f t="shared" si="93"/>
        <v>74.622072586992616</v>
      </c>
      <c r="CB131" s="20">
        <f t="shared" si="64"/>
        <v>681.18277032234562</v>
      </c>
      <c r="CC131" s="59">
        <f t="shared" si="65"/>
        <v>974.51610365567899</v>
      </c>
      <c r="CD131" s="59">
        <f ca="1">AVERAGE(OFFSET($CC$3,0,0,'Données projet'!$E$12+1,1))-AVERAGE(OFFSET($H$3,0,0,'Données projet'!$E$12+1,1))</f>
        <v>372.05986520199804</v>
      </c>
      <c r="CE131" s="59">
        <f t="shared" si="94"/>
        <v>184.37981929432044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22.6772264273337</v>
      </c>
      <c r="CL131" s="21">
        <f>EXP(-LN(2)/25)*CL130+(1-EXP(-LN(2)/25))/(LN(2)/25)*Calculateur!CG131*Calculateur!CI131*VLOOKUP('Données projet'!$B$12,Paramètres!$A$1:$I$89,3,0)*0.475*44/12</f>
        <v>21.63446144481782</v>
      </c>
      <c r="CM131" s="21">
        <f>EXP(-LN(2)/2)*CM130+(1-EXP(-LN(2)/2))/(LN(2)/2)*CG131*CJ131*VLOOKUP('Données projet'!$B$12,Paramètres!$A$1:$I$89,3,0)*0.475*44/12</f>
        <v>0.57106389365097221</v>
      </c>
      <c r="CN131" s="22">
        <f t="shared" si="66"/>
        <v>44.882751765802496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9.0229999999999961</v>
      </c>
      <c r="CT131" s="12">
        <f>IF('Données projet'!$A$140&gt;35,CT130+CS131-DB130,IF(A131&lt;'Données projet'!$A$140,$CQ$205^A131,IF(A131='Données projet'!$A$140,'Données projet'!$B$140,CT130+CS131-DB130)))</f>
        <v>430.14200000000073</v>
      </c>
      <c r="CU131" s="17">
        <f>CT131*VLOOKUP('Données projet'!$B$13,Paramètres!$A$1:$I$89,3,0)*VLOOKUP('Données projet'!$B$13,Paramètres!$A$1:$I$89,5,0)</f>
        <v>389.19248160000063</v>
      </c>
      <c r="CV131" s="13">
        <f t="shared" si="95"/>
        <v>89.582126151232899</v>
      </c>
      <c r="CW131" s="20">
        <f t="shared" si="67"/>
        <v>833.86577516673162</v>
      </c>
      <c r="CX131" s="59">
        <f t="shared" si="68"/>
        <v>1127.199108500065</v>
      </c>
      <c r="CY131" s="59">
        <f ca="1">AVERAGE(OFFSET($CX$3,0,0,'Données projet'!$E$13+1,1))-AVERAGE(OFFSET($H$3,0,0,'Données projet'!$E$13+1,1))</f>
        <v>479.84731392413374</v>
      </c>
      <c r="CZ131" s="59">
        <f t="shared" si="96"/>
        <v>203.57601099841213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35.672184961247588</v>
      </c>
      <c r="DG131" s="21">
        <f>EXP(-LN(2)/25)*DG130+(1-EXP(-LN(2)/25))/(LN(2)/25)*Calculateur!DB131*Calculateur!DD131*VLOOKUP('Données projet'!$B$13,Paramètres!$A$1:$I$89,3,0)*0.475*44/12</f>
        <v>21.920481805099897</v>
      </c>
      <c r="DH131" s="21">
        <f>EXP(-LN(2)/2)*DH130+(1-EXP(-LN(2)/2))/(LN(2)/2)*DB131*DE131*VLOOKUP('Données projet'!$B$13,Paramètres!$A$1:$I$89,3,0)*0.475*44/12</f>
        <v>1.2764950843811578</v>
      </c>
      <c r="DI131" s="22">
        <f t="shared" si="69"/>
        <v>58.869161850728645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293.3333333333353</v>
      </c>
      <c r="S132" s="59">
        <f ca="1">AVERAGE(OFFSET($R$3,0,0,'Données projet'!$E$9+1,1))-AVERAGE(OFFSET($H$3,0,0,'Données projet'!$E$9+1,1))</f>
        <v>322.7909000321435</v>
      </c>
      <c r="T132" s="59">
        <f t="shared" si="88"/>
        <v>403.23516981532316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41.938055746852363</v>
      </c>
      <c r="AA132" s="21">
        <f>EXP(-LN(2)/25)*AA131+(1-EXP(-LN(2)/25))/(LN(2)/25)*Calculateur!V132*Calculateur!X132*VLOOKUP('Données projet'!$B$9,Paramètres!$A$1:$I$89,3,0)*0.475*44/12</f>
        <v>8.1481545991278619</v>
      </c>
      <c r="AB132" s="21">
        <f>EXP(-LN(2)/2)*AB131+(1-EXP(-LN(2)/2))/(LN(2)/2)*V132*Y132*VLOOKUP('Données projet'!$B$9,Paramètres!$A$1:$I$89,3,0)*0.475*44/12</f>
        <v>7.954426584166832E-10</v>
      </c>
      <c r="AC132" s="22">
        <f t="shared" ref="AC132:AC153" si="111">SUM(Z132:AB132)</f>
        <v>50.086210346775673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3.4106051316484809E-13</v>
      </c>
      <c r="AJ132" s="13">
        <f>AI132*VLOOKUP('Données projet'!$B$10,Paramètres!$A$1:$I$89,3,0)*VLOOKUP('Données projet'!$B$10,Paramètres!$A$1:$I$89,5,0)</f>
        <v>1.5961632016114892E-13</v>
      </c>
      <c r="AK132" s="13">
        <f t="shared" si="89"/>
        <v>2.2708641912150958E-12</v>
      </c>
      <c r="AL132" s="20">
        <f t="shared" ref="AL132:AL153" si="112">(AJ132+AK132)*0.475*44/12</f>
        <v>4.2330868906469593E-12</v>
      </c>
      <c r="AM132" s="59">
        <f t="shared" ref="AM132:AM195" si="113">AL132+(AD132+AE132)*44/12</f>
        <v>293.33333333333752</v>
      </c>
      <c r="AN132" s="59">
        <f ca="1">AVERAGE(OFFSET($AM$3,0,0,'Données projet'!$E$10+1,1))-AVERAGE(OFFSET($H$3,0,0,'Données projet'!$E$10+1,1))</f>
        <v>187.82209112143374</v>
      </c>
      <c r="AO132" s="59">
        <f t="shared" si="90"/>
        <v>158.99136654880203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88.304951253765523</v>
      </c>
      <c r="AV132" s="21">
        <f>EXP(-LN(2)/25)*AV131+(1-EXP(-LN(2)/25))/(LN(2)/25)*Calculateur!AQ132*Calculateur!AS132*VLOOKUP('Données projet'!$B$10,Paramètres!$A$1:$I$89,3,0)*0.475*44/12</f>
        <v>24.055707267524969</v>
      </c>
      <c r="AW132" s="21">
        <f>EXP(-LN(2)/2)*AW131+(1-EXP(-LN(2)/2))/(LN(2)/2)*AQ132*AT132*VLOOKUP('Données projet'!$B$10,Paramètres!$A$1:$I$89,3,0)*0.475*44/12</f>
        <v>3.0749901385578742E-2</v>
      </c>
      <c r="AX132" s="21">
        <f t="shared" ref="AX132:AX153" si="114">SUM(AU132:AW132)</f>
        <v>112.39140842267607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140.32771978791288</v>
      </c>
      <c r="BJ132" s="59">
        <f t="shared" si="92"/>
        <v>135.76866977947634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4.9952282698582735</v>
      </c>
      <c r="BQ132" s="21">
        <f>EXP(-LN(2)/25)*BQ131+(1-EXP(-LN(2)/25))/(LN(2)/25)*Calculateur!BL132*Calculateur!BN132*VLOOKUP('Données projet'!$B$11,Paramètres!$A$1:$I$89,3,0)*0.475*44/12</f>
        <v>21.659183443900691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26.654411713758964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7.1129999999999995</v>
      </c>
      <c r="BY132" s="12">
        <f>IF('Données projet'!$A$114&gt;35,BY131+BX132-CG131,IF(A132&lt;'Données projet'!$A$114,$BV$205^A132,IF(A132='Données projet'!$A$114,'Données projet'!$B$114,BY131+BX132-CG131)))</f>
        <v>319.23100000000005</v>
      </c>
      <c r="BZ132" s="13">
        <f>BY132*VLOOKUP('Données projet'!$B$12,Paramètres!$A$1:$I$89,3,0)*VLOOKUP('Données projet'!$B$12,Paramètres!$A$1:$I$89,5,0)</f>
        <v>323.70023400000008</v>
      </c>
      <c r="CA132" s="13">
        <f t="shared" si="93"/>
        <v>76.122743392807436</v>
      </c>
      <c r="CB132" s="20">
        <f t="shared" ref="CB132:CB153" si="118">(BZ132+CA132)*0.475*44/12</f>
        <v>696.35835229247311</v>
      </c>
      <c r="CC132" s="59">
        <f t="shared" ref="CC132:CC195" si="119">CB132+(BT132+BU132)*44/12</f>
        <v>989.69168562580649</v>
      </c>
      <c r="CD132" s="59">
        <f ca="1">AVERAGE(OFFSET($CC$3,0,0,'Données projet'!$E$12+1,1))-AVERAGE(OFFSET($H$3,0,0,'Données projet'!$E$12+1,1))</f>
        <v>372.05986520199804</v>
      </c>
      <c r="CE132" s="59">
        <f t="shared" si="94"/>
        <v>184.37981929432044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22.232539848836037</v>
      </c>
      <c r="CL132" s="21">
        <f>EXP(-LN(2)/25)*CL131+(1-EXP(-LN(2)/25))/(LN(2)/25)*Calculateur!CG132*Calculateur!CI132*VLOOKUP('Données projet'!$B$12,Paramètres!$A$1:$I$89,3,0)*0.475*44/12</f>
        <v>21.042865958902397</v>
      </c>
      <c r="CM132" s="21">
        <f>EXP(-LN(2)/2)*CM131+(1-EXP(-LN(2)/2))/(LN(2)/2)*CG132*CJ132*VLOOKUP('Données projet'!$B$12,Paramètres!$A$1:$I$89,3,0)*0.475*44/12</f>
        <v>0.40380315169139586</v>
      </c>
      <c r="CN132" s="22">
        <f t="shared" ref="CN132:CN153" si="120">SUM(CK132:CM132)</f>
        <v>43.679208959429836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9.0229999999999961</v>
      </c>
      <c r="CT132" s="12">
        <f>IF('Données projet'!$A$140&gt;35,CT131+CS132-DB131,IF(A132&lt;'Données projet'!$A$140,$CQ$205^A132,IF(A132='Données projet'!$A$140,'Données projet'!$B$140,CT131+CS132-DB131)))</f>
        <v>439.16500000000076</v>
      </c>
      <c r="CU132" s="17">
        <f>CT132*VLOOKUP('Données projet'!$B$13,Paramètres!$A$1:$I$89,3,0)*VLOOKUP('Données projet'!$B$13,Paramètres!$A$1:$I$89,5,0)</f>
        <v>397.35649200000069</v>
      </c>
      <c r="CV132" s="13">
        <f t="shared" si="95"/>
        <v>91.240527898934658</v>
      </c>
      <c r="CW132" s="20">
        <f t="shared" ref="CW132:CW153" si="121">(CU132+CV132)*0.475*44/12</f>
        <v>850.97314299064567</v>
      </c>
      <c r="CX132" s="59">
        <f t="shared" ref="CX132:CX195" si="122">CW132+(CO132+CP132)*44/12</f>
        <v>1144.306476323979</v>
      </c>
      <c r="CY132" s="59">
        <f ca="1">AVERAGE(OFFSET($CX$3,0,0,'Données projet'!$E$13+1,1))-AVERAGE(OFFSET($H$3,0,0,'Données projet'!$E$13+1,1))</f>
        <v>479.84731392413374</v>
      </c>
      <c r="CZ132" s="59">
        <f t="shared" si="96"/>
        <v>203.57601099841213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34.972675172041939</v>
      </c>
      <c r="DG132" s="21">
        <f>EXP(-LN(2)/25)*DG131+(1-EXP(-LN(2)/25))/(LN(2)/25)*Calculateur!DB132*Calculateur!DD132*VLOOKUP('Données projet'!$B$13,Paramètres!$A$1:$I$89,3,0)*0.475*44/12</f>
        <v>21.321065077391403</v>
      </c>
      <c r="DH132" s="21">
        <f>EXP(-LN(2)/2)*DH131+(1-EXP(-LN(2)/2))/(LN(2)/2)*DB132*DE132*VLOOKUP('Données projet'!$B$13,Paramètres!$A$1:$I$89,3,0)*0.475*44/12</f>
        <v>0.90261833031721095</v>
      </c>
      <c r="DI132" s="22">
        <f t="shared" ref="DI132:DI153" si="123">SUM(DF132:DH132)</f>
        <v>57.196358579750552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293.3333333333353</v>
      </c>
      <c r="S133" s="59">
        <f ca="1">AVERAGE(OFFSET($R$3,0,0,'Données projet'!$E$9+1,1))-AVERAGE(OFFSET($H$3,0,0,'Données projet'!$E$9+1,1))</f>
        <v>322.7909000321435</v>
      </c>
      <c r="T133" s="59">
        <f t="shared" ref="T133:T196" si="142">$T$3</f>
        <v>403.23516981532316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41.115676053344806</v>
      </c>
      <c r="AA133" s="21">
        <f>EXP(-LN(2)/25)*AA132+(1-EXP(-LN(2)/25))/(LN(2)/25)*Calculateur!V133*Calculateur!X133*VLOOKUP('Données projet'!$B$9,Paramètres!$A$1:$I$89,3,0)*0.475*44/12</f>
        <v>7.9253428831218828</v>
      </c>
      <c r="AB133" s="21">
        <f>EXP(-LN(2)/2)*AB132+(1-EXP(-LN(2)/2))/(LN(2)/2)*V133*Y133*VLOOKUP('Données projet'!$B$9,Paramètres!$A$1:$I$89,3,0)*0.475*44/12</f>
        <v>5.6246289781149127E-10</v>
      </c>
      <c r="AC133" s="22">
        <f t="shared" si="111"/>
        <v>49.041018937029158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3.4106051316484809E-13</v>
      </c>
      <c r="AJ133" s="13">
        <f>AI133*VLOOKUP('Données projet'!$B$10,Paramètres!$A$1:$I$89,3,0)*VLOOKUP('Données projet'!$B$10,Paramètres!$A$1:$I$89,5,0)</f>
        <v>1.5961632016114892E-13</v>
      </c>
      <c r="AK133" s="13">
        <f t="shared" ref="AK133:AK153" si="143">EXP(-1.0587+0.8836*LN(AJ133)+0.284)</f>
        <v>2.2708641912150958E-12</v>
      </c>
      <c r="AL133" s="20">
        <f t="shared" si="112"/>
        <v>4.2330868906469593E-12</v>
      </c>
      <c r="AM133" s="59">
        <f t="shared" si="113"/>
        <v>293.33333333333752</v>
      </c>
      <c r="AN133" s="59">
        <f ca="1">AVERAGE(OFFSET($AM$3,0,0,'Données projet'!$E$10+1,1))-AVERAGE(OFFSET($H$3,0,0,'Données projet'!$E$10+1,1))</f>
        <v>187.82209112143374</v>
      </c>
      <c r="AO133" s="59">
        <f t="shared" ref="AO133:AO196" si="144">$AO$3</f>
        <v>158.99136654880203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86.57334502038114</v>
      </c>
      <c r="AV133" s="21">
        <f>EXP(-LN(2)/25)*AV132+(1-EXP(-LN(2)/25))/(LN(2)/25)*Calculateur!AQ133*Calculateur!AS133*VLOOKUP('Données projet'!$B$10,Paramètres!$A$1:$I$89,3,0)*0.475*44/12</f>
        <v>23.397902687259833</v>
      </c>
      <c r="AW133" s="21">
        <f>EXP(-LN(2)/2)*AW132+(1-EXP(-LN(2)/2))/(LN(2)/2)*AQ133*AT133*VLOOKUP('Données projet'!$B$10,Paramètres!$A$1:$I$89,3,0)*0.475*44/12</f>
        <v>2.1743463790560344E-2</v>
      </c>
      <c r="AX133" s="21">
        <f t="shared" si="114"/>
        <v>109.99299117143153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140.32771978791288</v>
      </c>
      <c r="BJ133" s="59">
        <f t="shared" ref="BJ133:BJ196" si="146">$BJ$3</f>
        <v>135.76866977947634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4.897274890274752</v>
      </c>
      <c r="BQ133" s="21">
        <f>EXP(-LN(2)/25)*BQ132+(1-EXP(-LN(2)/25))/(LN(2)/25)*Calculateur!BL133*Calculateur!BN133*VLOOKUP('Données projet'!$B$11,Paramètres!$A$1:$I$89,3,0)*0.475*44/12</f>
        <v>21.066911933620272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25.964186823895023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7.1129999999999995</v>
      </c>
      <c r="BY133" s="12">
        <f>IF('Données projet'!$A$114&gt;35,BY132+BX133-CG132,IF(A133&lt;'Données projet'!$A$114,$BV$205^A133,IF(A133='Données projet'!$A$114,'Données projet'!$B$114,BY132+BX133-CG132)))</f>
        <v>326.34400000000005</v>
      </c>
      <c r="BZ133" s="13">
        <f>BY133*VLOOKUP('Données projet'!$B$12,Paramètres!$A$1:$I$89,3,0)*VLOOKUP('Données projet'!$B$12,Paramètres!$A$1:$I$89,5,0)</f>
        <v>330.91281600000008</v>
      </c>
      <c r="CA133" s="13">
        <f t="shared" ref="CA133:CA153" si="147">EXP(-1.0587+0.8836*LN(BZ133)+0.284)</f>
        <v>77.619526782062408</v>
      </c>
      <c r="CB133" s="20">
        <f t="shared" si="118"/>
        <v>711.52716367875882</v>
      </c>
      <c r="CC133" s="59">
        <f t="shared" si="119"/>
        <v>1004.8604970120921</v>
      </c>
      <c r="CD133" s="59">
        <f ca="1">AVERAGE(OFFSET($CC$3,0,0,'Données projet'!$E$12+1,1))-AVERAGE(OFFSET($H$3,0,0,'Données projet'!$E$12+1,1))</f>
        <v>372.05986520199804</v>
      </c>
      <c r="CE133" s="59">
        <f t="shared" ref="CE133:CE196" si="148">$CE$3</f>
        <v>184.37981929432044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21.79657330291068</v>
      </c>
      <c r="CL133" s="21">
        <f>EXP(-LN(2)/25)*CL132+(1-EXP(-LN(2)/25))/(LN(2)/25)*Calculateur!CG133*Calculateur!CI133*VLOOKUP('Données projet'!$B$12,Paramètres!$A$1:$I$89,3,0)*0.475*44/12</f>
        <v>20.467447682659984</v>
      </c>
      <c r="CM133" s="21">
        <f>EXP(-LN(2)/2)*CM132+(1-EXP(-LN(2)/2))/(LN(2)/2)*CG133*CJ133*VLOOKUP('Données projet'!$B$12,Paramètres!$A$1:$I$89,3,0)*0.475*44/12</f>
        <v>0.2855319468254861</v>
      </c>
      <c r="CN133" s="22">
        <f t="shared" si="120"/>
        <v>42.549552932396153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9.0229999999999961</v>
      </c>
      <c r="CT133" s="12">
        <f>IF('Données projet'!$A$140&gt;35,CT132+CS133-DB132,IF(A133&lt;'Données projet'!$A$140,$CQ$205^A133,IF(A133='Données projet'!$A$140,'Données projet'!$B$140,CT132+CS133-DB132)))</f>
        <v>448.18800000000078</v>
      </c>
      <c r="CU133" s="17">
        <f>CT133*VLOOKUP('Données projet'!$B$13,Paramètres!$A$1:$I$89,3,0)*VLOOKUP('Données projet'!$B$13,Paramètres!$A$1:$I$89,5,0)</f>
        <v>405.52050240000068</v>
      </c>
      <c r="CV133" s="13">
        <f t="shared" ref="CV133:CV153" si="149">EXP(-1.0587+0.8836*LN(CU133)+0.284)</f>
        <v>92.894967969753338</v>
      </c>
      <c r="CW133" s="20">
        <f t="shared" si="121"/>
        <v>868.07361089398819</v>
      </c>
      <c r="CX133" s="59">
        <f t="shared" si="122"/>
        <v>1161.4069442273214</v>
      </c>
      <c r="CY133" s="59">
        <f ca="1">AVERAGE(OFFSET($CX$3,0,0,'Données projet'!$E$13+1,1))-AVERAGE(OFFSET($H$3,0,0,'Données projet'!$E$13+1,1))</f>
        <v>479.84731392413374</v>
      </c>
      <c r="CZ133" s="59">
        <f t="shared" ref="CZ133:CZ196" si="150">$CZ$3</f>
        <v>203.57601099841213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34.286882343143766</v>
      </c>
      <c r="DG133" s="21">
        <f>EXP(-LN(2)/25)*DG132+(1-EXP(-LN(2)/25))/(LN(2)/25)*Calculateur!DB133*Calculateur!DD133*VLOOKUP('Données projet'!$B$13,Paramètres!$A$1:$I$89,3,0)*0.475*44/12</f>
        <v>20.738039431624053</v>
      </c>
      <c r="DH133" s="21">
        <f>EXP(-LN(2)/2)*DH132+(1-EXP(-LN(2)/2))/(LN(2)/2)*DB133*DE133*VLOOKUP('Données projet'!$B$13,Paramètres!$A$1:$I$89,3,0)*0.475*44/12</f>
        <v>0.638247542190579</v>
      </c>
      <c r="DI133" s="22">
        <f t="shared" si="123"/>
        <v>55.663169316958395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293.3333333333353</v>
      </c>
      <c r="S134" s="59">
        <f ca="1">AVERAGE(OFFSET($R$3,0,0,'Données projet'!$E$9+1,1))-AVERAGE(OFFSET($H$3,0,0,'Données projet'!$E$9+1,1))</f>
        <v>322.7909000321435</v>
      </c>
      <c r="T134" s="59">
        <f t="shared" si="142"/>
        <v>403.23516981532316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40.309422724024849</v>
      </c>
      <c r="AA134" s="21">
        <f>EXP(-LN(2)/25)*AA133+(1-EXP(-LN(2)/25))/(LN(2)/25)*Calculateur!V134*Calculateur!X134*VLOOKUP('Données projet'!$B$9,Paramètres!$A$1:$I$89,3,0)*0.475*44/12</f>
        <v>7.7086239652072459</v>
      </c>
      <c r="AB134" s="21">
        <f>EXP(-LN(2)/2)*AB133+(1-EXP(-LN(2)/2))/(LN(2)/2)*V134*Y134*VLOOKUP('Données projet'!$B$9,Paramètres!$A$1:$I$89,3,0)*0.475*44/12</f>
        <v>3.977213292083416E-10</v>
      </c>
      <c r="AC134" s="22">
        <f t="shared" si="111"/>
        <v>48.018046689629813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3.4106051316484809E-13</v>
      </c>
      <c r="AJ134" s="13">
        <f>AI134*VLOOKUP('Données projet'!$B$10,Paramètres!$A$1:$I$89,3,0)*VLOOKUP('Données projet'!$B$10,Paramètres!$A$1:$I$89,5,0)</f>
        <v>1.5961632016114892E-13</v>
      </c>
      <c r="AK134" s="13">
        <f t="shared" si="143"/>
        <v>2.2708641912150958E-12</v>
      </c>
      <c r="AL134" s="20">
        <f t="shared" si="112"/>
        <v>4.2330868906469593E-12</v>
      </c>
      <c r="AM134" s="59">
        <f t="shared" si="113"/>
        <v>293.33333333333752</v>
      </c>
      <c r="AN134" s="59">
        <f ca="1">AVERAGE(OFFSET($AM$3,0,0,'Données projet'!$E$10+1,1))-AVERAGE(OFFSET($H$3,0,0,'Données projet'!$E$10+1,1))</f>
        <v>187.82209112143374</v>
      </c>
      <c r="AO134" s="59">
        <f t="shared" si="144"/>
        <v>158.99136654880203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84.87569452905791</v>
      </c>
      <c r="AV134" s="21">
        <f>EXP(-LN(2)/25)*AV133+(1-EXP(-LN(2)/25))/(LN(2)/25)*Calculateur!AQ134*Calculateur!AS134*VLOOKUP('Données projet'!$B$10,Paramètres!$A$1:$I$89,3,0)*0.475*44/12</f>
        <v>22.758085807834487</v>
      </c>
      <c r="AW134" s="21">
        <f>EXP(-LN(2)/2)*AW133+(1-EXP(-LN(2)/2))/(LN(2)/2)*AQ134*AT134*VLOOKUP('Données projet'!$B$10,Paramètres!$A$1:$I$89,3,0)*0.475*44/12</f>
        <v>1.5374950692789373E-2</v>
      </c>
      <c r="AX134" s="21">
        <f t="shared" si="114"/>
        <v>107.64915528758519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140.32771978791288</v>
      </c>
      <c r="BJ134" s="59">
        <f t="shared" si="146"/>
        <v>135.76866977947634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4.8012423167192013</v>
      </c>
      <c r="BQ134" s="21">
        <f>EXP(-LN(2)/25)*BQ133+(1-EXP(-LN(2)/25))/(LN(2)/25)*Calculateur!BL134*Calculateur!BN134*VLOOKUP('Données projet'!$B$11,Paramètres!$A$1:$I$89,3,0)*0.475*44/12</f>
        <v>20.490836118934677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25.292078435653877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7.1129999999999995</v>
      </c>
      <c r="BY134" s="12">
        <f>IF('Données projet'!$A$114&gt;35,BY133+BX134-CG133,IF(A134&lt;'Données projet'!$A$114,$BV$205^A134,IF(A134='Données projet'!$A$114,'Données projet'!$B$114,BY133+BX134-CG133)))</f>
        <v>333.45700000000005</v>
      </c>
      <c r="BZ134" s="13">
        <f>BY134*VLOOKUP('Données projet'!$B$12,Paramètres!$A$1:$I$89,3,0)*VLOOKUP('Données projet'!$B$12,Paramètres!$A$1:$I$89,5,0)</f>
        <v>338.12539800000008</v>
      </c>
      <c r="CA134" s="13">
        <f t="shared" si="147"/>
        <v>79.112517242778139</v>
      </c>
      <c r="CB134" s="20">
        <f t="shared" si="118"/>
        <v>726.68936904783868</v>
      </c>
      <c r="CC134" s="59">
        <f t="shared" si="119"/>
        <v>1020.0227023811719</v>
      </c>
      <c r="CD134" s="59">
        <f ca="1">AVERAGE(OFFSET($CC$3,0,0,'Données projet'!$E$12+1,1))-AVERAGE(OFFSET($H$3,0,0,'Données projet'!$E$12+1,1))</f>
        <v>372.05986520199804</v>
      </c>
      <c r="CE134" s="59">
        <f t="shared" si="148"/>
        <v>184.37981929432044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21.369155795037585</v>
      </c>
      <c r="CL134" s="21">
        <f>EXP(-LN(2)/25)*CL133+(1-EXP(-LN(2)/25))/(LN(2)/25)*Calculateur!CG134*Calculateur!CI134*VLOOKUP('Données projet'!$B$12,Paramètres!$A$1:$I$89,3,0)*0.475*44/12</f>
        <v>19.907764249441353</v>
      </c>
      <c r="CM134" s="21">
        <f>EXP(-LN(2)/2)*CM133+(1-EXP(-LN(2)/2))/(LN(2)/2)*CG134*CJ134*VLOOKUP('Données projet'!$B$12,Paramètres!$A$1:$I$89,3,0)*0.475*44/12</f>
        <v>0.20190157584569793</v>
      </c>
      <c r="CN134" s="22">
        <f t="shared" si="120"/>
        <v>41.478821620324638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9.0229999999999961</v>
      </c>
      <c r="CT134" s="12">
        <f>IF('Données projet'!$A$140&gt;35,CT133+CS134-DB133,IF(A134&lt;'Données projet'!$A$140,$CQ$205^A134,IF(A134='Données projet'!$A$140,'Données projet'!$B$140,CT133+CS134-DB133)))</f>
        <v>457.21100000000081</v>
      </c>
      <c r="CU134" s="17">
        <f>CT134*VLOOKUP('Données projet'!$B$13,Paramètres!$A$1:$I$89,3,0)*VLOOKUP('Données projet'!$B$13,Paramètres!$A$1:$I$89,5,0)</f>
        <v>413.68451280000073</v>
      </c>
      <c r="CV134" s="13">
        <f t="shared" si="149"/>
        <v>94.545535312483779</v>
      </c>
      <c r="CW134" s="20">
        <f t="shared" si="121"/>
        <v>885.16733379591051</v>
      </c>
      <c r="CX134" s="59">
        <f t="shared" si="122"/>
        <v>1178.5006671292438</v>
      </c>
      <c r="CY134" s="59">
        <f ca="1">AVERAGE(OFFSET($CX$3,0,0,'Données projet'!$E$13+1,1))-AVERAGE(OFFSET($H$3,0,0,'Données projet'!$E$13+1,1))</f>
        <v>479.84731392413374</v>
      </c>
      <c r="CZ134" s="59">
        <f t="shared" si="150"/>
        <v>203.57601099841213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33.614537493327965</v>
      </c>
      <c r="DG134" s="21">
        <f>EXP(-LN(2)/25)*DG133+(1-EXP(-LN(2)/25))/(LN(2)/25)*Calculateur!DB134*Calculateur!DD134*VLOOKUP('Données projet'!$B$13,Paramètres!$A$1:$I$89,3,0)*0.475*44/12</f>
        <v>20.170956652800196</v>
      </c>
      <c r="DH134" s="21">
        <f>EXP(-LN(2)/2)*DH133+(1-EXP(-LN(2)/2))/(LN(2)/2)*DB134*DE134*VLOOKUP('Données projet'!$B$13,Paramètres!$A$1:$I$89,3,0)*0.475*44/12</f>
        <v>0.45130916515860553</v>
      </c>
      <c r="DI134" s="22">
        <f t="shared" si="123"/>
        <v>54.236803311286764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293.3333333333353</v>
      </c>
      <c r="S135" s="59">
        <f ca="1">AVERAGE(OFFSET($R$3,0,0,'Données projet'!$E$9+1,1))-AVERAGE(OFFSET($H$3,0,0,'Données projet'!$E$9+1,1))</f>
        <v>322.7909000321435</v>
      </c>
      <c r="T135" s="59">
        <f t="shared" si="142"/>
        <v>403.23516981532316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39.518979530726888</v>
      </c>
      <c r="AA135" s="21">
        <f>EXP(-LN(2)/25)*AA134+(1-EXP(-LN(2)/25))/(LN(2)/25)*Calculateur!V135*Calculateur!X135*VLOOKUP('Données projet'!$B$9,Paramètres!$A$1:$I$89,3,0)*0.475*44/12</f>
        <v>7.4978312374997378</v>
      </c>
      <c r="AB135" s="21">
        <f>EXP(-LN(2)/2)*AB134+(1-EXP(-LN(2)/2))/(LN(2)/2)*V135*Y135*VLOOKUP('Données projet'!$B$9,Paramètres!$A$1:$I$89,3,0)*0.475*44/12</f>
        <v>2.8123144890574564E-10</v>
      </c>
      <c r="AC135" s="22">
        <f t="shared" si="111"/>
        <v>47.01681076850786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3.4106051316484809E-13</v>
      </c>
      <c r="AJ135" s="13">
        <f>AI135*VLOOKUP('Données projet'!$B$10,Paramètres!$A$1:$I$89,3,0)*VLOOKUP('Données projet'!$B$10,Paramètres!$A$1:$I$89,5,0)</f>
        <v>1.5961632016114892E-13</v>
      </c>
      <c r="AK135" s="13">
        <f t="shared" si="143"/>
        <v>2.2708641912150958E-12</v>
      </c>
      <c r="AL135" s="20">
        <f t="shared" si="112"/>
        <v>4.2330868906469593E-12</v>
      </c>
      <c r="AM135" s="59">
        <f t="shared" si="113"/>
        <v>293.33333333333752</v>
      </c>
      <c r="AN135" s="59">
        <f ca="1">AVERAGE(OFFSET($AM$3,0,0,'Données projet'!$E$10+1,1))-AVERAGE(OFFSET($H$3,0,0,'Données projet'!$E$10+1,1))</f>
        <v>187.82209112143374</v>
      </c>
      <c r="AO135" s="59">
        <f t="shared" si="144"/>
        <v>158.99136654880203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83.211333928404983</v>
      </c>
      <c r="AV135" s="21">
        <f>EXP(-LN(2)/25)*AV134+(1-EXP(-LN(2)/25))/(LN(2)/25)*Calculateur!AQ135*Calculateur!AS135*VLOOKUP('Données projet'!$B$10,Paramètres!$A$1:$I$89,3,0)*0.475*44/12</f>
        <v>22.135764754623533</v>
      </c>
      <c r="AW135" s="21">
        <f>EXP(-LN(2)/2)*AW134+(1-EXP(-LN(2)/2))/(LN(2)/2)*AQ135*AT135*VLOOKUP('Données projet'!$B$10,Paramètres!$A$1:$I$89,3,0)*0.475*44/12</f>
        <v>1.0871731895280174E-2</v>
      </c>
      <c r="AX135" s="21">
        <f t="shared" si="114"/>
        <v>105.3579704149238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140.32771978791288</v>
      </c>
      <c r="BJ135" s="59">
        <f t="shared" si="146"/>
        <v>135.76866977947634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4.7070928833569887</v>
      </c>
      <c r="BQ135" s="21">
        <f>EXP(-LN(2)/25)*BQ134+(1-EXP(-LN(2)/25))/(LN(2)/25)*Calculateur!BL135*Calculateur!BN135*VLOOKUP('Données projet'!$B$11,Paramètres!$A$1:$I$89,3,0)*0.475*44/12</f>
        <v>19.93051312769617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24.637606011053158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>
        <f>VLOOKUP(A135,'Données projet'!$A$113:$I$133,2,0)</f>
        <v>340.57</v>
      </c>
      <c r="BW135" s="12">
        <f>VLOOKUP(A135,'Données projet'!$A$113:$I$133,9,0)</f>
        <v>7.1129999999999995</v>
      </c>
      <c r="BX135" s="12">
        <f t="array" ref="BX135">INDEX(BW:BW,MIN(IF(ISNUMBER(BW135:BW331),ROW(BW135:BW331),"")))</f>
        <v>7.1129999999999995</v>
      </c>
      <c r="BY135" s="12">
        <f>IF('Données projet'!$A$114&gt;35,BY134+BX135-CG134,IF(A135&lt;'Données projet'!$A$114,$BV$205^A135,IF(A135='Données projet'!$A$114,'Données projet'!$B$114,BY134+BX135-CG134)))</f>
        <v>340.57000000000005</v>
      </c>
      <c r="BZ135" s="13">
        <f>BY135*VLOOKUP('Données projet'!$B$12,Paramètres!$A$1:$I$89,3,0)*VLOOKUP('Données projet'!$B$12,Paramètres!$A$1:$I$89,5,0)</f>
        <v>345.33798000000007</v>
      </c>
      <c r="CA135" s="13">
        <f t="shared" si="147"/>
        <v>80.601805001623404</v>
      </c>
      <c r="CB135" s="20">
        <f t="shared" si="118"/>
        <v>741.84512554449418</v>
      </c>
      <c r="CC135" s="59">
        <f t="shared" si="119"/>
        <v>1035.1784588778276</v>
      </c>
      <c r="CD135" s="59">
        <f ca="1">AVERAGE(OFFSET($CC$3,0,0,'Données projet'!$E$12+1,1))-AVERAGE(OFFSET($H$3,0,0,'Données projet'!$E$12+1,1))</f>
        <v>372.05986520199804</v>
      </c>
      <c r="CE135" s="59">
        <f t="shared" si="148"/>
        <v>184.37981929432044</v>
      </c>
      <c r="CF135" s="15">
        <f>IF(ISNA(VLOOKUP(A135,'Données projet'!$A$113:$I$133,3,0)),0,VLOOKUP(A135,'Données projet'!$A$113:$I$133,3,0))</f>
        <v>9</v>
      </c>
      <c r="CG135" s="15">
        <f>IF(ISNA(VLOOKUP(A135,'Données projet'!$A$113:$I$133,4,0)),0,VLOOKUP(A135,'Données projet'!$A$113:$I$133,4,0))</f>
        <v>48.699999999999989</v>
      </c>
      <c r="CH135" s="16">
        <f>IF(ISNA(VLOOKUP(A135,'Données projet'!$A$113:$I$133,5,0)),0%,VLOOKUP(A135,'Données projet'!$A$113:$I$133,5,0)*VLOOKUP('Données projet'!$B$12,Paramètres!$A$1:$I$89,7,0))</f>
        <v>0.15049999999999999</v>
      </c>
      <c r="CI135" s="16">
        <f>IF(ISNA(VLOOKUP(A135,'Données projet'!$A$113:$I$133,6,0)),0%,VLOOKUP(A135,'Données projet'!$A$113:$I$133,6,0)*VLOOKUP('Données projet'!$B$12,Paramètres!$A$1:$I$89,7,0))</f>
        <v>8.6000000000000007E-2</v>
      </c>
      <c r="CJ135" s="16">
        <f>IF(ISNA(VLOOKUP(A135,'Données projet'!$A$113:$I$133,7,0)),0%,VLOOKUP(A135,'Données projet'!$A$113:$I$133,7,0))</f>
        <v>0.1</v>
      </c>
      <c r="CK135" s="21">
        <f>EXP(-LN(2)/35)*CK134+(1-EXP(-LN(2)/35))/(LN(2)/35)*CG135*CH135*VLOOKUP('Données projet'!$B$12,Paramètres!$A$1:$I$89,3,0)*0.475*44/12</f>
        <v>29.165932320591985</v>
      </c>
      <c r="CL135" s="21">
        <f>EXP(-LN(2)/25)*CL134+(1-EXP(-LN(2)/25))/(LN(2)/25)*Calculateur!CG135*Calculateur!CI135*VLOOKUP('Données projet'!$B$12,Paramètres!$A$1:$I$89,3,0)*0.475*44/12</f>
        <v>24.039650447408519</v>
      </c>
      <c r="CM135" s="21">
        <f>EXP(-LN(2)/2)*CM134+(1-EXP(-LN(2)/2))/(LN(2)/2)*CG135*CJ135*VLOOKUP('Données projet'!$B$12,Paramètres!$A$1:$I$89,3,0)*0.475*44/12</f>
        <v>4.802071712578778</v>
      </c>
      <c r="CN135" s="22">
        <f t="shared" si="120"/>
        <v>58.007654480579284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9.0229999999999961</v>
      </c>
      <c r="CT135" s="12">
        <f>IF('Données projet'!$A$140&gt;35,CT134+CS135-DB134,IF(A135&lt;'Données projet'!$A$140,$CQ$205^A135,IF(A135='Données projet'!$A$140,'Données projet'!$B$140,CT134+CS135-DB134)))</f>
        <v>466.23400000000083</v>
      </c>
      <c r="CU135" s="17">
        <f>CT135*VLOOKUP('Données projet'!$B$13,Paramètres!$A$1:$I$89,3,0)*VLOOKUP('Données projet'!$B$13,Paramètres!$A$1:$I$89,5,0)</f>
        <v>421.84852320000078</v>
      </c>
      <c r="CV135" s="13">
        <f t="shared" si="149"/>
        <v>96.192315164348642</v>
      </c>
      <c r="CW135" s="20">
        <f t="shared" si="121"/>
        <v>902.2544601512418</v>
      </c>
      <c r="CX135" s="59">
        <f t="shared" si="122"/>
        <v>1195.5877934845751</v>
      </c>
      <c r="CY135" s="59">
        <f ca="1">AVERAGE(OFFSET($CX$3,0,0,'Données projet'!$E$13+1,1))-AVERAGE(OFFSET($H$3,0,0,'Données projet'!$E$13+1,1))</f>
        <v>479.84731392413374</v>
      </c>
      <c r="CZ135" s="59">
        <f t="shared" si="150"/>
        <v>203.57601099841213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32.955376915927189</v>
      </c>
      <c r="DG135" s="21">
        <f>EXP(-LN(2)/25)*DG134+(1-EXP(-LN(2)/25))/(LN(2)/25)*Calculateur!DB135*Calculateur!DD135*VLOOKUP('Données projet'!$B$13,Paramètres!$A$1:$I$89,3,0)*0.475*44/12</f>
        <v>19.619380782384866</v>
      </c>
      <c r="DH135" s="21">
        <f>EXP(-LN(2)/2)*DH134+(1-EXP(-LN(2)/2))/(LN(2)/2)*DB135*DE135*VLOOKUP('Données projet'!$B$13,Paramètres!$A$1:$I$89,3,0)*0.475*44/12</f>
        <v>0.31912377109528955</v>
      </c>
      <c r="DI135" s="22">
        <f t="shared" si="123"/>
        <v>52.893881469407347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293.3333333333353</v>
      </c>
      <c r="S136" s="59">
        <f ca="1">AVERAGE(OFFSET($R$3,0,0,'Données projet'!$E$9+1,1))-AVERAGE(OFFSET($H$3,0,0,'Données projet'!$E$9+1,1))</f>
        <v>322.7909000321435</v>
      </c>
      <c r="T136" s="59">
        <f t="shared" si="142"/>
        <v>403.23516981532316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38.744036446326753</v>
      </c>
      <c r="AA136" s="21">
        <f>EXP(-LN(2)/25)*AA135+(1-EXP(-LN(2)/25))/(LN(2)/25)*Calculateur!V136*Calculateur!X136*VLOOKUP('Données projet'!$B$9,Paramètres!$A$1:$I$89,3,0)*0.475*44/12</f>
        <v>7.2928026480164991</v>
      </c>
      <c r="AB136" s="21">
        <f>EXP(-LN(2)/2)*AB135+(1-EXP(-LN(2)/2))/(LN(2)/2)*V136*Y136*VLOOKUP('Données projet'!$B$9,Paramètres!$A$1:$I$89,3,0)*0.475*44/12</f>
        <v>1.988606646041708E-10</v>
      </c>
      <c r="AC136" s="22">
        <f t="shared" si="111"/>
        <v>46.03683909454211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3.4106051316484809E-13</v>
      </c>
      <c r="AJ136" s="13">
        <f>AI136*VLOOKUP('Données projet'!$B$10,Paramètres!$A$1:$I$89,3,0)*VLOOKUP('Données projet'!$B$10,Paramètres!$A$1:$I$89,5,0)</f>
        <v>1.5961632016114892E-13</v>
      </c>
      <c r="AK136" s="13">
        <f t="shared" si="143"/>
        <v>2.2708641912150958E-12</v>
      </c>
      <c r="AL136" s="20">
        <f t="shared" si="112"/>
        <v>4.2330868906469593E-12</v>
      </c>
      <c r="AM136" s="59">
        <f t="shared" si="113"/>
        <v>293.33333333333752</v>
      </c>
      <c r="AN136" s="59">
        <f ca="1">AVERAGE(OFFSET($AM$3,0,0,'Données projet'!$E$10+1,1))-AVERAGE(OFFSET($H$3,0,0,'Données projet'!$E$10+1,1))</f>
        <v>187.82209112143374</v>
      </c>
      <c r="AO136" s="59">
        <f t="shared" si="144"/>
        <v>158.99136654880203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81.579610423971133</v>
      </c>
      <c r="AV136" s="21">
        <f>EXP(-LN(2)/25)*AV135+(1-EXP(-LN(2)/25))/(LN(2)/25)*Calculateur!AQ136*Calculateur!AS136*VLOOKUP('Données projet'!$B$10,Paramètres!$A$1:$I$89,3,0)*0.475*44/12</f>
        <v>21.530461103339075</v>
      </c>
      <c r="AW136" s="21">
        <f>EXP(-LN(2)/2)*AW135+(1-EXP(-LN(2)/2))/(LN(2)/2)*AQ136*AT136*VLOOKUP('Données projet'!$B$10,Paramètres!$A$1:$I$89,3,0)*0.475*44/12</f>
        <v>7.6874753463946881E-3</v>
      </c>
      <c r="AX136" s="21">
        <f t="shared" si="114"/>
        <v>103.11775900265661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140.32771978791288</v>
      </c>
      <c r="BJ136" s="59">
        <f t="shared" si="146"/>
        <v>135.76866977947634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4.6147896629575254</v>
      </c>
      <c r="BQ136" s="21">
        <f>EXP(-LN(2)/25)*BQ135+(1-EXP(-LN(2)/25))/(LN(2)/25)*Calculateur!BL136*Calculateur!BN136*VLOOKUP('Données projet'!$B$11,Paramètres!$A$1:$I$89,3,0)*0.475*44/12</f>
        <v>19.385512198119184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24.000301861076707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7.3375000000000012</v>
      </c>
      <c r="BY136" s="12">
        <f>IF('Données projet'!$A$114&gt;35,BY135+BX136-CG135,IF(A136&lt;'Données projet'!$A$114,$BV$205^A136,IF(A136='Données projet'!$A$114,'Données projet'!$B$114,BY135+BX136-CG135)))</f>
        <v>299.20750000000004</v>
      </c>
      <c r="BZ136" s="13">
        <f>BY136*VLOOKUP('Données projet'!$B$12,Paramètres!$A$1:$I$89,3,0)*VLOOKUP('Données projet'!$B$12,Paramètres!$A$1:$I$89,5,0)</f>
        <v>303.39640500000007</v>
      </c>
      <c r="CA136" s="13">
        <f t="shared" si="147"/>
        <v>71.888013236043776</v>
      </c>
      <c r="CB136" s="20">
        <f t="shared" si="118"/>
        <v>653.62036176110962</v>
      </c>
      <c r="CC136" s="59">
        <f t="shared" si="119"/>
        <v>946.95369509444299</v>
      </c>
      <c r="CD136" s="59">
        <f ca="1">AVERAGE(OFFSET($CC$3,0,0,'Données projet'!$E$12+1,1))-AVERAGE(OFFSET($H$3,0,0,'Données projet'!$E$12+1,1))</f>
        <v>372.05986520199804</v>
      </c>
      <c r="CE136" s="59">
        <f t="shared" si="148"/>
        <v>184.37981929432044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28.594006177247326</v>
      </c>
      <c r="CL136" s="21">
        <f>EXP(-LN(2)/25)*CL135+(1-EXP(-LN(2)/25))/(LN(2)/25)*Calculateur!CG136*Calculateur!CI136*VLOOKUP('Données projet'!$B$12,Paramètres!$A$1:$I$89,3,0)*0.475*44/12</f>
        <v>23.382284941733861</v>
      </c>
      <c r="CM136" s="21">
        <f>EXP(-LN(2)/2)*CM135+(1-EXP(-LN(2)/2))/(LN(2)/2)*CG136*CJ136*VLOOKUP('Données projet'!$B$12,Paramètres!$A$1:$I$89,3,0)*0.475*44/12</f>
        <v>3.3955774717085516</v>
      </c>
      <c r="CN136" s="22">
        <f t="shared" si="120"/>
        <v>55.371868590689736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9.0229999999999961</v>
      </c>
      <c r="CT136" s="12">
        <f>IF('Données projet'!$A$140&gt;35,CT135+CS136-DB135,IF(A136&lt;'Données projet'!$A$140,$CQ$205^A136,IF(A136='Données projet'!$A$140,'Données projet'!$B$140,CT135+CS136-DB135)))</f>
        <v>475.25700000000086</v>
      </c>
      <c r="CU136" s="17">
        <f>CT136*VLOOKUP('Données projet'!$B$13,Paramètres!$A$1:$I$89,3,0)*VLOOKUP('Données projet'!$B$13,Paramètres!$A$1:$I$89,5,0)</f>
        <v>430.01253360000078</v>
      </c>
      <c r="CV136" s="13">
        <f t="shared" si="149"/>
        <v>97.835389274652726</v>
      </c>
      <c r="CW136" s="20">
        <f t="shared" si="121"/>
        <v>919.33513234002146</v>
      </c>
      <c r="CX136" s="59">
        <f t="shared" si="122"/>
        <v>1212.6684656733548</v>
      </c>
      <c r="CY136" s="59">
        <f ca="1">AVERAGE(OFFSET($CX$3,0,0,'Données projet'!$E$13+1,1))-AVERAGE(OFFSET($H$3,0,0,'Données projet'!$E$13+1,1))</f>
        <v>479.84731392413374</v>
      </c>
      <c r="CZ136" s="59">
        <f t="shared" si="150"/>
        <v>203.57601099841213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32.309142075400985</v>
      </c>
      <c r="DG136" s="21">
        <f>EXP(-LN(2)/25)*DG135+(1-EXP(-LN(2)/25))/(LN(2)/25)*Calculateur!DB136*Calculateur!DD136*VLOOKUP('Données projet'!$B$13,Paramètres!$A$1:$I$89,3,0)*0.475*44/12</f>
        <v>19.082887783152156</v>
      </c>
      <c r="DH136" s="21">
        <f>EXP(-LN(2)/2)*DH135+(1-EXP(-LN(2)/2))/(LN(2)/2)*DB136*DE136*VLOOKUP('Données projet'!$B$13,Paramètres!$A$1:$I$89,3,0)*0.475*44/12</f>
        <v>0.22565458257930279</v>
      </c>
      <c r="DI136" s="22">
        <f t="shared" si="123"/>
        <v>51.617684441132447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293.3333333333353</v>
      </c>
      <c r="S137" s="59">
        <f ca="1">AVERAGE(OFFSET($R$3,0,0,'Données projet'!$E$9+1,1))-AVERAGE(OFFSET($H$3,0,0,'Données projet'!$E$9+1,1))</f>
        <v>322.7909000321435</v>
      </c>
      <c r="T137" s="59">
        <f t="shared" si="142"/>
        <v>403.23516981532316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37.984289523143097</v>
      </c>
      <c r="AA137" s="21">
        <f>EXP(-LN(2)/25)*AA136+(1-EXP(-LN(2)/25))/(LN(2)/25)*Calculateur!V137*Calculateur!X137*VLOOKUP('Données projet'!$B$9,Paramètres!$A$1:$I$89,3,0)*0.475*44/12</f>
        <v>7.0933805760946642</v>
      </c>
      <c r="AB137" s="21">
        <f>EXP(-LN(2)/2)*AB136+(1-EXP(-LN(2)/2))/(LN(2)/2)*V137*Y137*VLOOKUP('Données projet'!$B$9,Paramètres!$A$1:$I$89,3,0)*0.475*44/12</f>
        <v>1.4061572445287282E-10</v>
      </c>
      <c r="AC137" s="22">
        <f t="shared" si="111"/>
        <v>45.077670099378381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3.4106051316484809E-13</v>
      </c>
      <c r="AJ137" s="13">
        <f>AI137*VLOOKUP('Données projet'!$B$10,Paramètres!$A$1:$I$89,3,0)*VLOOKUP('Données projet'!$B$10,Paramètres!$A$1:$I$89,5,0)</f>
        <v>1.5961632016114892E-13</v>
      </c>
      <c r="AK137" s="13">
        <f t="shared" si="143"/>
        <v>2.2708641912150958E-12</v>
      </c>
      <c r="AL137" s="20">
        <f t="shared" si="112"/>
        <v>4.2330868906469593E-12</v>
      </c>
      <c r="AM137" s="59">
        <f t="shared" si="113"/>
        <v>293.33333333333752</v>
      </c>
      <c r="AN137" s="59">
        <f ca="1">AVERAGE(OFFSET($AM$3,0,0,'Données projet'!$E$10+1,1))-AVERAGE(OFFSET($H$3,0,0,'Données projet'!$E$10+1,1))</f>
        <v>187.82209112143374</v>
      </c>
      <c r="AO137" s="59">
        <f t="shared" si="144"/>
        <v>158.99136654880203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79.979884022206164</v>
      </c>
      <c r="AV137" s="21">
        <f>EXP(-LN(2)/25)*AV136+(1-EXP(-LN(2)/25))/(LN(2)/25)*Calculateur!AQ137*Calculateur!AS137*VLOOKUP('Données projet'!$B$10,Paramètres!$A$1:$I$89,3,0)*0.475*44/12</f>
        <v>20.941709512230528</v>
      </c>
      <c r="AW137" s="21">
        <f>EXP(-LN(2)/2)*AW136+(1-EXP(-LN(2)/2))/(LN(2)/2)*AQ137*AT137*VLOOKUP('Données projet'!$B$10,Paramètres!$A$1:$I$89,3,0)*0.475*44/12</f>
        <v>5.4358659476400877E-3</v>
      </c>
      <c r="AX137" s="21">
        <f t="shared" si="114"/>
        <v>100.92702940038434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140.32771978791288</v>
      </c>
      <c r="BJ137" s="59">
        <f t="shared" si="146"/>
        <v>135.76866977947634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4.5242964524106899</v>
      </c>
      <c r="BQ137" s="21">
        <f>EXP(-LN(2)/25)*BQ136+(1-EXP(-LN(2)/25))/(LN(2)/25)*Calculateur!BL137*Calculateur!BN137*VLOOKUP('Données projet'!$B$11,Paramètres!$A$1:$I$89,3,0)*0.475*44/12</f>
        <v>18.855414347621835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23.379710800032527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7.3375000000000012</v>
      </c>
      <c r="BY137" s="12">
        <f>IF('Données projet'!$A$114&gt;35,BY136+BX137-CG136,IF(A137&lt;'Données projet'!$A$114,$BV$205^A137,IF(A137='Données projet'!$A$114,'Données projet'!$B$114,BY136+BX137-CG136)))</f>
        <v>306.54500000000002</v>
      </c>
      <c r="BZ137" s="13">
        <f>BY137*VLOOKUP('Données projet'!$B$12,Paramètres!$A$1:$I$89,3,0)*VLOOKUP('Données projet'!$B$12,Paramètres!$A$1:$I$89,5,0)</f>
        <v>310.83663000000001</v>
      </c>
      <c r="CA137" s="13">
        <f t="shared" si="147"/>
        <v>73.443524398472576</v>
      </c>
      <c r="CB137" s="20">
        <f t="shared" si="118"/>
        <v>669.28793557733968</v>
      </c>
      <c r="CC137" s="59">
        <f t="shared" si="119"/>
        <v>962.62126891067305</v>
      </c>
      <c r="CD137" s="59">
        <f ca="1">AVERAGE(OFFSET($CC$3,0,0,'Données projet'!$E$12+1,1))-AVERAGE(OFFSET($H$3,0,0,'Données projet'!$E$12+1,1))</f>
        <v>372.05986520199804</v>
      </c>
      <c r="CE137" s="59">
        <f t="shared" si="148"/>
        <v>184.37981929432044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28.033295156733157</v>
      </c>
      <c r="CL137" s="21">
        <f>EXP(-LN(2)/25)*CL136+(1-EXP(-LN(2)/25))/(LN(2)/25)*Calculateur!CG137*Calculateur!CI137*VLOOKUP('Données projet'!$B$12,Paramètres!$A$1:$I$89,3,0)*0.475*44/12</f>
        <v>22.742895130381225</v>
      </c>
      <c r="CM137" s="21">
        <f>EXP(-LN(2)/2)*CM136+(1-EXP(-LN(2)/2))/(LN(2)/2)*CG137*CJ137*VLOOKUP('Données projet'!$B$12,Paramètres!$A$1:$I$89,3,0)*0.475*44/12</f>
        <v>2.4010358562893894</v>
      </c>
      <c r="CN137" s="22">
        <f t="shared" si="120"/>
        <v>53.177226143403772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484.28</v>
      </c>
      <c r="CR137" s="12">
        <f>VLOOKUP(A137,'Données projet'!$A$139:$I$159,9,0)</f>
        <v>9.0229999999999961</v>
      </c>
      <c r="CS137" s="12">
        <f t="array" ref="CS137">INDEX(CR:CR,MIN(IF(ISNUMBER(CR137:CR333),ROW(CR137:CR333),"")))</f>
        <v>9.0229999999999961</v>
      </c>
      <c r="CT137" s="12">
        <f>IF('Données projet'!$A$140&gt;35,CT136+CS137-DB136,IF(A137&lt;'Données projet'!$A$140,$CQ$205^A137,IF(A137='Données projet'!$A$140,'Données projet'!$B$140,CT136+CS137-DB136)))</f>
        <v>484.28000000000088</v>
      </c>
      <c r="CU137" s="17">
        <f>CT137*VLOOKUP('Données projet'!$B$13,Paramètres!$A$1:$I$89,3,0)*VLOOKUP('Données projet'!$B$13,Paramètres!$A$1:$I$89,5,0)</f>
        <v>438.17654400000077</v>
      </c>
      <c r="CV137" s="13">
        <f t="shared" si="149"/>
        <v>99.474836110972063</v>
      </c>
      <c r="CW137" s="20">
        <f t="shared" si="121"/>
        <v>936.40948702661092</v>
      </c>
      <c r="CX137" s="59">
        <f t="shared" si="122"/>
        <v>1229.7428203599443</v>
      </c>
      <c r="CY137" s="59">
        <f ca="1">AVERAGE(OFFSET($CX$3,0,0,'Données projet'!$E$13+1,1))-AVERAGE(OFFSET($H$3,0,0,'Données projet'!$E$13+1,1))</f>
        <v>479.84731392413374</v>
      </c>
      <c r="CZ137" s="59">
        <f t="shared" si="150"/>
        <v>203.57601099841213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60.779999999999973</v>
      </c>
      <c r="DC137" s="16">
        <f>IF(ISNA(VLOOKUP(A137,'Données projet'!$A$139:$I$159,5,0)),0%,VLOOKUP(A137,'Données projet'!$A$139:$I$159,5,0)*VLOOKUP('Données projet'!$B$13,Paramètres!$A$1:$I$89,7,0))</f>
        <v>0.215</v>
      </c>
      <c r="DD137" s="16">
        <f>IF(ISNA(VLOOKUP(A137,'Données projet'!$A$139:$I$159,6,0)),0%,VLOOKUP(A137,'Données projet'!$A$139:$I$159,6,0)*VLOOKUP('Données projet'!$B$13,Paramètres!$A$1:$I$89,7,0))</f>
        <v>8.6000000000000007E-2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44.746279842031008</v>
      </c>
      <c r="DG137" s="21">
        <f>EXP(-LN(2)/25)*DG136+(1-EXP(-LN(2)/25))/(LN(2)/25)*Calculateur!DB137*Calculateur!DD137*VLOOKUP('Données projet'!$B$13,Paramètres!$A$1:$I$89,3,0)*0.475*44/12</f>
        <v>23.768759616615345</v>
      </c>
      <c r="DH137" s="21">
        <f>EXP(-LN(2)/2)*DH136+(1-EXP(-LN(2)/2))/(LN(2)/2)*DB137*DE137*VLOOKUP('Données projet'!$B$13,Paramètres!$A$1:$I$89,3,0)*0.475*44/12</f>
        <v>0.15956188554764478</v>
      </c>
      <c r="DI137" s="22">
        <f t="shared" si="123"/>
        <v>68.674601344194002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293.3333333333353</v>
      </c>
      <c r="S138" s="59">
        <f ca="1">AVERAGE(OFFSET($R$3,0,0,'Données projet'!$E$9+1,1))-AVERAGE(OFFSET($H$3,0,0,'Données projet'!$E$9+1,1))</f>
        <v>322.7909000321435</v>
      </c>
      <c r="T138" s="59">
        <f t="shared" si="142"/>
        <v>403.23516981532316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37.23944077372321</v>
      </c>
      <c r="AA138" s="21">
        <f>EXP(-LN(2)/25)*AA137+(1-EXP(-LN(2)/25))/(LN(2)/25)*Calculateur!V138*Calculateur!X138*VLOOKUP('Données projet'!$B$9,Paramètres!$A$1:$I$89,3,0)*0.475*44/12</f>
        <v>6.8994117112166835</v>
      </c>
      <c r="AB138" s="21">
        <f>EXP(-LN(2)/2)*AB137+(1-EXP(-LN(2)/2))/(LN(2)/2)*V138*Y138*VLOOKUP('Données projet'!$B$9,Paramètres!$A$1:$I$89,3,0)*0.475*44/12</f>
        <v>9.94303323020854E-11</v>
      </c>
      <c r="AC138" s="22">
        <f t="shared" si="111"/>
        <v>44.13885248503933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3.4106051316484809E-13</v>
      </c>
      <c r="AJ138" s="13">
        <f>AI138*VLOOKUP('Données projet'!$B$10,Paramètres!$A$1:$I$89,3,0)*VLOOKUP('Données projet'!$B$10,Paramètres!$A$1:$I$89,5,0)</f>
        <v>1.5961632016114892E-13</v>
      </c>
      <c r="AK138" s="13">
        <f t="shared" si="143"/>
        <v>2.2708641912150958E-12</v>
      </c>
      <c r="AL138" s="20">
        <f t="shared" si="112"/>
        <v>4.2330868906469593E-12</v>
      </c>
      <c r="AM138" s="59">
        <f t="shared" si="113"/>
        <v>293.33333333333752</v>
      </c>
      <c r="AN138" s="59">
        <f ca="1">AVERAGE(OFFSET($AM$3,0,0,'Données projet'!$E$10+1,1))-AVERAGE(OFFSET($H$3,0,0,'Données projet'!$E$10+1,1))</f>
        <v>187.82209112143374</v>
      </c>
      <c r="AO138" s="59">
        <f t="shared" si="144"/>
        <v>158.99136654880203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78.411527279443035</v>
      </c>
      <c r="AV138" s="21">
        <f>EXP(-LN(2)/25)*AV137+(1-EXP(-LN(2)/25))/(LN(2)/25)*Calculateur!AQ138*Calculateur!AS138*VLOOKUP('Données projet'!$B$10,Paramètres!$A$1:$I$89,3,0)*0.475*44/12</f>
        <v>20.369057364341945</v>
      </c>
      <c r="AW138" s="21">
        <f>EXP(-LN(2)/2)*AW137+(1-EXP(-LN(2)/2))/(LN(2)/2)*AQ138*AT138*VLOOKUP('Données projet'!$B$10,Paramètres!$A$1:$I$89,3,0)*0.475*44/12</f>
        <v>3.8437376731973445E-3</v>
      </c>
      <c r="AX138" s="21">
        <f t="shared" si="114"/>
        <v>98.78442838145817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140.32771978791288</v>
      </c>
      <c r="BJ138" s="59">
        <f t="shared" si="146"/>
        <v>135.76866977947634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4.4355777585272698</v>
      </c>
      <c r="BQ138" s="21">
        <f>EXP(-LN(2)/25)*BQ137+(1-EXP(-LN(2)/25))/(LN(2)/25)*Calculateur!BL138*Calculateur!BN138*VLOOKUP('Données projet'!$B$11,Paramètres!$A$1:$I$89,3,0)*0.475*44/12</f>
        <v>18.339812050722969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22.775389809250239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7.3375000000000012</v>
      </c>
      <c r="BY138" s="12">
        <f>IF('Données projet'!$A$114&gt;35,BY137+BX138-CG137,IF(A138&lt;'Données projet'!$A$114,$BV$205^A138,IF(A138='Données projet'!$A$114,'Données projet'!$B$114,BY137+BX138-CG137)))</f>
        <v>313.88249999999999</v>
      </c>
      <c r="BZ138" s="13">
        <f>BY138*VLOOKUP('Données projet'!$B$12,Paramètres!$A$1:$I$89,3,0)*VLOOKUP('Données projet'!$B$12,Paramètres!$A$1:$I$89,5,0)</f>
        <v>318.27685500000001</v>
      </c>
      <c r="CA138" s="13">
        <f t="shared" si="147"/>
        <v>74.994707244966222</v>
      </c>
      <c r="CB138" s="20">
        <f t="shared" si="118"/>
        <v>684.94797090998281</v>
      </c>
      <c r="CC138" s="59">
        <f t="shared" si="119"/>
        <v>978.28130424331607</v>
      </c>
      <c r="CD138" s="59">
        <f ca="1">AVERAGE(OFFSET($CC$3,0,0,'Données projet'!$E$12+1,1))-AVERAGE(OFFSET($H$3,0,0,'Données projet'!$E$12+1,1))</f>
        <v>372.05986520199804</v>
      </c>
      <c r="CE138" s="59">
        <f t="shared" si="148"/>
        <v>184.37981929432044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27.483579337331317</v>
      </c>
      <c r="CL138" s="21">
        <f>EXP(-LN(2)/25)*CL137+(1-EXP(-LN(2)/25))/(LN(2)/25)*Calculateur!CG138*Calculateur!CI138*VLOOKUP('Données projet'!$B$12,Paramètres!$A$1:$I$89,3,0)*0.475*44/12</f>
        <v>22.120989467044076</v>
      </c>
      <c r="CM138" s="21">
        <f>EXP(-LN(2)/2)*CM137+(1-EXP(-LN(2)/2))/(LN(2)/2)*CG138*CJ138*VLOOKUP('Données projet'!$B$12,Paramètres!$A$1:$I$89,3,0)*0.475*44/12</f>
        <v>1.6977887358542763</v>
      </c>
      <c r="CN138" s="22">
        <f t="shared" si="120"/>
        <v>51.302357540229664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9.1440000000000055</v>
      </c>
      <c r="CT138" s="12">
        <f>IF('Données projet'!$A$140&gt;35,CT137+CS138-DB137,IF(A138&lt;'Données projet'!$A$140,$CQ$205^A138,IF(A138='Données projet'!$A$140,'Données projet'!$B$140,CT137+CS138-DB137)))</f>
        <v>432.64400000000091</v>
      </c>
      <c r="CU138" s="17">
        <f>CT138*VLOOKUP('Données projet'!$B$13,Paramètres!$A$1:$I$89,3,0)*VLOOKUP('Données projet'!$B$13,Paramètres!$A$1:$I$89,5,0)</f>
        <v>391.45629120000086</v>
      </c>
      <c r="CV138" s="13">
        <f t="shared" si="149"/>
        <v>90.042388870129827</v>
      </c>
      <c r="CW138" s="20">
        <f t="shared" si="121"/>
        <v>838.6102011221443</v>
      </c>
      <c r="CX138" s="59">
        <f t="shared" si="122"/>
        <v>1131.9435344554777</v>
      </c>
      <c r="CY138" s="59">
        <f ca="1">AVERAGE(OFFSET($CX$3,0,0,'Données projet'!$E$13+1,1))-AVERAGE(OFFSET($H$3,0,0,'Données projet'!$E$13+1,1))</f>
        <v>479.84731392413374</v>
      </c>
      <c r="CZ138" s="59">
        <f t="shared" si="150"/>
        <v>203.57601099841213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43.868832586864571</v>
      </c>
      <c r="DG138" s="21">
        <f>EXP(-LN(2)/25)*DG137+(1-EXP(-LN(2)/25))/(LN(2)/25)*Calculateur!DB138*Calculateur!DD138*VLOOKUP('Données projet'!$B$13,Paramètres!$A$1:$I$89,3,0)*0.475*44/12</f>
        <v>23.118801634954256</v>
      </c>
      <c r="DH138" s="21">
        <f>EXP(-LN(2)/2)*DH137+(1-EXP(-LN(2)/2))/(LN(2)/2)*DB138*DE138*VLOOKUP('Données projet'!$B$13,Paramètres!$A$1:$I$89,3,0)*0.475*44/12</f>
        <v>0.1128272912896514</v>
      </c>
      <c r="DI138" s="22">
        <f t="shared" si="123"/>
        <v>67.100461513108471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293.3333333333353</v>
      </c>
      <c r="S139" s="59">
        <f ca="1">AVERAGE(OFFSET($R$3,0,0,'Données projet'!$E$9+1,1))-AVERAGE(OFFSET($H$3,0,0,'Données projet'!$E$9+1,1))</f>
        <v>322.7909000321435</v>
      </c>
      <c r="T139" s="59">
        <f t="shared" si="142"/>
        <v>403.23516981532316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36.509198053966564</v>
      </c>
      <c r="AA139" s="21">
        <f>EXP(-LN(2)/25)*AA138+(1-EXP(-LN(2)/25))/(LN(2)/25)*Calculateur!V139*Calculateur!X139*VLOOKUP('Données projet'!$B$9,Paramètres!$A$1:$I$89,3,0)*0.475*44/12</f>
        <v>6.71074693514917</v>
      </c>
      <c r="AB139" s="21">
        <f>EXP(-LN(2)/2)*AB138+(1-EXP(-LN(2)/2))/(LN(2)/2)*V139*Y139*VLOOKUP('Données projet'!$B$9,Paramètres!$A$1:$I$89,3,0)*0.475*44/12</f>
        <v>7.0307862226436409E-11</v>
      </c>
      <c r="AC139" s="22">
        <f t="shared" si="111"/>
        <v>43.21994498918604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3.4106051316484809E-13</v>
      </c>
      <c r="AJ139" s="13">
        <f>AI139*VLOOKUP('Données projet'!$B$10,Paramètres!$A$1:$I$89,3,0)*VLOOKUP('Données projet'!$B$10,Paramètres!$A$1:$I$89,5,0)</f>
        <v>1.5961632016114892E-13</v>
      </c>
      <c r="AK139" s="13">
        <f t="shared" si="143"/>
        <v>2.2708641912150958E-12</v>
      </c>
      <c r="AL139" s="20">
        <f t="shared" si="112"/>
        <v>4.2330868906469593E-12</v>
      </c>
      <c r="AM139" s="59">
        <f t="shared" si="113"/>
        <v>293.33333333333752</v>
      </c>
      <c r="AN139" s="59">
        <f ca="1">AVERAGE(OFFSET($AM$3,0,0,'Données projet'!$E$10+1,1))-AVERAGE(OFFSET($H$3,0,0,'Données projet'!$E$10+1,1))</f>
        <v>187.82209112143374</v>
      </c>
      <c r="AO139" s="59">
        <f t="shared" si="144"/>
        <v>158.99136654880203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76.873925055802346</v>
      </c>
      <c r="AV139" s="21">
        <f>EXP(-LN(2)/25)*AV138+(1-EXP(-LN(2)/25))/(LN(2)/25)*Calculateur!AQ139*Calculateur!AS139*VLOOKUP('Données projet'!$B$10,Paramètres!$A$1:$I$89,3,0)*0.475*44/12</f>
        <v>19.812064419551842</v>
      </c>
      <c r="AW139" s="21">
        <f>EXP(-LN(2)/2)*AW138+(1-EXP(-LN(2)/2))/(LN(2)/2)*AQ139*AT139*VLOOKUP('Données projet'!$B$10,Paramètres!$A$1:$I$89,3,0)*0.475*44/12</f>
        <v>2.7179329738200443E-3</v>
      </c>
      <c r="AX139" s="21">
        <f t="shared" si="114"/>
        <v>96.688707408328014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140.32771978791288</v>
      </c>
      <c r="BJ139" s="59">
        <f t="shared" si="146"/>
        <v>135.76866977947634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4.3485987841178435</v>
      </c>
      <c r="BQ139" s="21">
        <f>EXP(-LN(2)/25)*BQ138+(1-EXP(-LN(2)/25))/(LN(2)/25)*Calculateur!BL139*Calculateur!BN139*VLOOKUP('Données projet'!$B$11,Paramètres!$A$1:$I$89,3,0)*0.475*44/12</f>
        <v>17.83830892574715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22.186907709864993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7.3375000000000012</v>
      </c>
      <c r="BY139" s="12">
        <f>IF('Données projet'!$A$114&gt;35,BY138+BX139-CG138,IF(A139&lt;'Données projet'!$A$114,$BV$205^A139,IF(A139='Données projet'!$A$114,'Données projet'!$B$114,BY138+BX139-CG138)))</f>
        <v>321.21999999999997</v>
      </c>
      <c r="BZ139" s="13">
        <f>BY139*VLOOKUP('Données projet'!$B$12,Paramètres!$A$1:$I$89,3,0)*VLOOKUP('Données projet'!$B$12,Paramètres!$A$1:$I$89,5,0)</f>
        <v>325.71707999999995</v>
      </c>
      <c r="CA139" s="13">
        <f t="shared" si="147"/>
        <v>76.54167460148193</v>
      </c>
      <c r="CB139" s="20">
        <f t="shared" si="118"/>
        <v>700.60066426424748</v>
      </c>
      <c r="CC139" s="59">
        <f t="shared" si="119"/>
        <v>993.93399759758086</v>
      </c>
      <c r="CD139" s="59">
        <f ca="1">AVERAGE(OFFSET($CC$3,0,0,'Données projet'!$E$12+1,1))-AVERAGE(OFFSET($H$3,0,0,'Données projet'!$E$12+1,1))</f>
        <v>372.05986520199804</v>
      </c>
      <c r="CE139" s="59">
        <f t="shared" si="148"/>
        <v>184.37981929432044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26.944643109854404</v>
      </c>
      <c r="CL139" s="21">
        <f>EXP(-LN(2)/25)*CL138+(1-EXP(-LN(2)/25))/(LN(2)/25)*Calculateur!CG139*Calculateur!CI139*VLOOKUP('Données projet'!$B$12,Paramètres!$A$1:$I$89,3,0)*0.475*44/12</f>
        <v>21.516089846775479</v>
      </c>
      <c r="CM139" s="21">
        <f>EXP(-LN(2)/2)*CM138+(1-EXP(-LN(2)/2))/(LN(2)/2)*CG139*CJ139*VLOOKUP('Données projet'!$B$12,Paramètres!$A$1:$I$89,3,0)*0.475*44/12</f>
        <v>1.2005179281446949</v>
      </c>
      <c r="CN139" s="22">
        <f t="shared" si="120"/>
        <v>49.661250884774574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9.1440000000000055</v>
      </c>
      <c r="CT139" s="12">
        <f>IF('Données projet'!$A$140&gt;35,CT138+CS139-DB138,IF(A139&lt;'Données projet'!$A$140,$CQ$205^A139,IF(A139='Données projet'!$A$140,'Données projet'!$B$140,CT138+CS139-DB138)))</f>
        <v>441.78800000000092</v>
      </c>
      <c r="CU139" s="17">
        <f>CT139*VLOOKUP('Données projet'!$B$13,Paramètres!$A$1:$I$89,3,0)*VLOOKUP('Données projet'!$B$13,Paramètres!$A$1:$I$89,5,0)</f>
        <v>399.72978240000077</v>
      </c>
      <c r="CV139" s="13">
        <f t="shared" si="149"/>
        <v>91.721880595341759</v>
      </c>
      <c r="CW139" s="20">
        <f t="shared" si="121"/>
        <v>855.94497971688827</v>
      </c>
      <c r="CX139" s="59">
        <f t="shared" si="122"/>
        <v>1149.2783130502216</v>
      </c>
      <c r="CY139" s="59">
        <f ca="1">AVERAGE(OFFSET($CX$3,0,0,'Données projet'!$E$13+1,1))-AVERAGE(OFFSET($H$3,0,0,'Données projet'!$E$13+1,1))</f>
        <v>479.84731392413374</v>
      </c>
      <c r="CZ139" s="59">
        <f t="shared" si="150"/>
        <v>203.57601099841213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43.008591537181964</v>
      </c>
      <c r="DG139" s="21">
        <f>EXP(-LN(2)/25)*DG138+(1-EXP(-LN(2)/25))/(LN(2)/25)*Calculateur!DB139*Calculateur!DD139*VLOOKUP('Données projet'!$B$13,Paramètres!$A$1:$I$89,3,0)*0.475*44/12</f>
        <v>22.486616788481491</v>
      </c>
      <c r="DH139" s="21">
        <f>EXP(-LN(2)/2)*DH138+(1-EXP(-LN(2)/2))/(LN(2)/2)*DB139*DE139*VLOOKUP('Données projet'!$B$13,Paramètres!$A$1:$I$89,3,0)*0.475*44/12</f>
        <v>7.9780942773822389E-2</v>
      </c>
      <c r="DI139" s="22">
        <f t="shared" si="123"/>
        <v>65.574989268437278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293.3333333333353</v>
      </c>
      <c r="S140" s="59">
        <f ca="1">AVERAGE(OFFSET($R$3,0,0,'Données projet'!$E$9+1,1))-AVERAGE(OFFSET($H$3,0,0,'Données projet'!$E$9+1,1))</f>
        <v>322.7909000321435</v>
      </c>
      <c r="T140" s="59">
        <f t="shared" si="142"/>
        <v>403.23516981532316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35.793274948540272</v>
      </c>
      <c r="AA140" s="21">
        <f>EXP(-LN(2)/25)*AA139+(1-EXP(-LN(2)/25))/(LN(2)/25)*Calculateur!V140*Calculateur!X140*VLOOKUP('Données projet'!$B$9,Paramètres!$A$1:$I$89,3,0)*0.475*44/12</f>
        <v>6.5272412073046722</v>
      </c>
      <c r="AB140" s="21">
        <f>EXP(-LN(2)/2)*AB139+(1-EXP(-LN(2)/2))/(LN(2)/2)*V140*Y140*VLOOKUP('Données projet'!$B$9,Paramètres!$A$1:$I$89,3,0)*0.475*44/12</f>
        <v>4.97151661510427E-11</v>
      </c>
      <c r="AC140" s="22">
        <f t="shared" si="111"/>
        <v>42.320516155894659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3.4106051316484809E-13</v>
      </c>
      <c r="AJ140" s="13">
        <f>AI140*VLOOKUP('Données projet'!$B$10,Paramètres!$A$1:$I$89,3,0)*VLOOKUP('Données projet'!$B$10,Paramètres!$A$1:$I$89,5,0)</f>
        <v>1.5961632016114892E-13</v>
      </c>
      <c r="AK140" s="13">
        <f t="shared" si="143"/>
        <v>2.2708641912150958E-12</v>
      </c>
      <c r="AL140" s="20">
        <f t="shared" si="112"/>
        <v>4.2330868906469593E-12</v>
      </c>
      <c r="AM140" s="59">
        <f t="shared" si="113"/>
        <v>293.33333333333752</v>
      </c>
      <c r="AN140" s="59">
        <f ca="1">AVERAGE(OFFSET($AM$3,0,0,'Données projet'!$E$10+1,1))-AVERAGE(OFFSET($H$3,0,0,'Données projet'!$E$10+1,1))</f>
        <v>187.82209112143374</v>
      </c>
      <c r="AO140" s="59">
        <f t="shared" si="144"/>
        <v>158.99136654880203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75.366474273922492</v>
      </c>
      <c r="AV140" s="21">
        <f>EXP(-LN(2)/25)*AV139+(1-EXP(-LN(2)/25))/(LN(2)/25)*Calculateur!AQ140*Calculateur!AS140*VLOOKUP('Données projet'!$B$10,Paramètres!$A$1:$I$89,3,0)*0.475*44/12</f>
        <v>19.270302476128009</v>
      </c>
      <c r="AW140" s="21">
        <f>EXP(-LN(2)/2)*AW139+(1-EXP(-LN(2)/2))/(LN(2)/2)*AQ140*AT140*VLOOKUP('Données projet'!$B$10,Paramètres!$A$1:$I$89,3,0)*0.475*44/12</f>
        <v>1.9218688365986727E-3</v>
      </c>
      <c r="AX140" s="21">
        <f t="shared" si="114"/>
        <v>94.638698618887105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140.32771978791288</v>
      </c>
      <c r="BJ140" s="59">
        <f t="shared" si="146"/>
        <v>135.76866977947634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4.2633254143446502</v>
      </c>
      <c r="BQ140" s="21">
        <f>EXP(-LN(2)/25)*BQ139+(1-EXP(-LN(2)/25))/(LN(2)/25)*Calculateur!BL140*Calculateur!BN140*VLOOKUP('Données projet'!$B$11,Paramètres!$A$1:$I$89,3,0)*0.475*44/12</f>
        <v>17.350519430096696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21.613844844441346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7.3375000000000012</v>
      </c>
      <c r="BY140" s="12">
        <f>IF('Données projet'!$A$114&gt;35,BY139+BX140-CG139,IF(A140&lt;'Données projet'!$A$114,$BV$205^A140,IF(A140='Données projet'!$A$114,'Données projet'!$B$114,BY139+BX140-CG139)))</f>
        <v>328.55749999999995</v>
      </c>
      <c r="BZ140" s="13">
        <f>BY140*VLOOKUP('Données projet'!$B$12,Paramètres!$A$1:$I$89,3,0)*VLOOKUP('Données projet'!$B$12,Paramètres!$A$1:$I$89,5,0)</f>
        <v>333.15730499999995</v>
      </c>
      <c r="CA140" s="13">
        <f t="shared" si="147"/>
        <v>78.084533845329503</v>
      </c>
      <c r="CB140" s="20">
        <f t="shared" si="118"/>
        <v>716.24620265561543</v>
      </c>
      <c r="CC140" s="59">
        <f t="shared" si="119"/>
        <v>1009.5795359889487</v>
      </c>
      <c r="CD140" s="59">
        <f ca="1">AVERAGE(OFFSET($CC$3,0,0,'Données projet'!$E$12+1,1))-AVERAGE(OFFSET($H$3,0,0,'Données projet'!$E$12+1,1))</f>
        <v>372.05986520199804</v>
      </c>
      <c r="CE140" s="59">
        <f t="shared" si="148"/>
        <v>184.37981929432044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26.416275093079673</v>
      </c>
      <c r="CL140" s="21">
        <f>EXP(-LN(2)/25)*CL139+(1-EXP(-LN(2)/25))/(LN(2)/25)*Calculateur!CG140*Calculateur!CI140*VLOOKUP('Données projet'!$B$12,Paramètres!$A$1:$I$89,3,0)*0.475*44/12</f>
        <v>20.927731238433413</v>
      </c>
      <c r="CM140" s="21">
        <f>EXP(-LN(2)/2)*CM139+(1-EXP(-LN(2)/2))/(LN(2)/2)*CG140*CJ140*VLOOKUP('Données projet'!$B$12,Paramètres!$A$1:$I$89,3,0)*0.475*44/12</f>
        <v>0.84889436792713824</v>
      </c>
      <c r="CN140" s="22">
        <f t="shared" si="120"/>
        <v>48.192900699440223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9.1440000000000055</v>
      </c>
      <c r="CT140" s="12">
        <f>IF('Données projet'!$A$140&gt;35,CT139+CS140-DB139,IF(A140&lt;'Données projet'!$A$140,$CQ$205^A140,IF(A140='Données projet'!$A$140,'Données projet'!$B$140,CT139+CS140-DB139)))</f>
        <v>450.93200000000093</v>
      </c>
      <c r="CU140" s="17">
        <f>CT140*VLOOKUP('Données projet'!$B$13,Paramètres!$A$1:$I$89,3,0)*VLOOKUP('Données projet'!$B$13,Paramètres!$A$1:$I$89,5,0)</f>
        <v>408.00327360000085</v>
      </c>
      <c r="CV140" s="13">
        <f t="shared" si="149"/>
        <v>93.397330631669121</v>
      </c>
      <c r="CW140" s="20">
        <f t="shared" si="121"/>
        <v>873.27271903682515</v>
      </c>
      <c r="CX140" s="59">
        <f t="shared" si="122"/>
        <v>1166.6060523701585</v>
      </c>
      <c r="CY140" s="59">
        <f ca="1">AVERAGE(OFFSET($CX$3,0,0,'Données projet'!$E$13+1,1))-AVERAGE(OFFSET($H$3,0,0,'Données projet'!$E$13+1,1))</f>
        <v>479.84731392413374</v>
      </c>
      <c r="CZ140" s="59">
        <f t="shared" si="150"/>
        <v>203.57601099841213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42.165219289788404</v>
      </c>
      <c r="DG140" s="21">
        <f>EXP(-LN(2)/25)*DG139+(1-EXP(-LN(2)/25))/(LN(2)/25)*Calculateur!DB140*Calculateur!DD140*VLOOKUP('Données projet'!$B$13,Paramètres!$A$1:$I$89,3,0)*0.475*44/12</f>
        <v>21.871719069880683</v>
      </c>
      <c r="DH140" s="21">
        <f>EXP(-LN(2)/2)*DH139+(1-EXP(-LN(2)/2))/(LN(2)/2)*DB140*DE140*VLOOKUP('Données projet'!$B$13,Paramètres!$A$1:$I$89,3,0)*0.475*44/12</f>
        <v>5.6413645644825698E-2</v>
      </c>
      <c r="DI140" s="22">
        <f t="shared" si="123"/>
        <v>64.093352005313903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293.3333333333353</v>
      </c>
      <c r="S141" s="59">
        <f ca="1">AVERAGE(OFFSET($R$3,0,0,'Données projet'!$E$9+1,1))-AVERAGE(OFFSET($H$3,0,0,'Données projet'!$E$9+1,1))</f>
        <v>322.7909000321435</v>
      </c>
      <c r="T141" s="59">
        <f t="shared" si="142"/>
        <v>403.23516981532316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35.091390658541414</v>
      </c>
      <c r="AA141" s="21">
        <f>EXP(-LN(2)/25)*AA140+(1-EXP(-LN(2)/25))/(LN(2)/25)*Calculateur!V141*Calculateur!X141*VLOOKUP('Données projet'!$B$9,Paramètres!$A$1:$I$89,3,0)*0.475*44/12</f>
        <v>6.3487534532382286</v>
      </c>
      <c r="AB141" s="21">
        <f>EXP(-LN(2)/2)*AB140+(1-EXP(-LN(2)/2))/(LN(2)/2)*V141*Y141*VLOOKUP('Données projet'!$B$9,Paramètres!$A$1:$I$89,3,0)*0.475*44/12</f>
        <v>3.5153931113218204E-11</v>
      </c>
      <c r="AC141" s="22">
        <f t="shared" si="111"/>
        <v>41.440144111814796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3.4106051316484809E-13</v>
      </c>
      <c r="AJ141" s="13">
        <f>AI141*VLOOKUP('Données projet'!$B$10,Paramètres!$A$1:$I$89,3,0)*VLOOKUP('Données projet'!$B$10,Paramètres!$A$1:$I$89,5,0)</f>
        <v>1.5961632016114892E-13</v>
      </c>
      <c r="AK141" s="13">
        <f t="shared" si="143"/>
        <v>2.2708641912150958E-12</v>
      </c>
      <c r="AL141" s="20">
        <f t="shared" si="112"/>
        <v>4.2330868906469593E-12</v>
      </c>
      <c r="AM141" s="59">
        <f t="shared" si="113"/>
        <v>293.33333333333752</v>
      </c>
      <c r="AN141" s="59">
        <f ca="1">AVERAGE(OFFSET($AM$3,0,0,'Données projet'!$E$10+1,1))-AVERAGE(OFFSET($H$3,0,0,'Données projet'!$E$10+1,1))</f>
        <v>187.82209112143374</v>
      </c>
      <c r="AO141" s="59">
        <f t="shared" si="144"/>
        <v>158.99136654880203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73.888583682421114</v>
      </c>
      <c r="AV141" s="21">
        <f>EXP(-LN(2)/25)*AV140+(1-EXP(-LN(2)/25))/(LN(2)/25)*Calculateur!AQ141*Calculateur!AS141*VLOOKUP('Données projet'!$B$10,Paramètres!$A$1:$I$89,3,0)*0.475*44/12</f>
        <v>18.743355041537125</v>
      </c>
      <c r="AW141" s="21">
        <f>EXP(-LN(2)/2)*AW140+(1-EXP(-LN(2)/2))/(LN(2)/2)*AQ141*AT141*VLOOKUP('Données projet'!$B$10,Paramètres!$A$1:$I$89,3,0)*0.475*44/12</f>
        <v>1.3589664869100224E-3</v>
      </c>
      <c r="AX141" s="21">
        <f t="shared" si="114"/>
        <v>92.633297690445147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140.32771978791288</v>
      </c>
      <c r="BJ141" s="59">
        <f t="shared" si="146"/>
        <v>135.76866977947634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4.1797242033410891</v>
      </c>
      <c r="BQ141" s="21">
        <f>EXP(-LN(2)/25)*BQ140+(1-EXP(-LN(2)/25))/(LN(2)/25)*Calculateur!BL141*Calculateur!BN141*VLOOKUP('Données projet'!$B$11,Paramètres!$A$1:$I$89,3,0)*0.475*44/12</f>
        <v>16.876068563856542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21.05579276719763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7.3375000000000012</v>
      </c>
      <c r="BY141" s="12">
        <f>IF('Données projet'!$A$114&gt;35,BY140+BX141-CG140,IF(A141&lt;'Données projet'!$A$114,$BV$205^A141,IF(A141='Données projet'!$A$114,'Données projet'!$B$114,BY140+BX141-CG140)))</f>
        <v>335.89499999999992</v>
      </c>
      <c r="BZ141" s="13">
        <f>BY141*VLOOKUP('Données projet'!$B$12,Paramètres!$A$1:$I$89,3,0)*VLOOKUP('Données projet'!$B$12,Paramètres!$A$1:$I$89,5,0)</f>
        <v>340.59752999999995</v>
      </c>
      <c r="CA141" s="13">
        <f t="shared" si="147"/>
        <v>79.623387284014498</v>
      </c>
      <c r="CB141" s="20">
        <f t="shared" si="118"/>
        <v>731.88476426965838</v>
      </c>
      <c r="CC141" s="59">
        <f t="shared" si="119"/>
        <v>1025.2180976029917</v>
      </c>
      <c r="CD141" s="59">
        <f ca="1">AVERAGE(OFFSET($CC$3,0,0,'Données projet'!$E$12+1,1))-AVERAGE(OFFSET($H$3,0,0,'Données projet'!$E$12+1,1))</f>
        <v>372.05986520199804</v>
      </c>
      <c r="CE141" s="59">
        <f t="shared" si="148"/>
        <v>184.37981929432044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25.898268050841224</v>
      </c>
      <c r="CL141" s="21">
        <f>EXP(-LN(2)/25)*CL140+(1-EXP(-LN(2)/25))/(LN(2)/25)*Calculateur!CG141*Calculateur!CI141*VLOOKUP('Données projet'!$B$12,Paramètres!$A$1:$I$89,3,0)*0.475*44/12</f>
        <v>20.355461327176897</v>
      </c>
      <c r="CM141" s="21">
        <f>EXP(-LN(2)/2)*CM140+(1-EXP(-LN(2)/2))/(LN(2)/2)*CG141*CJ141*VLOOKUP('Données projet'!$B$12,Paramètres!$A$1:$I$89,3,0)*0.475*44/12</f>
        <v>0.60025896407234758</v>
      </c>
      <c r="CN141" s="22">
        <f t="shared" si="120"/>
        <v>46.853988342090467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9.1440000000000055</v>
      </c>
      <c r="CT141" s="12">
        <f>IF('Données projet'!$A$140&gt;35,CT140+CS141-DB140,IF(A141&lt;'Données projet'!$A$140,$CQ$205^A141,IF(A141='Données projet'!$A$140,'Données projet'!$B$140,CT140+CS141-DB140)))</f>
        <v>460.07600000000093</v>
      </c>
      <c r="CU141" s="17">
        <f>CT141*VLOOKUP('Données projet'!$B$13,Paramètres!$A$1:$I$89,3,0)*VLOOKUP('Données projet'!$B$13,Paramètres!$A$1:$I$89,5,0)</f>
        <v>416.27676480000082</v>
      </c>
      <c r="CV141" s="13">
        <f t="shared" si="149"/>
        <v>95.068830381071379</v>
      </c>
      <c r="CW141" s="20">
        <f t="shared" si="121"/>
        <v>890.5935782737007</v>
      </c>
      <c r="CX141" s="59">
        <f t="shared" si="122"/>
        <v>1183.9269116070341</v>
      </c>
      <c r="CY141" s="59">
        <f ca="1">AVERAGE(OFFSET($CX$3,0,0,'Données projet'!$E$13+1,1))-AVERAGE(OFFSET($H$3,0,0,'Données projet'!$E$13+1,1))</f>
        <v>479.84731392413374</v>
      </c>
      <c r="CZ141" s="59">
        <f t="shared" si="150"/>
        <v>203.57601099841213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41.338385057759957</v>
      </c>
      <c r="DG141" s="21">
        <f>EXP(-LN(2)/25)*DG140+(1-EXP(-LN(2)/25))/(LN(2)/25)*Calculateur!DB141*Calculateur!DD141*VLOOKUP('Données projet'!$B$13,Paramètres!$A$1:$I$89,3,0)*0.475*44/12</f>
        <v>21.273635761731079</v>
      </c>
      <c r="DH141" s="21">
        <f>EXP(-LN(2)/2)*DH140+(1-EXP(-LN(2)/2))/(LN(2)/2)*DB141*DE141*VLOOKUP('Données projet'!$B$13,Paramètres!$A$1:$I$89,3,0)*0.475*44/12</f>
        <v>3.9890471386911194E-2</v>
      </c>
      <c r="DI141" s="22">
        <f t="shared" si="123"/>
        <v>62.651911290877948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293.3333333333353</v>
      </c>
      <c r="S142" s="59">
        <f ca="1">AVERAGE(OFFSET($R$3,0,0,'Données projet'!$E$9+1,1))-AVERAGE(OFFSET($H$3,0,0,'Données projet'!$E$9+1,1))</f>
        <v>322.7909000321435</v>
      </c>
      <c r="T142" s="59">
        <f t="shared" si="142"/>
        <v>403.23516981532316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34.403269891362285</v>
      </c>
      <c r="AA142" s="21">
        <f>EXP(-LN(2)/25)*AA141+(1-EXP(-LN(2)/25))/(LN(2)/25)*Calculateur!V142*Calculateur!X142*VLOOKUP('Données projet'!$B$9,Paramètres!$A$1:$I$89,3,0)*0.475*44/12</f>
        <v>6.1751464561929952</v>
      </c>
      <c r="AB142" s="21">
        <f>EXP(-LN(2)/2)*AB141+(1-EXP(-LN(2)/2))/(LN(2)/2)*V142*Y142*VLOOKUP('Données projet'!$B$9,Paramètres!$A$1:$I$89,3,0)*0.475*44/12</f>
        <v>2.485758307552135E-11</v>
      </c>
      <c r="AC142" s="22">
        <f t="shared" si="111"/>
        <v>40.578416347580138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3.4106051316484809E-13</v>
      </c>
      <c r="AJ142" s="13">
        <f>AI142*VLOOKUP('Données projet'!$B$10,Paramètres!$A$1:$I$89,3,0)*VLOOKUP('Données projet'!$B$10,Paramètres!$A$1:$I$89,5,0)</f>
        <v>1.5961632016114892E-13</v>
      </c>
      <c r="AK142" s="13">
        <f t="shared" si="143"/>
        <v>2.2708641912150958E-12</v>
      </c>
      <c r="AL142" s="20">
        <f t="shared" si="112"/>
        <v>4.2330868906469593E-12</v>
      </c>
      <c r="AM142" s="59">
        <f t="shared" si="113"/>
        <v>293.33333333333752</v>
      </c>
      <c r="AN142" s="59">
        <f ca="1">AVERAGE(OFFSET($AM$3,0,0,'Données projet'!$E$10+1,1))-AVERAGE(OFFSET($H$3,0,0,'Données projet'!$E$10+1,1))</f>
        <v>187.82209112143374</v>
      </c>
      <c r="AO142" s="59">
        <f t="shared" si="144"/>
        <v>158.99136654880203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72.439673623994821</v>
      </c>
      <c r="AV142" s="21">
        <f>EXP(-LN(2)/25)*AV141+(1-EXP(-LN(2)/25))/(LN(2)/25)*Calculateur!AQ142*Calculateur!AS142*VLOOKUP('Données projet'!$B$10,Paramètres!$A$1:$I$89,3,0)*0.475*44/12</f>
        <v>18.23081701225609</v>
      </c>
      <c r="AW142" s="21">
        <f>EXP(-LN(2)/2)*AW141+(1-EXP(-LN(2)/2))/(LN(2)/2)*AQ142*AT142*VLOOKUP('Données projet'!$B$10,Paramètres!$A$1:$I$89,3,0)*0.475*44/12</f>
        <v>9.6093441829933645E-4</v>
      </c>
      <c r="AX142" s="21">
        <f t="shared" si="114"/>
        <v>90.67145157066922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140.32771978791288</v>
      </c>
      <c r="BJ142" s="59">
        <f t="shared" si="146"/>
        <v>135.76866977947634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4.0977623610936043</v>
      </c>
      <c r="BQ142" s="21">
        <f>EXP(-LN(2)/25)*BQ141+(1-EXP(-LN(2)/25))/(LN(2)/25)*Calculateur!BL142*Calculateur!BN142*VLOOKUP('Données projet'!$B$11,Paramètres!$A$1:$I$89,3,0)*0.475*44/12</f>
        <v>16.414591581504009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20.512353942597613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7.3375000000000012</v>
      </c>
      <c r="BY142" s="12">
        <f>IF('Données projet'!$A$114&gt;35,BY141+BX142-CG141,IF(A142&lt;'Données projet'!$A$114,$BV$205^A142,IF(A142='Données projet'!$A$114,'Données projet'!$B$114,BY141+BX142-CG141)))</f>
        <v>343.2324999999999</v>
      </c>
      <c r="BZ142" s="13">
        <f>BY142*VLOOKUP('Données projet'!$B$12,Paramètres!$A$1:$I$89,3,0)*VLOOKUP('Données projet'!$B$12,Paramètres!$A$1:$I$89,5,0)</f>
        <v>348.03775499999989</v>
      </c>
      <c r="CA142" s="13">
        <f t="shared" si="147"/>
        <v>81.158332500044466</v>
      </c>
      <c r="CB142" s="20">
        <f t="shared" si="118"/>
        <v>747.51651906257723</v>
      </c>
      <c r="CC142" s="59">
        <f t="shared" si="119"/>
        <v>1040.8498523959106</v>
      </c>
      <c r="CD142" s="59">
        <f ca="1">AVERAGE(OFFSET($CC$3,0,0,'Données projet'!$E$12+1,1))-AVERAGE(OFFSET($H$3,0,0,'Données projet'!$E$12+1,1))</f>
        <v>372.05986520199804</v>
      </c>
      <c r="CE142" s="59">
        <f t="shared" si="148"/>
        <v>184.37981929432044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25.390418810747974</v>
      </c>
      <c r="CL142" s="21">
        <f>EXP(-LN(2)/25)*CL141+(1-EXP(-LN(2)/25))/(LN(2)/25)*Calculateur!CG142*Calculateur!CI142*VLOOKUP('Données projet'!$B$12,Paramètres!$A$1:$I$89,3,0)*0.475*44/12</f>
        <v>19.798840166738056</v>
      </c>
      <c r="CM142" s="21">
        <f>EXP(-LN(2)/2)*CM141+(1-EXP(-LN(2)/2))/(LN(2)/2)*CG142*CJ142*VLOOKUP('Données projet'!$B$12,Paramètres!$A$1:$I$89,3,0)*0.475*44/12</f>
        <v>0.42444718396356917</v>
      </c>
      <c r="CN142" s="22">
        <f t="shared" si="120"/>
        <v>45.613706161449606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9.1440000000000055</v>
      </c>
      <c r="CT142" s="12">
        <f>IF('Données projet'!$A$140&gt;35,CT141+CS142-DB141,IF(A142&lt;'Données projet'!$A$140,$CQ$205^A142,IF(A142='Données projet'!$A$140,'Données projet'!$B$140,CT141+CS142-DB141)))</f>
        <v>469.22000000000094</v>
      </c>
      <c r="CU142" s="17">
        <f>CT142*VLOOKUP('Données projet'!$B$13,Paramètres!$A$1:$I$89,3,0)*VLOOKUP('Données projet'!$B$13,Paramètres!$A$1:$I$89,5,0)</f>
        <v>424.55025600000084</v>
      </c>
      <c r="CV142" s="13">
        <f t="shared" si="149"/>
        <v>96.736467404516418</v>
      </c>
      <c r="CW142" s="20">
        <f t="shared" si="121"/>
        <v>907.90770992953412</v>
      </c>
      <c r="CX142" s="59">
        <f t="shared" si="122"/>
        <v>1201.2410432628674</v>
      </c>
      <c r="CY142" s="59">
        <f ca="1">AVERAGE(OFFSET($CX$3,0,0,'Données projet'!$E$13+1,1))-AVERAGE(OFFSET($H$3,0,0,'Données projet'!$E$13+1,1))</f>
        <v>479.84731392413374</v>
      </c>
      <c r="CZ142" s="59">
        <f t="shared" si="150"/>
        <v>203.57601099841213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40.527764540702499</v>
      </c>
      <c r="DG142" s="21">
        <f>EXP(-LN(2)/25)*DG141+(1-EXP(-LN(2)/25))/(LN(2)/25)*Calculateur!DB142*Calculateur!DD142*VLOOKUP('Données projet'!$B$13,Paramètres!$A$1:$I$89,3,0)*0.475*44/12</f>
        <v>20.691907073094658</v>
      </c>
      <c r="DH142" s="21">
        <f>EXP(-LN(2)/2)*DH141+(1-EXP(-LN(2)/2))/(LN(2)/2)*DB142*DE142*VLOOKUP('Données projet'!$B$13,Paramètres!$A$1:$I$89,3,0)*0.475*44/12</f>
        <v>2.8206822822412849E-2</v>
      </c>
      <c r="DI142" s="22">
        <f t="shared" si="123"/>
        <v>61.247878436619573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293.3333333333353</v>
      </c>
      <c r="S143" s="59">
        <f ca="1">AVERAGE(OFFSET($R$3,0,0,'Données projet'!$E$9+1,1))-AVERAGE(OFFSET($H$3,0,0,'Données projet'!$E$9+1,1))</f>
        <v>322.7909000321435</v>
      </c>
      <c r="T143" s="59">
        <f t="shared" si="142"/>
        <v>403.23516981532316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33.728642752715317</v>
      </c>
      <c r="AA143" s="21">
        <f>EXP(-LN(2)/25)*AA142+(1-EXP(-LN(2)/25))/(LN(2)/25)*Calculateur!V143*Calculateur!X143*VLOOKUP('Données projet'!$B$9,Paramètres!$A$1:$I$89,3,0)*0.475*44/12</f>
        <v>6.006286751611559</v>
      </c>
      <c r="AB143" s="21">
        <f>EXP(-LN(2)/2)*AB142+(1-EXP(-LN(2)/2))/(LN(2)/2)*V143*Y143*VLOOKUP('Données projet'!$B$9,Paramètres!$A$1:$I$89,3,0)*0.475*44/12</f>
        <v>1.7576965556609102E-11</v>
      </c>
      <c r="AC143" s="22">
        <f t="shared" si="111"/>
        <v>39.734929504344457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3.4106051316484809E-13</v>
      </c>
      <c r="AJ143" s="13">
        <f>AI143*VLOOKUP('Données projet'!$B$10,Paramètres!$A$1:$I$89,3,0)*VLOOKUP('Données projet'!$B$10,Paramètres!$A$1:$I$89,5,0)</f>
        <v>1.5961632016114892E-13</v>
      </c>
      <c r="AK143" s="13">
        <f t="shared" si="143"/>
        <v>2.2708641912150958E-12</v>
      </c>
      <c r="AL143" s="20">
        <f t="shared" si="112"/>
        <v>4.2330868906469593E-12</v>
      </c>
      <c r="AM143" s="59">
        <f t="shared" si="113"/>
        <v>293.33333333333752</v>
      </c>
      <c r="AN143" s="59">
        <f ca="1">AVERAGE(OFFSET($AM$3,0,0,'Données projet'!$E$10+1,1))-AVERAGE(OFFSET($H$3,0,0,'Données projet'!$E$10+1,1))</f>
        <v>187.82209112143374</v>
      </c>
      <c r="AO143" s="59">
        <f t="shared" si="144"/>
        <v>158.99136654880203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71.019175808066407</v>
      </c>
      <c r="AV143" s="21">
        <f>EXP(-LN(2)/25)*AV142+(1-EXP(-LN(2)/25))/(LN(2)/25)*Calculateur!AQ143*Calculateur!AS143*VLOOKUP('Données projet'!$B$10,Paramètres!$A$1:$I$89,3,0)*0.475*44/12</f>
        <v>17.732294362338948</v>
      </c>
      <c r="AW143" s="21">
        <f>EXP(-LN(2)/2)*AW142+(1-EXP(-LN(2)/2))/(LN(2)/2)*AQ143*AT143*VLOOKUP('Données projet'!$B$10,Paramètres!$A$1:$I$89,3,0)*0.475*44/12</f>
        <v>6.7948324345501129E-4</v>
      </c>
      <c r="AX143" s="21">
        <f t="shared" si="114"/>
        <v>88.752149653648814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140.32771978791288</v>
      </c>
      <c r="BJ143" s="59">
        <f t="shared" si="146"/>
        <v>135.76866977947634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4.0174077405808051</v>
      </c>
      <c r="BQ143" s="21">
        <f>EXP(-LN(2)/25)*BQ142+(1-EXP(-LN(2)/25))/(LN(2)/25)*Calculateur!BL143*Calculateur!BN143*VLOOKUP('Données projet'!$B$11,Paramètres!$A$1:$I$89,3,0)*0.475*44/12</f>
        <v>15.965733711501926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19.98314145208273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7.3375000000000012</v>
      </c>
      <c r="BY143" s="12">
        <f>IF('Données projet'!$A$114&gt;35,BY142+BX143-CG142,IF(A143&lt;'Données projet'!$A$114,$BV$205^A143,IF(A143='Données projet'!$A$114,'Données projet'!$B$114,BY142+BX143-CG142)))</f>
        <v>350.56999999999988</v>
      </c>
      <c r="BZ143" s="13">
        <f>BY143*VLOOKUP('Données projet'!$B$12,Paramètres!$A$1:$I$89,3,0)*VLOOKUP('Données projet'!$B$12,Paramètres!$A$1:$I$89,5,0)</f>
        <v>355.47797999999989</v>
      </c>
      <c r="CA143" s="13">
        <f t="shared" si="147"/>
        <v>82.689462665419711</v>
      </c>
      <c r="CB143" s="20">
        <f t="shared" si="118"/>
        <v>763.14162930893906</v>
      </c>
      <c r="CC143" s="59">
        <f t="shared" si="119"/>
        <v>1056.4749626422724</v>
      </c>
      <c r="CD143" s="59">
        <f ca="1">AVERAGE(OFFSET($CC$3,0,0,'Données projet'!$E$12+1,1))-AVERAGE(OFFSET($H$3,0,0,'Données projet'!$E$12+1,1))</f>
        <v>372.05986520199804</v>
      </c>
      <c r="CE143" s="59">
        <f t="shared" si="148"/>
        <v>184.37981929432044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24.892528184495504</v>
      </c>
      <c r="CL143" s="21">
        <f>EXP(-LN(2)/25)*CL142+(1-EXP(-LN(2)/25))/(LN(2)/25)*Calculateur!CG143*Calculateur!CI143*VLOOKUP('Données projet'!$B$12,Paramètres!$A$1:$I$89,3,0)*0.475*44/12</f>
        <v>19.257439841202849</v>
      </c>
      <c r="CM143" s="21">
        <f>EXP(-LN(2)/2)*CM142+(1-EXP(-LN(2)/2))/(LN(2)/2)*CG143*CJ143*VLOOKUP('Données projet'!$B$12,Paramètres!$A$1:$I$89,3,0)*0.475*44/12</f>
        <v>0.30012948203617379</v>
      </c>
      <c r="CN143" s="22">
        <f t="shared" si="120"/>
        <v>44.450097507734533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9.1440000000000055</v>
      </c>
      <c r="CT143" s="12">
        <f>IF('Données projet'!$A$140&gt;35,CT142+CS143-DB142,IF(A143&lt;'Données projet'!$A$140,$CQ$205^A143,IF(A143='Données projet'!$A$140,'Données projet'!$B$140,CT142+CS143-DB142)))</f>
        <v>478.36400000000094</v>
      </c>
      <c r="CU143" s="17">
        <f>CT143*VLOOKUP('Données projet'!$B$13,Paramètres!$A$1:$I$89,3,0)*VLOOKUP('Données projet'!$B$13,Paramètres!$A$1:$I$89,5,0)</f>
        <v>432.82374720000081</v>
      </c>
      <c r="CV143" s="13">
        <f t="shared" si="149"/>
        <v>98.400325655042849</v>
      </c>
      <c r="CW143" s="20">
        <f t="shared" si="121"/>
        <v>925.21526022253431</v>
      </c>
      <c r="CX143" s="59">
        <f t="shared" si="122"/>
        <v>1218.5485935558677</v>
      </c>
      <c r="CY143" s="59">
        <f ca="1">AVERAGE(OFFSET($CX$3,0,0,'Données projet'!$E$13+1,1))-AVERAGE(OFFSET($H$3,0,0,'Données projet'!$E$13+1,1))</f>
        <v>479.84731392413374</v>
      </c>
      <c r="CZ143" s="59">
        <f t="shared" si="150"/>
        <v>203.57601099841213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39.733039797554845</v>
      </c>
      <c r="DG143" s="21">
        <f>EXP(-LN(2)/25)*DG142+(1-EXP(-LN(2)/25))/(LN(2)/25)*Calculateur!DB143*Calculateur!DD143*VLOOKUP('Données projet'!$B$13,Paramètres!$A$1:$I$89,3,0)*0.475*44/12</f>
        <v>20.126085786040782</v>
      </c>
      <c r="DH143" s="21">
        <f>EXP(-LN(2)/2)*DH142+(1-EXP(-LN(2)/2))/(LN(2)/2)*DB143*DE143*VLOOKUP('Données projet'!$B$13,Paramètres!$A$1:$I$89,3,0)*0.475*44/12</f>
        <v>1.9945235693455597E-2</v>
      </c>
      <c r="DI143" s="22">
        <f t="shared" si="123"/>
        <v>59.879070819289083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293.3333333333353</v>
      </c>
      <c r="S144" s="59">
        <f ca="1">AVERAGE(OFFSET($R$3,0,0,'Données projet'!$E$9+1,1))-AVERAGE(OFFSET($H$3,0,0,'Données projet'!$E$9+1,1))</f>
        <v>322.7909000321435</v>
      </c>
      <c r="T144" s="59">
        <f t="shared" si="142"/>
        <v>403.23516981532316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33.067244640775286</v>
      </c>
      <c r="AA144" s="21">
        <f>EXP(-LN(2)/25)*AA143+(1-EXP(-LN(2)/25))/(LN(2)/25)*Calculateur!V144*Calculateur!X144*VLOOKUP('Données projet'!$B$9,Paramètres!$A$1:$I$89,3,0)*0.475*44/12</f>
        <v>5.8420445245318486</v>
      </c>
      <c r="AB144" s="21">
        <f>EXP(-LN(2)/2)*AB143+(1-EXP(-LN(2)/2))/(LN(2)/2)*V144*Y144*VLOOKUP('Données projet'!$B$9,Paramètres!$A$1:$I$89,3,0)*0.475*44/12</f>
        <v>1.2428791537760675E-11</v>
      </c>
      <c r="AC144" s="22">
        <f t="shared" si="111"/>
        <v>38.909289165319564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3.4106051316484809E-13</v>
      </c>
      <c r="AJ144" s="13">
        <f>AI144*VLOOKUP('Données projet'!$B$10,Paramètres!$A$1:$I$89,3,0)*VLOOKUP('Données projet'!$B$10,Paramètres!$A$1:$I$89,5,0)</f>
        <v>1.5961632016114892E-13</v>
      </c>
      <c r="AK144" s="13">
        <f t="shared" si="143"/>
        <v>2.2708641912150958E-12</v>
      </c>
      <c r="AL144" s="20">
        <f t="shared" si="112"/>
        <v>4.2330868906469593E-12</v>
      </c>
      <c r="AM144" s="59">
        <f t="shared" si="113"/>
        <v>293.33333333333752</v>
      </c>
      <c r="AN144" s="59">
        <f ca="1">AVERAGE(OFFSET($AM$3,0,0,'Données projet'!$E$10+1,1))-AVERAGE(OFFSET($H$3,0,0,'Données projet'!$E$10+1,1))</f>
        <v>187.82209112143374</v>
      </c>
      <c r="AO144" s="59">
        <f t="shared" si="144"/>
        <v>158.99136654880203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69.626533087890223</v>
      </c>
      <c r="AV144" s="21">
        <f>EXP(-LN(2)/25)*AV143+(1-EXP(-LN(2)/25))/(LN(2)/25)*Calculateur!AQ144*Calculateur!AS144*VLOOKUP('Données projet'!$B$10,Paramètres!$A$1:$I$89,3,0)*0.475*44/12</f>
        <v>17.247403840499956</v>
      </c>
      <c r="AW144" s="21">
        <f>EXP(-LN(2)/2)*AW143+(1-EXP(-LN(2)/2))/(LN(2)/2)*AQ144*AT144*VLOOKUP('Données projet'!$B$10,Paramètres!$A$1:$I$89,3,0)*0.475*44/12</f>
        <v>4.8046720914966828E-4</v>
      </c>
      <c r="AX144" s="21">
        <f t="shared" si="114"/>
        <v>86.874417395599323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140.32771978791288</v>
      </c>
      <c r="BJ144" s="59">
        <f t="shared" si="146"/>
        <v>135.76866977947634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3.9386288251647827</v>
      </c>
      <c r="BQ144" s="21">
        <f>EXP(-LN(2)/25)*BQ143+(1-EXP(-LN(2)/25))/(LN(2)/25)*Calculateur!BL144*Calculateur!BN144*VLOOKUP('Données projet'!$B$11,Paramètres!$A$1:$I$89,3,0)*0.475*44/12</f>
        <v>15.529149883559461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19.467778708724243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7.3375000000000012</v>
      </c>
      <c r="BY144" s="12">
        <f>IF('Données projet'!$A$114&gt;35,BY143+BX144-CG143,IF(A144&lt;'Données projet'!$A$114,$BV$205^A144,IF(A144='Données projet'!$A$114,'Données projet'!$B$114,BY143+BX144-CG143)))</f>
        <v>357.90749999999986</v>
      </c>
      <c r="BZ144" s="13">
        <f>BY144*VLOOKUP('Données projet'!$B$12,Paramètres!$A$1:$I$89,3,0)*VLOOKUP('Données projet'!$B$12,Paramètres!$A$1:$I$89,5,0)</f>
        <v>362.91820499999989</v>
      </c>
      <c r="CA144" s="13">
        <f t="shared" si="147"/>
        <v>84.216866829050204</v>
      </c>
      <c r="CB144" s="20">
        <f t="shared" si="118"/>
        <v>778.76025010226238</v>
      </c>
      <c r="CC144" s="59">
        <f t="shared" si="119"/>
        <v>1072.0935834355957</v>
      </c>
      <c r="CD144" s="59">
        <f ca="1">AVERAGE(OFFSET($CC$3,0,0,'Données projet'!$E$12+1,1))-AVERAGE(OFFSET($H$3,0,0,'Données projet'!$E$12+1,1))</f>
        <v>372.05986520199804</v>
      </c>
      <c r="CE144" s="59">
        <f t="shared" si="148"/>
        <v>184.37981929432044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24.404400889740547</v>
      </c>
      <c r="CL144" s="21">
        <f>EXP(-LN(2)/25)*CL143+(1-EXP(-LN(2)/25))/(LN(2)/25)*Calculateur!CG144*Calculateur!CI144*VLOOKUP('Données projet'!$B$12,Paramètres!$A$1:$I$89,3,0)*0.475*44/12</f>
        <v>18.73084413604041</v>
      </c>
      <c r="CM144" s="21">
        <f>EXP(-LN(2)/2)*CM143+(1-EXP(-LN(2)/2))/(LN(2)/2)*CG144*CJ144*VLOOKUP('Données projet'!$B$12,Paramètres!$A$1:$I$89,3,0)*0.475*44/12</f>
        <v>0.21222359198178459</v>
      </c>
      <c r="CN144" s="22">
        <f t="shared" si="120"/>
        <v>43.347468617762743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9.1440000000000055</v>
      </c>
      <c r="CT144" s="12">
        <f>IF('Données projet'!$A$140&gt;35,CT143+CS144-DB143,IF(A144&lt;'Données projet'!$A$140,$CQ$205^A144,IF(A144='Données projet'!$A$140,'Données projet'!$B$140,CT143+CS144-DB143)))</f>
        <v>487.50800000000095</v>
      </c>
      <c r="CU144" s="17">
        <f>CT144*VLOOKUP('Données projet'!$B$13,Paramètres!$A$1:$I$89,3,0)*VLOOKUP('Données projet'!$B$13,Paramètres!$A$1:$I$89,5,0)</f>
        <v>441.09723840000083</v>
      </c>
      <c r="CV144" s="13">
        <f t="shared" si="149"/>
        <v>100.06048569250036</v>
      </c>
      <c r="CW144" s="20">
        <f t="shared" si="121"/>
        <v>942.51636946110614</v>
      </c>
      <c r="CX144" s="59">
        <f t="shared" si="122"/>
        <v>1235.8497027944395</v>
      </c>
      <c r="CY144" s="59">
        <f ca="1">AVERAGE(OFFSET($CX$3,0,0,'Données projet'!$E$13+1,1))-AVERAGE(OFFSET($H$3,0,0,'Données projet'!$E$13+1,1))</f>
        <v>479.84731392413374</v>
      </c>
      <c r="CZ144" s="59">
        <f t="shared" si="150"/>
        <v>203.57601099841213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38.953899121886089</v>
      </c>
      <c r="DG144" s="21">
        <f>EXP(-LN(2)/25)*DG143+(1-EXP(-LN(2)/25))/(LN(2)/25)*Calculateur!DB144*Calculateur!DD144*VLOOKUP('Données projet'!$B$13,Paramètres!$A$1:$I$89,3,0)*0.475*44/12</f>
        <v>19.575736911836646</v>
      </c>
      <c r="DH144" s="21">
        <f>EXP(-LN(2)/2)*DH143+(1-EXP(-LN(2)/2))/(LN(2)/2)*DB144*DE144*VLOOKUP('Données projet'!$B$13,Paramètres!$A$1:$I$89,3,0)*0.475*44/12</f>
        <v>1.4103411411206425E-2</v>
      </c>
      <c r="DI144" s="22">
        <f t="shared" si="123"/>
        <v>58.543739445133944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293.3333333333353</v>
      </c>
      <c r="S145" s="59">
        <f ca="1">AVERAGE(OFFSET($R$3,0,0,'Données projet'!$E$9+1,1))-AVERAGE(OFFSET($H$3,0,0,'Données projet'!$E$9+1,1))</f>
        <v>322.7909000321435</v>
      </c>
      <c r="T145" s="59">
        <f t="shared" si="142"/>
        <v>403.23516981532316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32.41881614239739</v>
      </c>
      <c r="AA145" s="21">
        <f>EXP(-LN(2)/25)*AA144+(1-EXP(-LN(2)/25))/(LN(2)/25)*Calculateur!V145*Calculateur!X145*VLOOKUP('Données projet'!$B$9,Paramètres!$A$1:$I$89,3,0)*0.475*44/12</f>
        <v>5.6822935097887557</v>
      </c>
      <c r="AB145" s="21">
        <f>EXP(-LN(2)/2)*AB144+(1-EXP(-LN(2)/2))/(LN(2)/2)*V145*Y145*VLOOKUP('Données projet'!$B$9,Paramètres!$A$1:$I$89,3,0)*0.475*44/12</f>
        <v>8.7884827783045511E-12</v>
      </c>
      <c r="AC145" s="22">
        <f t="shared" si="111"/>
        <v>38.101109652194936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3.4106051316484809E-13</v>
      </c>
      <c r="AJ145" s="13">
        <f>AI145*VLOOKUP('Données projet'!$B$10,Paramètres!$A$1:$I$89,3,0)*VLOOKUP('Données projet'!$B$10,Paramètres!$A$1:$I$89,5,0)</f>
        <v>1.5961632016114892E-13</v>
      </c>
      <c r="AK145" s="13">
        <f t="shared" si="143"/>
        <v>2.2708641912150958E-12</v>
      </c>
      <c r="AL145" s="20">
        <f t="shared" si="112"/>
        <v>4.2330868906469593E-12</v>
      </c>
      <c r="AM145" s="59">
        <f t="shared" si="113"/>
        <v>293.33333333333752</v>
      </c>
      <c r="AN145" s="59">
        <f ca="1">AVERAGE(OFFSET($AM$3,0,0,'Données projet'!$E$10+1,1))-AVERAGE(OFFSET($H$3,0,0,'Données projet'!$E$10+1,1))</f>
        <v>187.82209112143374</v>
      </c>
      <c r="AO145" s="59">
        <f t="shared" si="144"/>
        <v>158.99136654880203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68.261199242028511</v>
      </c>
      <c r="AV145" s="21">
        <f>EXP(-LN(2)/25)*AV144+(1-EXP(-LN(2)/25))/(LN(2)/25)*Calculateur!AQ145*Calculateur!AS145*VLOOKUP('Données projet'!$B$10,Paramètres!$A$1:$I$89,3,0)*0.475*44/12</f>
        <v>16.775772675479935</v>
      </c>
      <c r="AW145" s="21">
        <f>EXP(-LN(2)/2)*AW144+(1-EXP(-LN(2)/2))/(LN(2)/2)*AQ145*AT145*VLOOKUP('Données projet'!$B$10,Paramètres!$A$1:$I$89,3,0)*0.475*44/12</f>
        <v>3.397416217275057E-4</v>
      </c>
      <c r="AX145" s="21">
        <f t="shared" si="114"/>
        <v>85.037311659130182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140.32771978791288</v>
      </c>
      <c r="BJ145" s="59">
        <f t="shared" si="146"/>
        <v>135.76866977947634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3.8613947162296749</v>
      </c>
      <c r="BQ145" s="21">
        <f>EXP(-LN(2)/25)*BQ144+(1-EXP(-LN(2)/25))/(LN(2)/25)*Calculateur!BL145*Calculateur!BN145*VLOOKUP('Données projet'!$B$11,Paramètres!$A$1:$I$89,3,0)*0.475*44/12</f>
        <v>15.104504463351027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18.965899179580703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7.3375000000000012</v>
      </c>
      <c r="BY145" s="12">
        <f>IF('Données projet'!$A$114&gt;35,BY144+BX145-CG144,IF(A145&lt;'Données projet'!$A$114,$BV$205^A145,IF(A145='Données projet'!$A$114,'Données projet'!$B$114,BY144+BX145-CG144)))</f>
        <v>365.24499999999983</v>
      </c>
      <c r="BZ145" s="13">
        <f>BY145*VLOOKUP('Données projet'!$B$12,Paramètres!$A$1:$I$89,3,0)*VLOOKUP('Données projet'!$B$12,Paramètres!$A$1:$I$89,5,0)</f>
        <v>370.35842999999988</v>
      </c>
      <c r="CA145" s="13">
        <f t="shared" si="147"/>
        <v>85.740630179938449</v>
      </c>
      <c r="CB145" s="20">
        <f t="shared" si="118"/>
        <v>794.37252981339236</v>
      </c>
      <c r="CC145" s="59">
        <f t="shared" si="119"/>
        <v>1087.7058631467257</v>
      </c>
      <c r="CD145" s="59">
        <f ca="1">AVERAGE(OFFSET($CC$3,0,0,'Données projet'!$E$12+1,1))-AVERAGE(OFFSET($H$3,0,0,'Données projet'!$E$12+1,1))</f>
        <v>372.05986520199804</v>
      </c>
      <c r="CE145" s="59">
        <f t="shared" si="148"/>
        <v>184.37981929432044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23.925845473507486</v>
      </c>
      <c r="CL145" s="21">
        <f>EXP(-LN(2)/25)*CL144+(1-EXP(-LN(2)/25))/(LN(2)/25)*Calculateur!CG145*Calculateur!CI145*VLOOKUP('Données projet'!$B$12,Paramètres!$A$1:$I$89,3,0)*0.475*44/12</f>
        <v>18.218648218128102</v>
      </c>
      <c r="CM145" s="21">
        <f>EXP(-LN(2)/2)*CM144+(1-EXP(-LN(2)/2))/(LN(2)/2)*CG145*CJ145*VLOOKUP('Données projet'!$B$12,Paramètres!$A$1:$I$89,3,0)*0.475*44/12</f>
        <v>0.15006474101808689</v>
      </c>
      <c r="CN145" s="22">
        <f t="shared" si="120"/>
        <v>42.294558432653673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9.1440000000000055</v>
      </c>
      <c r="CT145" s="12">
        <f>IF('Données projet'!$A$140&gt;35,CT144+CS145-DB144,IF(A145&lt;'Données projet'!$A$140,$CQ$205^A145,IF(A145='Données projet'!$A$140,'Données projet'!$B$140,CT144+CS145-DB144)))</f>
        <v>496.65200000000095</v>
      </c>
      <c r="CU145" s="17">
        <f>CT145*VLOOKUP('Données projet'!$B$13,Paramètres!$A$1:$I$89,3,0)*VLOOKUP('Données projet'!$B$13,Paramètres!$A$1:$I$89,5,0)</f>
        <v>449.37072960000086</v>
      </c>
      <c r="CV145" s="13">
        <f t="shared" si="149"/>
        <v>101.71702488172154</v>
      </c>
      <c r="CW145" s="20">
        <f t="shared" si="121"/>
        <v>959.81117238899981</v>
      </c>
      <c r="CX145" s="59">
        <f t="shared" si="122"/>
        <v>1253.1445057223332</v>
      </c>
      <c r="CY145" s="59">
        <f ca="1">AVERAGE(OFFSET($CX$3,0,0,'Données projet'!$E$13+1,1))-AVERAGE(OFFSET($H$3,0,0,'Données projet'!$E$13+1,1))</f>
        <v>479.84731392413374</v>
      </c>
      <c r="CZ145" s="59">
        <f t="shared" si="150"/>
        <v>203.57601099841213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38.19003691963831</v>
      </c>
      <c r="DG145" s="21">
        <f>EXP(-LN(2)/25)*DG144+(1-EXP(-LN(2)/25))/(LN(2)/25)*Calculateur!DB145*Calculateur!DD145*VLOOKUP('Données projet'!$B$13,Paramètres!$A$1:$I$89,3,0)*0.475*44/12</f>
        <v>19.040437356539211</v>
      </c>
      <c r="DH145" s="21">
        <f>EXP(-LN(2)/2)*DH144+(1-EXP(-LN(2)/2))/(LN(2)/2)*DB145*DE145*VLOOKUP('Données projet'!$B$13,Paramètres!$A$1:$I$89,3,0)*0.475*44/12</f>
        <v>9.9726178467277986E-3</v>
      </c>
      <c r="DI145" s="22">
        <f t="shared" si="123"/>
        <v>57.240446894024245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293.3333333333353</v>
      </c>
      <c r="S146" s="59">
        <f ca="1">AVERAGE(OFFSET($R$3,0,0,'Données projet'!$E$9+1,1))-AVERAGE(OFFSET($H$3,0,0,'Données projet'!$E$9+1,1))</f>
        <v>322.7909000321435</v>
      </c>
      <c r="T146" s="59">
        <f t="shared" si="142"/>
        <v>403.23516981532316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31.783102931370351</v>
      </c>
      <c r="AA146" s="21">
        <f>EXP(-LN(2)/25)*AA145+(1-EXP(-LN(2)/25))/(LN(2)/25)*Calculateur!V146*Calculateur!X146*VLOOKUP('Données projet'!$B$9,Paramètres!$A$1:$I$89,3,0)*0.475*44/12</f>
        <v>5.5269108949447538</v>
      </c>
      <c r="AB146" s="21">
        <f>EXP(-LN(2)/2)*AB145+(1-EXP(-LN(2)/2))/(LN(2)/2)*V146*Y146*VLOOKUP('Données projet'!$B$9,Paramètres!$A$1:$I$89,3,0)*0.475*44/12</f>
        <v>6.2143957688803375E-12</v>
      </c>
      <c r="AC146" s="22">
        <f t="shared" si="111"/>
        <v>37.310013826321324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3.4106051316484809E-13</v>
      </c>
      <c r="AJ146" s="13">
        <f>AI146*VLOOKUP('Données projet'!$B$10,Paramètres!$A$1:$I$89,3,0)*VLOOKUP('Données projet'!$B$10,Paramètres!$A$1:$I$89,5,0)</f>
        <v>1.5961632016114892E-13</v>
      </c>
      <c r="AK146" s="13">
        <f t="shared" si="143"/>
        <v>2.2708641912150958E-12</v>
      </c>
      <c r="AL146" s="20">
        <f t="shared" si="112"/>
        <v>4.2330868906469593E-12</v>
      </c>
      <c r="AM146" s="59">
        <f t="shared" si="113"/>
        <v>293.33333333333752</v>
      </c>
      <c r="AN146" s="59">
        <f ca="1">AVERAGE(OFFSET($AM$3,0,0,'Données projet'!$E$10+1,1))-AVERAGE(OFFSET($H$3,0,0,'Données projet'!$E$10+1,1))</f>
        <v>187.82209112143374</v>
      </c>
      <c r="AO146" s="59">
        <f t="shared" si="144"/>
        <v>158.99136654880203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66.922638760112733</v>
      </c>
      <c r="AV146" s="21">
        <f>EXP(-LN(2)/25)*AV145+(1-EXP(-LN(2)/25))/(LN(2)/25)*Calculateur!AQ146*Calculateur!AS146*VLOOKUP('Données projet'!$B$10,Paramètres!$A$1:$I$89,3,0)*0.475*44/12</f>
        <v>16.317038289469394</v>
      </c>
      <c r="AW146" s="21">
        <f>EXP(-LN(2)/2)*AW145+(1-EXP(-LN(2)/2))/(LN(2)/2)*AQ146*AT146*VLOOKUP('Données projet'!$B$10,Paramètres!$A$1:$I$89,3,0)*0.475*44/12</f>
        <v>2.4023360457483419E-4</v>
      </c>
      <c r="AX146" s="21">
        <f t="shared" si="114"/>
        <v>83.239917283186699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140.32771978791288</v>
      </c>
      <c r="BJ146" s="59">
        <f t="shared" si="146"/>
        <v>135.76866977947634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3.7856751210626296</v>
      </c>
      <c r="BQ146" s="21">
        <f>EXP(-LN(2)/25)*BQ145+(1-EXP(-LN(2)/25))/(LN(2)/25)*Calculateur!BL146*Calculateur!BN146*VLOOKUP('Données projet'!$B$11,Paramètres!$A$1:$I$89,3,0)*0.475*44/12</f>
        <v>14.691470994489325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18.477146115551953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7.3375000000000012</v>
      </c>
      <c r="BY146" s="12">
        <f>IF('Données projet'!$A$114&gt;35,BY145+BX146-CG145,IF(A146&lt;'Données projet'!$A$114,$BV$205^A146,IF(A146='Données projet'!$A$114,'Données projet'!$B$114,BY145+BX146-CG145)))</f>
        <v>372.58249999999981</v>
      </c>
      <c r="BZ146" s="13">
        <f>BY146*VLOOKUP('Données projet'!$B$12,Paramètres!$A$1:$I$89,3,0)*VLOOKUP('Données projet'!$B$12,Paramètres!$A$1:$I$89,5,0)</f>
        <v>377.79865499999983</v>
      </c>
      <c r="CA146" s="13">
        <f t="shared" si="147"/>
        <v>87.260834288615982</v>
      </c>
      <c r="CB146" s="20">
        <f t="shared" si="118"/>
        <v>809.97861051100574</v>
      </c>
      <c r="CC146" s="59">
        <f t="shared" si="119"/>
        <v>1103.3119438443391</v>
      </c>
      <c r="CD146" s="59">
        <f ca="1">AVERAGE(OFFSET($CC$3,0,0,'Données projet'!$E$12+1,1))-AVERAGE(OFFSET($H$3,0,0,'Données projet'!$E$12+1,1))</f>
        <v>372.05986520199804</v>
      </c>
      <c r="CE146" s="59">
        <f t="shared" si="148"/>
        <v>184.37981929432044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23.456674237096774</v>
      </c>
      <c r="CL146" s="21">
        <f>EXP(-LN(2)/25)*CL145+(1-EXP(-LN(2)/25))/(LN(2)/25)*Calculateur!CG146*Calculateur!CI146*VLOOKUP('Données projet'!$B$12,Paramètres!$A$1:$I$89,3,0)*0.475*44/12</f>
        <v>17.720458324526319</v>
      </c>
      <c r="CM146" s="21">
        <f>EXP(-LN(2)/2)*CM145+(1-EXP(-LN(2)/2))/(LN(2)/2)*CG146*CJ146*VLOOKUP('Données projet'!$B$12,Paramètres!$A$1:$I$89,3,0)*0.475*44/12</f>
        <v>0.10611179599089229</v>
      </c>
      <c r="CN146" s="22">
        <f t="shared" si="120"/>
        <v>41.283244357613988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9.1440000000000055</v>
      </c>
      <c r="CT146" s="12">
        <f>IF('Données projet'!$A$140&gt;35,CT145+CS146-DB145,IF(A146&lt;'Données projet'!$A$140,$CQ$205^A146,IF(A146='Données projet'!$A$140,'Données projet'!$B$140,CT145+CS146-DB145)))</f>
        <v>505.79600000000096</v>
      </c>
      <c r="CU146" s="17">
        <f>CT146*VLOOKUP('Données projet'!$B$13,Paramètres!$A$1:$I$89,3,0)*VLOOKUP('Données projet'!$B$13,Paramètres!$A$1:$I$89,5,0)</f>
        <v>457.64422080000088</v>
      </c>
      <c r="CV146" s="13">
        <f t="shared" si="149"/>
        <v>103.37001757568726</v>
      </c>
      <c r="CW146" s="20">
        <f t="shared" si="121"/>
        <v>977.0997985043233</v>
      </c>
      <c r="CX146" s="59">
        <f t="shared" si="122"/>
        <v>1270.4331318376567</v>
      </c>
      <c r="CY146" s="59">
        <f ca="1">AVERAGE(OFFSET($CX$3,0,0,'Données projet'!$E$13+1,1))-AVERAGE(OFFSET($H$3,0,0,'Données projet'!$E$13+1,1))</f>
        <v>479.84731392413374</v>
      </c>
      <c r="CZ146" s="59">
        <f t="shared" si="150"/>
        <v>203.57601099841213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37.441153589266669</v>
      </c>
      <c r="DG146" s="21">
        <f>EXP(-LN(2)/25)*DG145+(1-EXP(-LN(2)/25))/(LN(2)/25)*Calculateur!DB146*Calculateur!DD146*VLOOKUP('Données projet'!$B$13,Paramètres!$A$1:$I$89,3,0)*0.475*44/12</f>
        <v>18.519775595731563</v>
      </c>
      <c r="DH146" s="21">
        <f>EXP(-LN(2)/2)*DH145+(1-EXP(-LN(2)/2))/(LN(2)/2)*DB146*DE146*VLOOKUP('Données projet'!$B$13,Paramètres!$A$1:$I$89,3,0)*0.475*44/12</f>
        <v>7.0517057056032123E-3</v>
      </c>
      <c r="DI146" s="22">
        <f t="shared" si="123"/>
        <v>55.967980890703842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293.3333333333353</v>
      </c>
      <c r="S147" s="59">
        <f ca="1">AVERAGE(OFFSET($R$3,0,0,'Données projet'!$E$9+1,1))-AVERAGE(OFFSET($H$3,0,0,'Données projet'!$E$9+1,1))</f>
        <v>322.7909000321435</v>
      </c>
      <c r="T147" s="59">
        <f t="shared" si="142"/>
        <v>403.23516981532316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31.159855668664779</v>
      </c>
      <c r="AA147" s="21">
        <f>EXP(-LN(2)/25)*AA146+(1-EXP(-LN(2)/25))/(LN(2)/25)*Calculateur!V147*Calculateur!X147*VLOOKUP('Données projet'!$B$9,Paramètres!$A$1:$I$89,3,0)*0.475*44/12</f>
        <v>5.3757772258748773</v>
      </c>
      <c r="AB147" s="21">
        <f>EXP(-LN(2)/2)*AB146+(1-EXP(-LN(2)/2))/(LN(2)/2)*V147*Y147*VLOOKUP('Données projet'!$B$9,Paramètres!$A$1:$I$89,3,0)*0.475*44/12</f>
        <v>4.3942413891522756E-12</v>
      </c>
      <c r="AC147" s="22">
        <f t="shared" si="111"/>
        <v>36.535632894544051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3.4106051316484809E-13</v>
      </c>
      <c r="AJ147" s="13">
        <f>AI147*VLOOKUP('Données projet'!$B$10,Paramètres!$A$1:$I$89,3,0)*VLOOKUP('Données projet'!$B$10,Paramètres!$A$1:$I$89,5,0)</f>
        <v>1.5961632016114892E-13</v>
      </c>
      <c r="AK147" s="13">
        <f t="shared" si="143"/>
        <v>2.2708641912150958E-12</v>
      </c>
      <c r="AL147" s="20">
        <f t="shared" si="112"/>
        <v>4.2330868906469593E-12</v>
      </c>
      <c r="AM147" s="59">
        <f t="shared" si="113"/>
        <v>293.33333333333752</v>
      </c>
      <c r="AN147" s="59">
        <f ca="1">AVERAGE(OFFSET($AM$3,0,0,'Données projet'!$E$10+1,1))-AVERAGE(OFFSET($H$3,0,0,'Données projet'!$E$10+1,1))</f>
        <v>187.82209112143374</v>
      </c>
      <c r="AO147" s="59">
        <f t="shared" si="144"/>
        <v>158.99136654880203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65.61032663280605</v>
      </c>
      <c r="AV147" s="21">
        <f>EXP(-LN(2)/25)*AV146+(1-EXP(-LN(2)/25))/(LN(2)/25)*Calculateur!AQ147*Calculateur!AS147*VLOOKUP('Données projet'!$B$10,Paramètres!$A$1:$I$89,3,0)*0.475*44/12</f>
        <v>15.870848019368104</v>
      </c>
      <c r="AW147" s="21">
        <f>EXP(-LN(2)/2)*AW146+(1-EXP(-LN(2)/2))/(LN(2)/2)*AQ147*AT147*VLOOKUP('Données projet'!$B$10,Paramètres!$A$1:$I$89,3,0)*0.475*44/12</f>
        <v>1.6987081086375288E-4</v>
      </c>
      <c r="AX147" s="21">
        <f t="shared" si="114"/>
        <v>81.481344522985026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140.32771978791288</v>
      </c>
      <c r="BJ147" s="59">
        <f t="shared" si="146"/>
        <v>135.76866977947634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3.711440340972417</v>
      </c>
      <c r="BQ147" s="21">
        <f>EXP(-LN(2)/25)*BQ146+(1-EXP(-LN(2)/25))/(LN(2)/25)*Calculateur!BL147*Calculateur!BN147*VLOOKUP('Données projet'!$B$11,Paramètres!$A$1:$I$89,3,0)*0.475*44/12</f>
        <v>14.289731947554133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18.001172288526551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379.92</v>
      </c>
      <c r="BW147" s="12">
        <f>VLOOKUP(A147,'Données projet'!$A$113:$I$133,9,0)</f>
        <v>7.3375000000000012</v>
      </c>
      <c r="BX147" s="12">
        <f t="array" ref="BX147">INDEX(BW:BW,MIN(IF(ISNUMBER(BW147:BW343),ROW(BW147:BW343),"")))</f>
        <v>7.3375000000000012</v>
      </c>
      <c r="BY147" s="12">
        <f>IF('Données projet'!$A$114&gt;35,BY146+BX147-CG146,IF(A147&lt;'Données projet'!$A$114,$BV$205^A147,IF(A147='Données projet'!$A$114,'Données projet'!$B$114,BY146+BX147-CG146)))</f>
        <v>379.91999999999979</v>
      </c>
      <c r="BZ147" s="13">
        <f>BY147*VLOOKUP('Données projet'!$B$12,Paramètres!$A$1:$I$89,3,0)*VLOOKUP('Données projet'!$B$12,Paramètres!$A$1:$I$89,5,0)</f>
        <v>385.23887999999982</v>
      </c>
      <c r="CA147" s="13">
        <f t="shared" si="147"/>
        <v>88.777557329023793</v>
      </c>
      <c r="CB147" s="20">
        <f t="shared" si="118"/>
        <v>825.57862834804939</v>
      </c>
      <c r="CC147" s="59">
        <f t="shared" si="119"/>
        <v>1118.9119616813828</v>
      </c>
      <c r="CD147" s="59">
        <f ca="1">AVERAGE(OFFSET($CC$3,0,0,'Données projet'!$E$12+1,1))-AVERAGE(OFFSET($H$3,0,0,'Données projet'!$E$12+1,1))</f>
        <v>372.05986520199804</v>
      </c>
      <c r="CE147" s="59">
        <f t="shared" si="148"/>
        <v>184.37981929432044</v>
      </c>
      <c r="CF147" s="15">
        <f>IF(ISNA(VLOOKUP(A147,'Données projet'!$A$113:$I$133,3,0)),0,VLOOKUP(A147,'Données projet'!$A$113:$I$133,3,0))</f>
        <v>10</v>
      </c>
      <c r="CG147" s="15">
        <f>IF(ISNA(VLOOKUP(A147,'Données projet'!$A$113:$I$133,4,0)),0,VLOOKUP(A147,'Données projet'!$A$113:$I$133,4,0))</f>
        <v>60.949999999999989</v>
      </c>
      <c r="CH147" s="16">
        <f>IF(ISNA(VLOOKUP(A147,'Données projet'!$A$113:$I$133,5,0)),0%,VLOOKUP(A147,'Données projet'!$A$113:$I$133,5,0)*VLOOKUP('Données projet'!$B$12,Paramètres!$A$1:$I$89,7,0))</f>
        <v>0.15049999999999999</v>
      </c>
      <c r="CI147" s="16">
        <f>IF(ISNA(VLOOKUP(A147,'Données projet'!$A$113:$I$133,6,0)),0%,VLOOKUP(A147,'Données projet'!$A$113:$I$133,6,0)*VLOOKUP('Données projet'!$B$12,Paramètres!$A$1:$I$89,7,0))</f>
        <v>8.6000000000000007E-2</v>
      </c>
      <c r="CJ147" s="16">
        <f>IF(ISNA(VLOOKUP(A147,'Données projet'!$A$113:$I$133,7,0)),0%,VLOOKUP(A147,'Données projet'!$A$113:$I$133,7,0))</f>
        <v>0.1</v>
      </c>
      <c r="CK147" s="21">
        <f>EXP(-LN(2)/35)*CK146+(1-EXP(-LN(2)/35))/(LN(2)/35)*CG147*CH147*VLOOKUP('Données projet'!$B$12,Paramètres!$A$1:$I$89,3,0)*0.475*44/12</f>
        <v>33.279121647327884</v>
      </c>
      <c r="CL147" s="21">
        <f>EXP(-LN(2)/25)*CL146+(1-EXP(-LN(2)/25))/(LN(2)/25)*Calculateur!CG147*Calculateur!CI147*VLOOKUP('Données projet'!$B$12,Paramètres!$A$1:$I$89,3,0)*0.475*44/12</f>
        <v>23.088424422837178</v>
      </c>
      <c r="CM147" s="21">
        <f>EXP(-LN(2)/2)*CM146+(1-EXP(-LN(2)/2))/(LN(2)/2)*CG147*CJ147*VLOOKUP('Données projet'!$B$12,Paramètres!$A$1:$I$89,3,0)*0.475*44/12</f>
        <v>5.9063400666521613</v>
      </c>
      <c r="CN147" s="22">
        <f t="shared" si="120"/>
        <v>62.273886136817225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514.94000000000005</v>
      </c>
      <c r="CR147" s="12">
        <f>VLOOKUP(A147,'Données projet'!$A$139:$I$159,9,0)</f>
        <v>9.1440000000000055</v>
      </c>
      <c r="CS147" s="12">
        <f t="array" ref="CS147">INDEX(CR:CR,MIN(IF(ISNUMBER(CR147:CR343),ROW(CR147:CR343),"")))</f>
        <v>9.1440000000000055</v>
      </c>
      <c r="CT147" s="12">
        <f>IF('Données projet'!$A$140&gt;35,CT146+CS147-DB146,IF(A147&lt;'Données projet'!$A$140,$CQ$205^A147,IF(A147='Données projet'!$A$140,'Données projet'!$B$140,CT146+CS147-DB146)))</f>
        <v>514.94000000000096</v>
      </c>
      <c r="CU147" s="17">
        <f>CT147*VLOOKUP('Données projet'!$B$13,Paramètres!$A$1:$I$89,3,0)*VLOOKUP('Données projet'!$B$13,Paramètres!$A$1:$I$89,5,0)</f>
        <v>465.91771200000085</v>
      </c>
      <c r="CV147" s="13">
        <f t="shared" si="149"/>
        <v>105.01953528507198</v>
      </c>
      <c r="CW147" s="20">
        <f t="shared" si="121"/>
        <v>994.38237235483496</v>
      </c>
      <c r="CX147" s="59">
        <f t="shared" si="122"/>
        <v>1287.7157056881683</v>
      </c>
      <c r="CY147" s="59">
        <f ca="1">AVERAGE(OFFSET($CX$3,0,0,'Données projet'!$E$13+1,1))-AVERAGE(OFFSET($H$3,0,0,'Données projet'!$E$13+1,1))</f>
        <v>479.84731392413374</v>
      </c>
      <c r="CZ147" s="59">
        <f t="shared" si="150"/>
        <v>203.57601099841213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61.800000000000068</v>
      </c>
      <c r="DC147" s="16">
        <f>IF(ISNA(VLOOKUP(A147,'Données projet'!$A$139:$I$159,5,0)),0%,VLOOKUP(A147,'Données projet'!$A$139:$I$159,5,0)*VLOOKUP('Données projet'!$B$13,Paramètres!$A$1:$I$89,7,0))</f>
        <v>0.215</v>
      </c>
      <c r="DD147" s="16">
        <f>IF(ISNA(VLOOKUP(A147,'Données projet'!$A$139:$I$159,6,0)),0%,VLOOKUP(A147,'Données projet'!$A$139:$I$159,6,0)*VLOOKUP('Données projet'!$B$13,Paramètres!$A$1:$I$89,7,0))</f>
        <v>8.6000000000000007E-2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49.997006091476479</v>
      </c>
      <c r="DG147" s="21">
        <f>EXP(-LN(2)/25)*DG146+(1-EXP(-LN(2)/25))/(LN(2)/25)*Calculateur!DB147*Calculateur!DD147*VLOOKUP('Données projet'!$B$13,Paramètres!$A$1:$I$89,3,0)*0.475*44/12</f>
        <v>23.30844043566745</v>
      </c>
      <c r="DH147" s="21">
        <f>EXP(-LN(2)/2)*DH146+(1-EXP(-LN(2)/2))/(LN(2)/2)*DB147*DE147*VLOOKUP('Données projet'!$B$13,Paramètres!$A$1:$I$89,3,0)*0.475*44/12</f>
        <v>4.9863089233638993E-3</v>
      </c>
      <c r="DI147" s="22">
        <f t="shared" si="123"/>
        <v>73.310432836067292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293.3333333333353</v>
      </c>
      <c r="S148" s="59">
        <f ca="1">AVERAGE(OFFSET($R$3,0,0,'Données projet'!$E$9+1,1))-AVERAGE(OFFSET($H$3,0,0,'Données projet'!$E$9+1,1))</f>
        <v>322.7909000321435</v>
      </c>
      <c r="T148" s="59">
        <f t="shared" si="142"/>
        <v>403.23516981532316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30.548829904637572</v>
      </c>
      <c r="AA148" s="21">
        <f>EXP(-LN(2)/25)*AA147+(1-EXP(-LN(2)/25))/(LN(2)/25)*Calculateur!V148*Calculateur!X148*VLOOKUP('Données projet'!$B$9,Paramètres!$A$1:$I$89,3,0)*0.475*44/12</f>
        <v>5.2287763149334907</v>
      </c>
      <c r="AB148" s="21">
        <f>EXP(-LN(2)/2)*AB147+(1-EXP(-LN(2)/2))/(LN(2)/2)*V148*Y148*VLOOKUP('Données projet'!$B$9,Paramètres!$A$1:$I$89,3,0)*0.475*44/12</f>
        <v>3.1071978844401688E-12</v>
      </c>
      <c r="AC148" s="22">
        <f t="shared" si="111"/>
        <v>35.777606219574167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3.4106051316484809E-13</v>
      </c>
      <c r="AJ148" s="13">
        <f>AI148*VLOOKUP('Données projet'!$B$10,Paramètres!$A$1:$I$89,3,0)*VLOOKUP('Données projet'!$B$10,Paramètres!$A$1:$I$89,5,0)</f>
        <v>1.5961632016114892E-13</v>
      </c>
      <c r="AK148" s="13">
        <f t="shared" si="143"/>
        <v>2.2708641912150958E-12</v>
      </c>
      <c r="AL148" s="20">
        <f t="shared" si="112"/>
        <v>4.2330868906469593E-12</v>
      </c>
      <c r="AM148" s="59">
        <f t="shared" si="113"/>
        <v>293.33333333333752</v>
      </c>
      <c r="AN148" s="59">
        <f ca="1">AVERAGE(OFFSET($AM$3,0,0,'Données projet'!$E$10+1,1))-AVERAGE(OFFSET($H$3,0,0,'Données projet'!$E$10+1,1))</f>
        <v>187.82209112143374</v>
      </c>
      <c r="AO148" s="59">
        <f t="shared" si="144"/>
        <v>158.99136654880203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64.32374814588448</v>
      </c>
      <c r="AV148" s="21">
        <f>EXP(-LN(2)/25)*AV147+(1-EXP(-LN(2)/25))/(LN(2)/25)*Calculateur!AQ148*Calculateur!AS148*VLOOKUP('Données projet'!$B$10,Paramètres!$A$1:$I$89,3,0)*0.475*44/12</f>
        <v>15.43685884566686</v>
      </c>
      <c r="AW148" s="21">
        <f>EXP(-LN(2)/2)*AW147+(1-EXP(-LN(2)/2))/(LN(2)/2)*AQ148*AT148*VLOOKUP('Données projet'!$B$10,Paramètres!$A$1:$I$89,3,0)*0.475*44/12</f>
        <v>1.2011680228741711E-4</v>
      </c>
      <c r="AX148" s="21">
        <f t="shared" si="114"/>
        <v>79.760727108353635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140.32771978791288</v>
      </c>
      <c r="BJ148" s="59">
        <f t="shared" si="146"/>
        <v>135.76866977947634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3.6386612596410286</v>
      </c>
      <c r="BQ148" s="21">
        <f>EXP(-LN(2)/25)*BQ147+(1-EXP(-LN(2)/25))/(LN(2)/25)*Calculateur!BL148*Calculateur!BN148*VLOOKUP('Données projet'!$B$11,Paramètres!$A$1:$I$89,3,0)*0.475*44/12</f>
        <v>13.898978475983922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17.53763973562495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7.5191666666666634</v>
      </c>
      <c r="BY148" s="12">
        <f>IF('Données projet'!$A$114&gt;35,BY147+BX148-CG147,IF(A148&lt;'Données projet'!$A$114,$BV$205^A148,IF(A148='Données projet'!$A$114,'Données projet'!$B$114,BY147+BX148-CG147)))</f>
        <v>326.48916666666645</v>
      </c>
      <c r="BZ148" s="13">
        <f>BY148*VLOOKUP('Données projet'!$B$12,Paramètres!$A$1:$I$89,3,0)*VLOOKUP('Données projet'!$B$12,Paramètres!$A$1:$I$89,5,0)</f>
        <v>331.06001499999979</v>
      </c>
      <c r="CA148" s="13">
        <f t="shared" si="147"/>
        <v>77.650034289681813</v>
      </c>
      <c r="CB148" s="20">
        <f t="shared" si="118"/>
        <v>711.83666917952871</v>
      </c>
      <c r="CC148" s="59">
        <f t="shared" si="119"/>
        <v>1005.1700025128621</v>
      </c>
      <c r="CD148" s="59">
        <f ca="1">AVERAGE(OFFSET($CC$3,0,0,'Données projet'!$E$12+1,1))-AVERAGE(OFFSET($H$3,0,0,'Données projet'!$E$12+1,1))</f>
        <v>372.05986520199804</v>
      </c>
      <c r="CE148" s="59">
        <f t="shared" si="148"/>
        <v>184.37981929432044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32.626538370083701</v>
      </c>
      <c r="CL148" s="21">
        <f>EXP(-LN(2)/25)*CL147+(1-EXP(-LN(2)/25))/(LN(2)/25)*Calculateur!CG148*Calculateur!CI148*VLOOKUP('Données projet'!$B$12,Paramètres!$A$1:$I$89,3,0)*0.475*44/12</f>
        <v>22.457070242827225</v>
      </c>
      <c r="CM148" s="21">
        <f>EXP(-LN(2)/2)*CM147+(1-EXP(-LN(2)/2))/(LN(2)/2)*CG148*CJ148*VLOOKUP('Données projet'!$B$12,Paramètres!$A$1:$I$89,3,0)*0.475*44/12</f>
        <v>4.1764131131235489</v>
      </c>
      <c r="CN148" s="22">
        <f t="shared" si="120"/>
        <v>59.260021726034473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9.3350000000000026</v>
      </c>
      <c r="CT148" s="12">
        <f>IF('Données projet'!$A$140&gt;35,CT147+CS148-DB147,IF(A148&lt;'Données projet'!$A$140,$CQ$205^A148,IF(A148='Données projet'!$A$140,'Données projet'!$B$140,CT147+CS148-DB147)))</f>
        <v>462.47500000000093</v>
      </c>
      <c r="CU148" s="17">
        <f>CT148*VLOOKUP('Données projet'!$B$13,Paramètres!$A$1:$I$89,3,0)*VLOOKUP('Données projet'!$B$13,Paramètres!$A$1:$I$89,5,0)</f>
        <v>418.44738000000081</v>
      </c>
      <c r="CV148" s="13">
        <f t="shared" si="149"/>
        <v>95.506718301246906</v>
      </c>
      <c r="CW148" s="20">
        <f t="shared" si="121"/>
        <v>895.13672120800663</v>
      </c>
      <c r="CX148" s="59">
        <f t="shared" si="122"/>
        <v>1188.47005454134</v>
      </c>
      <c r="CY148" s="59">
        <f ca="1">AVERAGE(OFFSET($CX$3,0,0,'Données projet'!$E$13+1,1))-AVERAGE(OFFSET($H$3,0,0,'Données projet'!$E$13+1,1))</f>
        <v>479.84731392413374</v>
      </c>
      <c r="CZ148" s="59">
        <f t="shared" si="150"/>
        <v>203.57601099841213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49.016595297185191</v>
      </c>
      <c r="DG148" s="21">
        <f>EXP(-LN(2)/25)*DG147+(1-EXP(-LN(2)/25))/(LN(2)/25)*Calculateur!DB148*Calculateur!DD148*VLOOKUP('Données projet'!$B$13,Paramètres!$A$1:$I$89,3,0)*0.475*44/12</f>
        <v>22.671069906216513</v>
      </c>
      <c r="DH148" s="21">
        <f>EXP(-LN(2)/2)*DH147+(1-EXP(-LN(2)/2))/(LN(2)/2)*DB148*DE148*VLOOKUP('Données projet'!$B$13,Paramètres!$A$1:$I$89,3,0)*0.475*44/12</f>
        <v>3.5258528528016061E-3</v>
      </c>
      <c r="DI148" s="22">
        <f t="shared" si="123"/>
        <v>71.69119105625451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293.3333333333353</v>
      </c>
      <c r="S149" s="59">
        <f ca="1">AVERAGE(OFFSET($R$3,0,0,'Données projet'!$E$9+1,1))-AVERAGE(OFFSET($H$3,0,0,'Données projet'!$E$9+1,1))</f>
        <v>322.7909000321435</v>
      </c>
      <c r="T149" s="59">
        <f t="shared" si="142"/>
        <v>403.23516981532316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29.949785983154019</v>
      </c>
      <c r="AA149" s="21">
        <f>EXP(-LN(2)/25)*AA148+(1-EXP(-LN(2)/25))/(LN(2)/25)*Calculateur!V149*Calculateur!X149*VLOOKUP('Données projet'!$B$9,Paramètres!$A$1:$I$89,3,0)*0.475*44/12</f>
        <v>5.0857951516322384</v>
      </c>
      <c r="AB149" s="21">
        <f>EXP(-LN(2)/2)*AB148+(1-EXP(-LN(2)/2))/(LN(2)/2)*V149*Y149*VLOOKUP('Données projet'!$B$9,Paramètres!$A$1:$I$89,3,0)*0.475*44/12</f>
        <v>2.1971206945761378E-12</v>
      </c>
      <c r="AC149" s="22">
        <f t="shared" si="111"/>
        <v>35.035581134788451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3.4106051316484809E-13</v>
      </c>
      <c r="AJ149" s="13">
        <f>AI149*VLOOKUP('Données projet'!$B$10,Paramètres!$A$1:$I$89,3,0)*VLOOKUP('Données projet'!$B$10,Paramètres!$A$1:$I$89,5,0)</f>
        <v>1.5961632016114892E-13</v>
      </c>
      <c r="AK149" s="13">
        <f t="shared" si="143"/>
        <v>2.2708641912150958E-12</v>
      </c>
      <c r="AL149" s="20">
        <f t="shared" si="112"/>
        <v>4.2330868906469593E-12</v>
      </c>
      <c r="AM149" s="59">
        <f t="shared" si="113"/>
        <v>293.33333333333752</v>
      </c>
      <c r="AN149" s="59">
        <f ca="1">AVERAGE(OFFSET($AM$3,0,0,'Données projet'!$E$10+1,1))-AVERAGE(OFFSET($H$3,0,0,'Données projet'!$E$10+1,1))</f>
        <v>187.82209112143374</v>
      </c>
      <c r="AO149" s="59">
        <f t="shared" si="144"/>
        <v>158.99136654880203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63.062398678356054</v>
      </c>
      <c r="AV149" s="21">
        <f>EXP(-LN(2)/25)*AV148+(1-EXP(-LN(2)/25))/(LN(2)/25)*Calculateur!AQ149*Calculateur!AS149*VLOOKUP('Données projet'!$B$10,Paramètres!$A$1:$I$89,3,0)*0.475*44/12</f>
        <v>15.014737128742974</v>
      </c>
      <c r="AW149" s="21">
        <f>EXP(-LN(2)/2)*AW148+(1-EXP(-LN(2)/2))/(LN(2)/2)*AQ149*AT149*VLOOKUP('Données projet'!$B$10,Paramètres!$A$1:$I$89,3,0)*0.475*44/12</f>
        <v>8.4935405431876452E-5</v>
      </c>
      <c r="AX149" s="21">
        <f t="shared" si="114"/>
        <v>78.077220742504451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140.32771978791288</v>
      </c>
      <c r="BJ149" s="59">
        <f t="shared" si="146"/>
        <v>135.76866977947634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3.5673093317036924</v>
      </c>
      <c r="BQ149" s="21">
        <f>EXP(-LN(2)/25)*BQ148+(1-EXP(-LN(2)/25))/(LN(2)/25)*Calculateur!BL149*Calculateur!BN149*VLOOKUP('Données projet'!$B$11,Paramètres!$A$1:$I$89,3,0)*0.475*44/12</f>
        <v>13.51891017864263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17.086219510346321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7.5191666666666634</v>
      </c>
      <c r="BY149" s="12">
        <f>IF('Données projet'!$A$114&gt;35,BY148+BX149-CG148,IF(A149&lt;'Données projet'!$A$114,$BV$205^A149,IF(A149='Données projet'!$A$114,'Données projet'!$B$114,BY148+BX149-CG148)))</f>
        <v>334.0083333333331</v>
      </c>
      <c r="BZ149" s="13">
        <f>BY149*VLOOKUP('Données projet'!$B$12,Paramètres!$A$1:$I$89,3,0)*VLOOKUP('Données projet'!$B$12,Paramètres!$A$1:$I$89,5,0)</f>
        <v>338.6844499999998</v>
      </c>
      <c r="CA149" s="13">
        <f t="shared" si="147"/>
        <v>79.228084167092831</v>
      </c>
      <c r="CB149" s="20">
        <f t="shared" si="118"/>
        <v>727.86433034101958</v>
      </c>
      <c r="CC149" s="59">
        <f t="shared" si="119"/>
        <v>1021.197663674353</v>
      </c>
      <c r="CD149" s="59">
        <f ca="1">AVERAGE(OFFSET($CC$3,0,0,'Données projet'!$E$12+1,1))-AVERAGE(OFFSET($H$3,0,0,'Données projet'!$E$12+1,1))</f>
        <v>372.05986520199804</v>
      </c>
      <c r="CE149" s="59">
        <f t="shared" si="148"/>
        <v>184.37981929432044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31.98675185286978</v>
      </c>
      <c r="CL149" s="21">
        <f>EXP(-LN(2)/25)*CL148+(1-EXP(-LN(2)/25))/(LN(2)/25)*Calculateur!CG149*Calculateur!CI149*VLOOKUP('Données projet'!$B$12,Paramètres!$A$1:$I$89,3,0)*0.475*44/12</f>
        <v>21.842980476071116</v>
      </c>
      <c r="CM149" s="21">
        <f>EXP(-LN(2)/2)*CM148+(1-EXP(-LN(2)/2))/(LN(2)/2)*CG149*CJ149*VLOOKUP('Données projet'!$B$12,Paramètres!$A$1:$I$89,3,0)*0.475*44/12</f>
        <v>2.9531700333260811</v>
      </c>
      <c r="CN149" s="22">
        <f t="shared" si="120"/>
        <v>56.782902362266974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9.3350000000000026</v>
      </c>
      <c r="CT149" s="12">
        <f>IF('Données projet'!$A$140&gt;35,CT148+CS149-DB148,IF(A149&lt;'Données projet'!$A$140,$CQ$205^A149,IF(A149='Données projet'!$A$140,'Données projet'!$B$140,CT148+CS149-DB148)))</f>
        <v>471.81000000000091</v>
      </c>
      <c r="CU149" s="17">
        <f>CT149*VLOOKUP('Données projet'!$B$13,Paramètres!$A$1:$I$89,3,0)*VLOOKUP('Données projet'!$B$13,Paramètres!$A$1:$I$89,5,0)</f>
        <v>426.89368800000079</v>
      </c>
      <c r="CV149" s="13">
        <f t="shared" si="149"/>
        <v>97.208128358788159</v>
      </c>
      <c r="CW149" s="20">
        <f t="shared" si="121"/>
        <v>912.81066349155742</v>
      </c>
      <c r="CX149" s="59">
        <f t="shared" si="122"/>
        <v>1206.1439968248908</v>
      </c>
      <c r="CY149" s="59">
        <f ca="1">AVERAGE(OFFSET($CX$3,0,0,'Données projet'!$E$13+1,1))-AVERAGE(OFFSET($H$3,0,0,'Données projet'!$E$13+1,1))</f>
        <v>479.84731392413374</v>
      </c>
      <c r="CZ149" s="59">
        <f t="shared" si="150"/>
        <v>203.57601099841213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48.055409760578421</v>
      </c>
      <c r="DG149" s="21">
        <f>EXP(-LN(2)/25)*DG148+(1-EXP(-LN(2)/25))/(LN(2)/25)*Calculateur!DB149*Calculateur!DD149*VLOOKUP('Données projet'!$B$13,Paramètres!$A$1:$I$89,3,0)*0.475*44/12</f>
        <v>22.051128307411272</v>
      </c>
      <c r="DH149" s="21">
        <f>EXP(-LN(2)/2)*DH148+(1-EXP(-LN(2)/2))/(LN(2)/2)*DB149*DE149*VLOOKUP('Données projet'!$B$13,Paramètres!$A$1:$I$89,3,0)*0.475*44/12</f>
        <v>2.4931544616819496E-3</v>
      </c>
      <c r="DI149" s="22">
        <f t="shared" si="123"/>
        <v>70.109031222451364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293.3333333333353</v>
      </c>
      <c r="S150" s="59">
        <f ca="1">AVERAGE(OFFSET($R$3,0,0,'Données projet'!$E$9+1,1))-AVERAGE(OFFSET($H$3,0,0,'Données projet'!$E$9+1,1))</f>
        <v>322.7909000321435</v>
      </c>
      <c r="T150" s="59">
        <f t="shared" si="142"/>
        <v>403.23516981532316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29.362488947590045</v>
      </c>
      <c r="AA150" s="21">
        <f>EXP(-LN(2)/25)*AA149+(1-EXP(-LN(2)/25))/(LN(2)/25)*Calculateur!V150*Calculateur!X150*VLOOKUP('Données projet'!$B$9,Paramètres!$A$1:$I$89,3,0)*0.475*44/12</f>
        <v>4.9467238157605111</v>
      </c>
      <c r="AB150" s="21">
        <f>EXP(-LN(2)/2)*AB149+(1-EXP(-LN(2)/2))/(LN(2)/2)*V150*Y150*VLOOKUP('Données projet'!$B$9,Paramètres!$A$1:$I$89,3,0)*0.475*44/12</f>
        <v>1.5535989422200844E-12</v>
      </c>
      <c r="AC150" s="22">
        <f t="shared" si="111"/>
        <v>34.309212763352114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3.4106051316484809E-13</v>
      </c>
      <c r="AJ150" s="13">
        <f>AI150*VLOOKUP('Données projet'!$B$10,Paramètres!$A$1:$I$89,3,0)*VLOOKUP('Données projet'!$B$10,Paramètres!$A$1:$I$89,5,0)</f>
        <v>1.5961632016114892E-13</v>
      </c>
      <c r="AK150" s="13">
        <f t="shared" si="143"/>
        <v>2.2708641912150958E-12</v>
      </c>
      <c r="AL150" s="20">
        <f t="shared" si="112"/>
        <v>4.2330868906469593E-12</v>
      </c>
      <c r="AM150" s="59">
        <f t="shared" si="113"/>
        <v>293.33333333333752</v>
      </c>
      <c r="AN150" s="59">
        <f ca="1">AVERAGE(OFFSET($AM$3,0,0,'Données projet'!$E$10+1,1))-AVERAGE(OFFSET($H$3,0,0,'Données projet'!$E$10+1,1))</f>
        <v>187.82209112143374</v>
      </c>
      <c r="AO150" s="59">
        <f t="shared" si="144"/>
        <v>158.99136654880203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61.825783504538656</v>
      </c>
      <c r="AV150" s="21">
        <f>EXP(-LN(2)/25)*AV149+(1-EXP(-LN(2)/25))/(LN(2)/25)*Calculateur!AQ150*Calculateur!AS150*VLOOKUP('Données projet'!$B$10,Paramètres!$A$1:$I$89,3,0)*0.475*44/12</f>
        <v>14.604158352366788</v>
      </c>
      <c r="AW150" s="21">
        <f>EXP(-LN(2)/2)*AW149+(1-EXP(-LN(2)/2))/(LN(2)/2)*AQ150*AT150*VLOOKUP('Données projet'!$B$10,Paramètres!$A$1:$I$89,3,0)*0.475*44/12</f>
        <v>6.0058401143708569E-5</v>
      </c>
      <c r="AX150" s="21">
        <f t="shared" si="114"/>
        <v>76.43000191530659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140.32771978791288</v>
      </c>
      <c r="BJ150" s="59">
        <f t="shared" si="146"/>
        <v>135.76866977947634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3.4973565715528285</v>
      </c>
      <c r="BQ150" s="21">
        <f>EXP(-LN(2)/25)*BQ149+(1-EXP(-LN(2)/25))/(LN(2)/25)*Calculateur!BL150*Calculateur!BN150*VLOOKUP('Données projet'!$B$11,Paramètres!$A$1:$I$89,3,0)*0.475*44/12</f>
        <v>13.149234868879059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16.646591440431887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7.5191666666666634</v>
      </c>
      <c r="BY150" s="12">
        <f>IF('Données projet'!$A$114&gt;35,BY149+BX150-CG149,IF(A150&lt;'Données projet'!$A$114,$BV$205^A150,IF(A150='Données projet'!$A$114,'Données projet'!$B$114,BY149+BX150-CG149)))</f>
        <v>341.52749999999975</v>
      </c>
      <c r="BZ150" s="13">
        <f>BY150*VLOOKUP('Données projet'!$B$12,Paramètres!$A$1:$I$89,3,0)*VLOOKUP('Données projet'!$B$12,Paramètres!$A$1:$I$89,5,0)</f>
        <v>346.3088849999998</v>
      </c>
      <c r="CA150" s="13">
        <f t="shared" si="147"/>
        <v>80.802003987912002</v>
      </c>
      <c r="CB150" s="20">
        <f t="shared" si="118"/>
        <v>743.88479832061319</v>
      </c>
      <c r="CC150" s="59">
        <f t="shared" si="119"/>
        <v>1037.2181316539466</v>
      </c>
      <c r="CD150" s="59">
        <f ca="1">AVERAGE(OFFSET($CC$3,0,0,'Données projet'!$E$12+1,1))-AVERAGE(OFFSET($H$3,0,0,'Données projet'!$E$12+1,1))</f>
        <v>372.05986520199804</v>
      </c>
      <c r="CE150" s="59">
        <f t="shared" si="148"/>
        <v>184.37981929432044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31.359511159027182</v>
      </c>
      <c r="CL150" s="21">
        <f>EXP(-LN(2)/25)*CL149+(1-EXP(-LN(2)/25))/(LN(2)/25)*Calculateur!CG150*Calculateur!CI150*VLOOKUP('Données projet'!$B$12,Paramètres!$A$1:$I$89,3,0)*0.475*44/12</f>
        <v>21.245683026280531</v>
      </c>
      <c r="CM150" s="21">
        <f>EXP(-LN(2)/2)*CM149+(1-EXP(-LN(2)/2))/(LN(2)/2)*CG150*CJ150*VLOOKUP('Données projet'!$B$12,Paramètres!$A$1:$I$89,3,0)*0.475*44/12</f>
        <v>2.0882065565617745</v>
      </c>
      <c r="CN150" s="22">
        <f t="shared" si="120"/>
        <v>54.693400741869482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9.3350000000000026</v>
      </c>
      <c r="CT150" s="12">
        <f>IF('Données projet'!$A$140&gt;35,CT149+CS150-DB149,IF(A150&lt;'Données projet'!$A$140,$CQ$205^A150,IF(A150='Données projet'!$A$140,'Données projet'!$B$140,CT149+CS150-DB149)))</f>
        <v>481.14500000000089</v>
      </c>
      <c r="CU150" s="17">
        <f>CT150*VLOOKUP('Données projet'!$B$13,Paramètres!$A$1:$I$89,3,0)*VLOOKUP('Données projet'!$B$13,Paramètres!$A$1:$I$89,5,0)</f>
        <v>435.33999600000078</v>
      </c>
      <c r="CV150" s="13">
        <f t="shared" si="149"/>
        <v>98.905624251508897</v>
      </c>
      <c r="CW150" s="20">
        <f t="shared" si="121"/>
        <v>930.4777886047126</v>
      </c>
      <c r="CX150" s="59">
        <f t="shared" si="122"/>
        <v>1223.811121938046</v>
      </c>
      <c r="CY150" s="59">
        <f ca="1">AVERAGE(OFFSET($CX$3,0,0,'Données projet'!$E$13+1,1))-AVERAGE(OFFSET($H$3,0,0,'Données projet'!$E$13+1,1))</f>
        <v>479.84731392413374</v>
      </c>
      <c r="CZ150" s="59">
        <f t="shared" si="150"/>
        <v>203.57601099841213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47.113072486079218</v>
      </c>
      <c r="DG150" s="21">
        <f>EXP(-LN(2)/25)*DG149+(1-EXP(-LN(2)/25))/(LN(2)/25)*Calculateur!DB150*Calculateur!DD150*VLOOKUP('Données projet'!$B$13,Paramètres!$A$1:$I$89,3,0)*0.475*44/12</f>
        <v>21.448139044226672</v>
      </c>
      <c r="DH150" s="21">
        <f>EXP(-LN(2)/2)*DH149+(1-EXP(-LN(2)/2))/(LN(2)/2)*DB150*DE150*VLOOKUP('Données projet'!$B$13,Paramètres!$A$1:$I$89,3,0)*0.475*44/12</f>
        <v>1.7629264264008031E-3</v>
      </c>
      <c r="DI150" s="22">
        <f t="shared" si="123"/>
        <v>68.562974456732277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293.3333333333353</v>
      </c>
      <c r="S151" s="59">
        <f ca="1">AVERAGE(OFFSET($R$3,0,0,'Données projet'!$E$9+1,1))-AVERAGE(OFFSET($H$3,0,0,'Données projet'!$E$9+1,1))</f>
        <v>322.7909000321435</v>
      </c>
      <c r="T151" s="59">
        <f t="shared" si="142"/>
        <v>403.23516981532316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28.786708448677661</v>
      </c>
      <c r="AA151" s="21">
        <f>EXP(-LN(2)/25)*AA150+(1-EXP(-LN(2)/25))/(LN(2)/25)*Calculateur!V151*Calculateur!X151*VLOOKUP('Données projet'!$B$9,Paramètres!$A$1:$I$89,3,0)*0.475*44/12</f>
        <v>4.8114553928816406</v>
      </c>
      <c r="AB151" s="21">
        <f>EXP(-LN(2)/2)*AB150+(1-EXP(-LN(2)/2))/(LN(2)/2)*V151*Y151*VLOOKUP('Données projet'!$B$9,Paramètres!$A$1:$I$89,3,0)*0.475*44/12</f>
        <v>1.0985603472880689E-12</v>
      </c>
      <c r="AC151" s="22">
        <f t="shared" si="111"/>
        <v>33.5981638415604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3.4106051316484809E-13</v>
      </c>
      <c r="AJ151" s="13">
        <f>AI151*VLOOKUP('Données projet'!$B$10,Paramètres!$A$1:$I$89,3,0)*VLOOKUP('Données projet'!$B$10,Paramètres!$A$1:$I$89,5,0)</f>
        <v>1.5961632016114892E-13</v>
      </c>
      <c r="AK151" s="13">
        <f t="shared" si="143"/>
        <v>2.2708641912150958E-12</v>
      </c>
      <c r="AL151" s="20">
        <f t="shared" si="112"/>
        <v>4.2330868906469593E-12</v>
      </c>
      <c r="AM151" s="59">
        <f t="shared" si="113"/>
        <v>293.33333333333752</v>
      </c>
      <c r="AN151" s="59">
        <f ca="1">AVERAGE(OFFSET($AM$3,0,0,'Données projet'!$E$10+1,1))-AVERAGE(OFFSET($H$3,0,0,'Données projet'!$E$10+1,1))</f>
        <v>187.82209112143374</v>
      </c>
      <c r="AO151" s="59">
        <f t="shared" si="144"/>
        <v>158.99136654880203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60.613417600019034</v>
      </c>
      <c r="AV151" s="21">
        <f>EXP(-LN(2)/25)*AV150+(1-EXP(-LN(2)/25))/(LN(2)/25)*Calculateur!AQ151*Calculateur!AS151*VLOOKUP('Données projet'!$B$10,Paramètres!$A$1:$I$89,3,0)*0.475*44/12</f>
        <v>14.204806874222008</v>
      </c>
      <c r="AW151" s="21">
        <f>EXP(-LN(2)/2)*AW150+(1-EXP(-LN(2)/2))/(LN(2)/2)*AQ151*AT151*VLOOKUP('Données projet'!$B$10,Paramètres!$A$1:$I$89,3,0)*0.475*44/12</f>
        <v>4.2467702715938233E-5</v>
      </c>
      <c r="AX151" s="21">
        <f t="shared" si="114"/>
        <v>74.818266941943762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140.32771978791288</v>
      </c>
      <c r="BJ151" s="59">
        <f t="shared" si="146"/>
        <v>135.76866977947634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3.4287755423615525</v>
      </c>
      <c r="BQ151" s="21">
        <f>EXP(-LN(2)/25)*BQ150+(1-EXP(-LN(2)/25))/(LN(2)/25)*Calculateur!BL151*Calculateur!BN151*VLOOKUP('Données projet'!$B$11,Paramètres!$A$1:$I$89,3,0)*0.475*44/12</f>
        <v>12.789668349901353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16.218443892262904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7.5191666666666634</v>
      </c>
      <c r="BY151" s="12">
        <f>IF('Données projet'!$A$114&gt;35,BY150+BX151-CG150,IF(A151&lt;'Données projet'!$A$114,$BV$205^A151,IF(A151='Données projet'!$A$114,'Données projet'!$B$114,BY150+BX151-CG150)))</f>
        <v>349.0466666666664</v>
      </c>
      <c r="BZ151" s="13">
        <f>BY151*VLOOKUP('Données projet'!$B$12,Paramètres!$A$1:$I$89,3,0)*VLOOKUP('Données projet'!$B$12,Paramètres!$A$1:$I$89,5,0)</f>
        <v>353.93331999999975</v>
      </c>
      <c r="CA151" s="13">
        <f t="shared" si="147"/>
        <v>82.371895151305182</v>
      </c>
      <c r="CB151" s="20">
        <f t="shared" si="118"/>
        <v>759.89824972185613</v>
      </c>
      <c r="CC151" s="59">
        <f t="shared" si="119"/>
        <v>1053.2315830551895</v>
      </c>
      <c r="CD151" s="59">
        <f ca="1">AVERAGE(OFFSET($CC$3,0,0,'Données projet'!$E$12+1,1))-AVERAGE(OFFSET($H$3,0,0,'Données projet'!$E$12+1,1))</f>
        <v>372.05986520199804</v>
      </c>
      <c r="CE151" s="59">
        <f t="shared" si="148"/>
        <v>184.37981929432044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30.744570272611792</v>
      </c>
      <c r="CL151" s="21">
        <f>EXP(-LN(2)/25)*CL150+(1-EXP(-LN(2)/25))/(LN(2)/25)*Calculateur!CG151*Calculateur!CI151*VLOOKUP('Données projet'!$B$12,Paramètres!$A$1:$I$89,3,0)*0.475*44/12</f>
        <v>20.664718706664978</v>
      </c>
      <c r="CM151" s="21">
        <f>EXP(-LN(2)/2)*CM150+(1-EXP(-LN(2)/2))/(LN(2)/2)*CG151*CJ151*VLOOKUP('Données projet'!$B$12,Paramètres!$A$1:$I$89,3,0)*0.475*44/12</f>
        <v>1.4765850166630405</v>
      </c>
      <c r="CN151" s="22">
        <f t="shared" si="120"/>
        <v>52.885873995939804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9.3350000000000026</v>
      </c>
      <c r="CT151" s="12">
        <f>IF('Données projet'!$A$140&gt;35,CT150+CS151-DB150,IF(A151&lt;'Données projet'!$A$140,$CQ$205^A151,IF(A151='Données projet'!$A$140,'Données projet'!$B$140,CT150+CS151-DB150)))</f>
        <v>490.48000000000087</v>
      </c>
      <c r="CU151" s="17">
        <f>CT151*VLOOKUP('Données projet'!$B$13,Paramètres!$A$1:$I$89,3,0)*VLOOKUP('Données projet'!$B$13,Paramètres!$A$1:$I$89,5,0)</f>
        <v>443.78630400000077</v>
      </c>
      <c r="CV151" s="13">
        <f t="shared" si="149"/>
        <v>100.59929067522565</v>
      </c>
      <c r="CW151" s="20">
        <f t="shared" si="121"/>
        <v>948.13824405935259</v>
      </c>
      <c r="CX151" s="59">
        <f t="shared" si="122"/>
        <v>1241.471577392686</v>
      </c>
      <c r="CY151" s="59">
        <f ca="1">AVERAGE(OFFSET($CX$3,0,0,'Données projet'!$E$13+1,1))-AVERAGE(OFFSET($H$3,0,0,'Données projet'!$E$13+1,1))</f>
        <v>479.84731392413374</v>
      </c>
      <c r="CZ151" s="59">
        <f t="shared" si="150"/>
        <v>203.57601099841213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46.189213870763965</v>
      </c>
      <c r="DG151" s="21">
        <f>EXP(-LN(2)/25)*DG150+(1-EXP(-LN(2)/25))/(LN(2)/25)*Calculateur!DB151*Calculateur!DD151*VLOOKUP('Données projet'!$B$13,Paramètres!$A$1:$I$89,3,0)*0.475*44/12</f>
        <v>20.861638554153682</v>
      </c>
      <c r="DH151" s="21">
        <f>EXP(-LN(2)/2)*DH150+(1-EXP(-LN(2)/2))/(LN(2)/2)*DB151*DE151*VLOOKUP('Données projet'!$B$13,Paramètres!$A$1:$I$89,3,0)*0.475*44/12</f>
        <v>1.2465772308409748E-3</v>
      </c>
      <c r="DI151" s="22">
        <f t="shared" si="123"/>
        <v>67.052099002148495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293.3333333333353</v>
      </c>
      <c r="S152" s="59">
        <f ca="1">AVERAGE(OFFSET($R$3,0,0,'Données projet'!$E$9+1,1))-AVERAGE(OFFSET($H$3,0,0,'Données projet'!$E$9+1,1))</f>
        <v>322.7909000321435</v>
      </c>
      <c r="T152" s="59">
        <f t="shared" si="142"/>
        <v>403.23516981532316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28.222218654157523</v>
      </c>
      <c r="AA152" s="21">
        <f>EXP(-LN(2)/25)*AA151+(1-EXP(-LN(2)/25))/(LN(2)/25)*Calculateur!V152*Calculateur!X152*VLOOKUP('Données projet'!$B$9,Paramètres!$A$1:$I$89,3,0)*0.475*44/12</f>
        <v>4.6798858921398496</v>
      </c>
      <c r="AB152" s="21">
        <f>EXP(-LN(2)/2)*AB151+(1-EXP(-LN(2)/2))/(LN(2)/2)*V152*Y152*VLOOKUP('Données projet'!$B$9,Paramètres!$A$1:$I$89,3,0)*0.475*44/12</f>
        <v>7.7679947111004219E-13</v>
      </c>
      <c r="AC152" s="22">
        <f t="shared" si="111"/>
        <v>32.902104546298148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3.4106051316484809E-13</v>
      </c>
      <c r="AJ152" s="13">
        <f>AI152*VLOOKUP('Données projet'!$B$10,Paramètres!$A$1:$I$89,3,0)*VLOOKUP('Données projet'!$B$10,Paramètres!$A$1:$I$89,5,0)</f>
        <v>1.5961632016114892E-13</v>
      </c>
      <c r="AK152" s="13">
        <f t="shared" si="143"/>
        <v>2.2708641912150958E-12</v>
      </c>
      <c r="AL152" s="20">
        <f t="shared" si="112"/>
        <v>4.2330868906469593E-12</v>
      </c>
      <c r="AM152" s="59">
        <f t="shared" si="113"/>
        <v>293.33333333333752</v>
      </c>
      <c r="AN152" s="59">
        <f ca="1">AVERAGE(OFFSET($AM$3,0,0,'Données projet'!$E$10+1,1))-AVERAGE(OFFSET($H$3,0,0,'Données projet'!$E$10+1,1))</f>
        <v>187.82209112143374</v>
      </c>
      <c r="AO152" s="59">
        <f t="shared" si="144"/>
        <v>158.99136654880203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59.424825451416858</v>
      </c>
      <c r="AV152" s="21">
        <f>EXP(-LN(2)/25)*AV151+(1-EXP(-LN(2)/25))/(LN(2)/25)*Calculateur!AQ152*Calculateur!AS152*VLOOKUP('Données projet'!$B$10,Paramètres!$A$1:$I$89,3,0)*0.475*44/12</f>
        <v>13.816375683248079</v>
      </c>
      <c r="AW152" s="21">
        <f>EXP(-LN(2)/2)*AW151+(1-EXP(-LN(2)/2))/(LN(2)/2)*AQ152*AT152*VLOOKUP('Données projet'!$B$10,Paramètres!$A$1:$I$89,3,0)*0.475*44/12</f>
        <v>3.0029200571854288E-5</v>
      </c>
      <c r="AX152" s="21">
        <f t="shared" si="114"/>
        <v>73.241231163865507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140.32771978791288</v>
      </c>
      <c r="BJ152" s="59">
        <f t="shared" si="146"/>
        <v>135.76866977947634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3.36153934532242</v>
      </c>
      <c r="BQ152" s="21">
        <f>EXP(-LN(2)/25)*BQ151+(1-EXP(-LN(2)/25))/(LN(2)/25)*Calculateur!BL152*Calculateur!BN152*VLOOKUP('Données projet'!$B$11,Paramètres!$A$1:$I$89,3,0)*0.475*44/12</f>
        <v>12.439934196293873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15.801473541616293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7.5191666666666634</v>
      </c>
      <c r="BY152" s="12">
        <f>IF('Données projet'!$A$114&gt;35,BY151+BX152-CG151,IF(A152&lt;'Données projet'!$A$114,$BV$205^A152,IF(A152='Données projet'!$A$114,'Données projet'!$B$114,BY151+BX152-CG151)))</f>
        <v>356.56583333333305</v>
      </c>
      <c r="BZ152" s="13">
        <f>BY152*VLOOKUP('Données projet'!$B$12,Paramètres!$A$1:$I$89,3,0)*VLOOKUP('Données projet'!$B$12,Paramètres!$A$1:$I$89,5,0)</f>
        <v>361.5577549999997</v>
      </c>
      <c r="CA152" s="13">
        <f t="shared" si="147"/>
        <v>83.937854438215282</v>
      </c>
      <c r="CB152" s="20">
        <f t="shared" si="118"/>
        <v>775.904853104891</v>
      </c>
      <c r="CC152" s="59">
        <f t="shared" si="119"/>
        <v>1069.2381864382244</v>
      </c>
      <c r="CD152" s="59">
        <f ca="1">AVERAGE(OFFSET($CC$3,0,0,'Données projet'!$E$12+1,1))-AVERAGE(OFFSET($H$3,0,0,'Données projet'!$E$12+1,1))</f>
        <v>372.05986520199804</v>
      </c>
      <c r="CE152" s="59">
        <f t="shared" si="148"/>
        <v>184.37981929432044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30.141688001902104</v>
      </c>
      <c r="CL152" s="21">
        <f>EXP(-LN(2)/25)*CL151+(1-EXP(-LN(2)/25))/(LN(2)/25)*Calculateur!CG152*Calculateur!CI152*VLOOKUP('Données projet'!$B$12,Paramètres!$A$1:$I$89,3,0)*0.475*44/12</f>
        <v>20.099640886920898</v>
      </c>
      <c r="CM152" s="21">
        <f>EXP(-LN(2)/2)*CM151+(1-EXP(-LN(2)/2))/(LN(2)/2)*CG152*CJ152*VLOOKUP('Données projet'!$B$12,Paramètres!$A$1:$I$89,3,0)*0.475*44/12</f>
        <v>1.0441032782808872</v>
      </c>
      <c r="CN152" s="22">
        <f t="shared" si="120"/>
        <v>51.285432167103892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9.3350000000000026</v>
      </c>
      <c r="CT152" s="12">
        <f>IF('Données projet'!$A$140&gt;35,CT151+CS152-DB151,IF(A152&lt;'Données projet'!$A$140,$CQ$205^A152,IF(A152='Données projet'!$A$140,'Données projet'!$B$140,CT151+CS152-DB151)))</f>
        <v>499.81500000000085</v>
      </c>
      <c r="CU152" s="17">
        <f>CT152*VLOOKUP('Données projet'!$B$13,Paramètres!$A$1:$I$89,3,0)*VLOOKUP('Données projet'!$B$13,Paramètres!$A$1:$I$89,5,0)</f>
        <v>452.2326120000007</v>
      </c>
      <c r="CV152" s="13">
        <f t="shared" si="149"/>
        <v>102.28920891735658</v>
      </c>
      <c r="CW152" s="20">
        <f t="shared" si="121"/>
        <v>965.79217143106382</v>
      </c>
      <c r="CX152" s="59">
        <f t="shared" si="122"/>
        <v>1259.1255047643972</v>
      </c>
      <c r="CY152" s="59">
        <f ca="1">AVERAGE(OFFSET($CX$3,0,0,'Données projet'!$E$13+1,1))-AVERAGE(OFFSET($H$3,0,0,'Données projet'!$E$13+1,1))</f>
        <v>479.84731392413374</v>
      </c>
      <c r="CZ152" s="59">
        <f t="shared" si="150"/>
        <v>203.57601099841213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45.283471559396929</v>
      </c>
      <c r="DG152" s="21">
        <f>EXP(-LN(2)/25)*DG151+(1-EXP(-LN(2)/25))/(LN(2)/25)*Calculateur!DB152*Calculateur!DD152*VLOOKUP('Données projet'!$B$13,Paramètres!$A$1:$I$89,3,0)*0.475*44/12</f>
        <v>20.291175950824456</v>
      </c>
      <c r="DH152" s="21">
        <f>EXP(-LN(2)/2)*DH151+(1-EXP(-LN(2)/2))/(LN(2)/2)*DB152*DE152*VLOOKUP('Données projet'!$B$13,Paramètres!$A$1:$I$89,3,0)*0.475*44/12</f>
        <v>8.8146321320040153E-4</v>
      </c>
      <c r="DI152" s="22">
        <f t="shared" si="123"/>
        <v>65.575528973434587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293.3333333333353</v>
      </c>
      <c r="S153" s="59">
        <f ca="1">AVERAGE(OFFSET($R$3,0,0,'Données projet'!$E$9+1,1))-AVERAGE(OFFSET($H$3,0,0,'Données projet'!$E$9+1,1))</f>
        <v>322.7909000321435</v>
      </c>
      <c r="T153" s="59">
        <f t="shared" si="142"/>
        <v>403.23516981532316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27.668798160203146</v>
      </c>
      <c r="AA153" s="21">
        <f>EXP(-LN(2)/25)*AA152+(1-EXP(-LN(2)/25))/(LN(2)/25)*Calculateur!V153*Calculateur!X153*VLOOKUP('Données projet'!$B$9,Paramètres!$A$1:$I$89,3,0)*0.475*44/12</f>
        <v>4.5519141663147824</v>
      </c>
      <c r="AB153" s="21">
        <f>EXP(-LN(2)/2)*AB152+(1-EXP(-LN(2)/2))/(LN(2)/2)*V153*Y153*VLOOKUP('Données projet'!$B$9,Paramètres!$A$1:$I$89,3,0)*0.475*44/12</f>
        <v>5.4928017364403445E-13</v>
      </c>
      <c r="AC153" s="22">
        <f t="shared" si="111"/>
        <v>32.220712326518473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3.4106051316484809E-13</v>
      </c>
      <c r="AJ153" s="13">
        <f>AI153*VLOOKUP('Données projet'!$B$10,Paramètres!$A$1:$I$89,3,0)*VLOOKUP('Données projet'!$B$10,Paramètres!$A$1:$I$89,5,0)</f>
        <v>1.5961632016114892E-13</v>
      </c>
      <c r="AK153" s="13">
        <f t="shared" si="143"/>
        <v>2.2708641912150958E-12</v>
      </c>
      <c r="AL153" s="20">
        <f t="shared" si="112"/>
        <v>4.2330868906469593E-12</v>
      </c>
      <c r="AM153" s="59">
        <f t="shared" si="113"/>
        <v>293.33333333333752</v>
      </c>
      <c r="AN153" s="59">
        <f ca="1">AVERAGE(OFFSET($AM$3,0,0,'Données projet'!$E$10+1,1))-AVERAGE(OFFSET($H$3,0,0,'Données projet'!$E$10+1,1))</f>
        <v>187.82209112143374</v>
      </c>
      <c r="AO153" s="59">
        <f t="shared" si="144"/>
        <v>158.99136654880203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58.259540869879146</v>
      </c>
      <c r="AV153" s="21">
        <f>EXP(-LN(2)/25)*AV152+(1-EXP(-LN(2)/25))/(LN(2)/25)*Calculateur!AQ153*Calculateur!AS153*VLOOKUP('Données projet'!$B$10,Paramètres!$A$1:$I$89,3,0)*0.475*44/12</f>
        <v>13.438566163618042</v>
      </c>
      <c r="AW153" s="21">
        <f>EXP(-LN(2)/2)*AW152+(1-EXP(-LN(2)/2))/(LN(2)/2)*AQ153*AT153*VLOOKUP('Données projet'!$B$10,Paramètres!$A$1:$I$89,3,0)*0.475*44/12</f>
        <v>2.123385135796912E-5</v>
      </c>
      <c r="AX153" s="21">
        <f t="shared" si="114"/>
        <v>71.698128267348551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140.32771978791288</v>
      </c>
      <c r="BJ153" s="59">
        <f t="shared" si="146"/>
        <v>135.76866977947634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3.2956216090971941</v>
      </c>
      <c r="BQ153" s="21">
        <f>EXP(-LN(2)/25)*BQ152+(1-EXP(-LN(2)/25))/(LN(2)/25)*Calculateur!BL153*Calculateur!BN153*VLOOKUP('Données projet'!$B$11,Paramètres!$A$1:$I$89,3,0)*0.475*44/12</f>
        <v>12.099763541508509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15.395385150605703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7.5191666666666634</v>
      </c>
      <c r="BY153" s="12">
        <f>IF('Données projet'!$A$114&gt;35,BY152+BX153-CG152,IF(A153&lt;'Données projet'!$A$114,$BV$205^A153,IF(A153='Données projet'!$A$114,'Données projet'!$B$114,BY152+BX153-CG152)))</f>
        <v>364.0849999999997</v>
      </c>
      <c r="BZ153" s="13">
        <f>BY153*VLOOKUP('Données projet'!$B$12,Paramètres!$A$1:$I$89,3,0)*VLOOKUP('Données projet'!$B$12,Paramètres!$A$1:$I$89,5,0)</f>
        <v>369.18218999999971</v>
      </c>
      <c r="CA153" s="13">
        <f t="shared" si="147"/>
        <v>85.499974314579831</v>
      </c>
      <c r="CB153" s="20">
        <f t="shared" si="118"/>
        <v>791.90476951455923</v>
      </c>
      <c r="CC153" s="59">
        <f t="shared" si="119"/>
        <v>1085.2381028478926</v>
      </c>
      <c r="CD153" s="59">
        <f ca="1">AVERAGE(OFFSET($CC$3,0,0,'Données projet'!$E$12+1,1))-AVERAGE(OFFSET($H$3,0,0,'Données projet'!$E$12+1,1))</f>
        <v>372.05986520199804</v>
      </c>
      <c r="CE153" s="59">
        <f t="shared" si="148"/>
        <v>184.37981929432044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29.550627884799155</v>
      </c>
      <c r="CL153" s="21">
        <f>EXP(-LN(2)/25)*CL152+(1-EXP(-LN(2)/25))/(LN(2)/25)*Calculateur!CG153*Calculateur!CI153*VLOOKUP('Données projet'!$B$12,Paramètres!$A$1:$I$89,3,0)*0.475*44/12</f>
        <v>19.550015149873872</v>
      </c>
      <c r="CM153" s="21">
        <f>EXP(-LN(2)/2)*CM152+(1-EXP(-LN(2)/2))/(LN(2)/2)*CG153*CJ153*VLOOKUP('Données projet'!$B$12,Paramètres!$A$1:$I$89,3,0)*0.475*44/12</f>
        <v>0.73829250833152027</v>
      </c>
      <c r="CN153" s="22">
        <f t="shared" si="120"/>
        <v>49.838935543004546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9.3350000000000026</v>
      </c>
      <c r="CT153" s="12">
        <f>IF('Données projet'!$A$140&gt;35,CT152+CS153-DB152,IF(A153&lt;'Données projet'!$A$140,$CQ$205^A153,IF(A153='Données projet'!$A$140,'Données projet'!$B$140,CT152+CS153-DB152)))</f>
        <v>509.15000000000083</v>
      </c>
      <c r="CU153" s="17">
        <f>CT153*VLOOKUP('Données projet'!$B$13,Paramètres!$A$1:$I$89,3,0)*VLOOKUP('Données projet'!$B$13,Paramètres!$A$1:$I$89,5,0)</f>
        <v>460.67892000000074</v>
      </c>
      <c r="CV153" s="13">
        <f t="shared" si="149"/>
        <v>103.97545705513664</v>
      </c>
      <c r="CW153" s="20">
        <f t="shared" si="121"/>
        <v>983.43970670436431</v>
      </c>
      <c r="CX153" s="59">
        <f t="shared" si="122"/>
        <v>1276.7730400376977</v>
      </c>
      <c r="CY153" s="59">
        <f ca="1">AVERAGE(OFFSET($CX$3,0,0,'Données projet'!$E$13+1,1))-AVERAGE(OFFSET($H$3,0,0,'Données projet'!$E$13+1,1))</f>
        <v>479.84731392413374</v>
      </c>
      <c r="CZ153" s="59">
        <f t="shared" si="150"/>
        <v>203.57601099841213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44.395490302307536</v>
      </c>
      <c r="DG153" s="21">
        <f>EXP(-LN(2)/25)*DG152+(1-EXP(-LN(2)/25))/(LN(2)/25)*Calculateur!DB153*Calculateur!DD153*VLOOKUP('Données projet'!$B$13,Paramètres!$A$1:$I$89,3,0)*0.475*44/12</f>
        <v>19.736312677382596</v>
      </c>
      <c r="DH153" s="21">
        <f>EXP(-LN(2)/2)*DH152+(1-EXP(-LN(2)/2))/(LN(2)/2)*DB153*DE153*VLOOKUP('Données projet'!$B$13,Paramètres!$A$1:$I$89,3,0)*0.475*44/12</f>
        <v>6.2328861542048741E-4</v>
      </c>
      <c r="DI153" s="22">
        <f t="shared" si="123"/>
        <v>64.132426268305551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293.3333333333353</v>
      </c>
      <c r="S154" s="59">
        <f ca="1">AVERAGE(OFFSET($R$3,0,0,'Données projet'!$E$9+1,1))-AVERAGE(OFFSET($H$3,0,0,'Données projet'!$E$9+1,1))</f>
        <v>322.7909000321435</v>
      </c>
      <c r="T154" s="59">
        <f t="shared" si="142"/>
        <v>403.23516981532316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27.126229904582043</v>
      </c>
      <c r="AA154" s="21">
        <f>EXP(-LN(2)/25)*AA153+(1-EXP(-LN(2)/25))/(LN(2)/25)*Calculateur!V154*Calculateur!X154*VLOOKUP('Données projet'!$B$9,Paramètres!$A$1:$I$89,3,0)*0.475*44/12</f>
        <v>4.427441834062142</v>
      </c>
      <c r="AB154" s="21">
        <f>EXP(-LN(2)/2)*AB153+(1-EXP(-LN(2)/2))/(LN(2)/2)*V154*Y154*VLOOKUP('Données projet'!$B$9,Paramètres!$A$1:$I$89,3,0)*0.475*44/12</f>
        <v>3.883997355550211E-13</v>
      </c>
      <c r="AC154" s="22">
        <f t="shared" ref="AC154:AC203" si="163">SUM(Z154:AB154)</f>
        <v>31.553671738644571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3.4106051316484809E-13</v>
      </c>
      <c r="AJ154" s="13">
        <f>AI154*VLOOKUP('Données projet'!$B$10,Paramètres!$A$1:$I$89,3,0)*VLOOKUP('Données projet'!$B$10,Paramètres!$A$1:$I$89,5,0)</f>
        <v>1.5961632016114892E-13</v>
      </c>
      <c r="AK154" s="13">
        <f t="shared" ref="AK154:AK203" si="164">EXP(-1.0587+0.8836*LN(AJ154)+0.284)</f>
        <v>2.2708641912150958E-12</v>
      </c>
      <c r="AL154" s="20">
        <f t="shared" ref="AL154:AL203" si="165">(AJ154+AK154)*0.475*44/12</f>
        <v>4.2330868906469593E-12</v>
      </c>
      <c r="AM154" s="59">
        <f t="shared" si="113"/>
        <v>293.33333333333752</v>
      </c>
      <c r="AN154" s="59">
        <f ca="1">AVERAGE(OFFSET($AM$3,0,0,'Données projet'!$E$10+1,1))-AVERAGE(OFFSET($H$3,0,0,'Données projet'!$E$10+1,1))</f>
        <v>187.82209112143374</v>
      </c>
      <c r="AO154" s="59">
        <f t="shared" si="144"/>
        <v>158.99136654880203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57.117106808231974</v>
      </c>
      <c r="AV154" s="21">
        <f>EXP(-LN(2)/25)*AV153+(1-EXP(-LN(2)/25))/(LN(2)/25)*Calculateur!AQ154*Calculateur!AS154*VLOOKUP('Données projet'!$B$10,Paramètres!$A$1:$I$89,3,0)*0.475*44/12</f>
        <v>13.071087865170426</v>
      </c>
      <c r="AW154" s="21">
        <f>EXP(-LN(2)/2)*AW153+(1-EXP(-LN(2)/2))/(LN(2)/2)*AQ154*AT154*VLOOKUP('Données projet'!$B$10,Paramètres!$A$1:$I$89,3,0)*0.475*44/12</f>
        <v>1.5014600285927146E-5</v>
      </c>
      <c r="AX154" s="21">
        <f t="shared" ref="AX154:AX203" si="166">SUM(AU154:AW154)</f>
        <v>70.188209688002672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140.32771978791288</v>
      </c>
      <c r="BJ154" s="59">
        <f t="shared" si="146"/>
        <v>135.76866977947634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3.2309964794734958</v>
      </c>
      <c r="BQ154" s="21">
        <f>EXP(-LN(2)/25)*BQ153+(1-EXP(-LN(2)/25))/(LN(2)/25)*Calculateur!BL154*Calculateur!BN154*VLOOKUP('Données projet'!$B$11,Paramètres!$A$1:$I$89,3,0)*0.475*44/12</f>
        <v>11.768894871167047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14.999891350640542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7.5191666666666634</v>
      </c>
      <c r="BY154" s="12">
        <f>IF('Données projet'!$A$114&gt;35,BY153+BX154-CG153,IF(A154&lt;'Données projet'!$A$114,$BV$205^A154,IF(A154='Données projet'!$A$114,'Données projet'!$B$114,BY153+BX154-CG153)))</f>
        <v>371.60416666666634</v>
      </c>
      <c r="BZ154" s="13">
        <f>BY154*VLOOKUP('Données projet'!$B$12,Paramètres!$A$1:$I$89,3,0)*VLOOKUP('Données projet'!$B$12,Paramètres!$A$1:$I$89,5,0)</f>
        <v>376.80662499999971</v>
      </c>
      <c r="CA154" s="13">
        <f t="shared" ref="CA154:CA203" si="170">EXP(-1.0587+0.8836*LN(BZ154)+0.284)</f>
        <v>87.058343208792692</v>
      </c>
      <c r="CB154" s="20">
        <f t="shared" ref="CB154:CB203" si="171">(BZ154+CA154)*0.475*44/12</f>
        <v>807.89815296364668</v>
      </c>
      <c r="CC154" s="59">
        <f t="shared" si="119"/>
        <v>1101.2314862969799</v>
      </c>
      <c r="CD154" s="59">
        <f ca="1">AVERAGE(OFFSET($CC$3,0,0,'Données projet'!$E$12+1,1))-AVERAGE(OFFSET($H$3,0,0,'Données projet'!$E$12+1,1))</f>
        <v>372.05986520199804</v>
      </c>
      <c r="CE154" s="59">
        <f t="shared" si="148"/>
        <v>184.37981929432044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28.97115809608152</v>
      </c>
      <c r="CL154" s="21">
        <f>EXP(-LN(2)/25)*CL153+(1-EXP(-LN(2)/25))/(LN(2)/25)*Calculateur!CG154*Calculateur!CI154*VLOOKUP('Données projet'!$B$12,Paramètres!$A$1:$I$89,3,0)*0.475*44/12</f>
        <v>19.015418957509954</v>
      </c>
      <c r="CM154" s="21">
        <f>EXP(-LN(2)/2)*CM153+(1-EXP(-LN(2)/2))/(LN(2)/2)*CG154*CJ154*VLOOKUP('Données projet'!$B$12,Paramètres!$A$1:$I$89,3,0)*0.475*44/12</f>
        <v>0.52205163914044361</v>
      </c>
      <c r="CN154" s="22">
        <f t="shared" ref="CN154:CN203" si="172">SUM(CK154:CM154)</f>
        <v>48.508628692731918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9.3350000000000026</v>
      </c>
      <c r="CT154" s="12">
        <f>IF('Données projet'!$A$140&gt;35,CT153+CS154-DB153,IF(A154&lt;'Données projet'!$A$140,$CQ$205^A154,IF(A154='Données projet'!$A$140,'Données projet'!$B$140,CT153+CS154-DB153)))</f>
        <v>518.48500000000081</v>
      </c>
      <c r="CU154" s="17">
        <f>CT154*VLOOKUP('Données projet'!$B$13,Paramètres!$A$1:$I$89,3,0)*VLOOKUP('Données projet'!$B$13,Paramètres!$A$1:$I$89,5,0)</f>
        <v>469.12522800000067</v>
      </c>
      <c r="CV154" s="13">
        <f t="shared" ref="CV154:CV203" si="173">EXP(-1.0587+0.8836*LN(CU154)+0.284)</f>
        <v>105.65811013888603</v>
      </c>
      <c r="CW154" s="20">
        <f t="shared" ref="CW154:CW203" si="174">(CU154+CV154)*0.475*44/12</f>
        <v>1001.0809805918944</v>
      </c>
      <c r="CX154" s="59">
        <f t="shared" si="122"/>
        <v>1294.4143139252278</v>
      </c>
      <c r="CY154" s="59">
        <f ca="1">AVERAGE(OFFSET($CX$3,0,0,'Données projet'!$E$13+1,1))-AVERAGE(OFFSET($H$3,0,0,'Données projet'!$E$13+1,1))</f>
        <v>479.84731392413374</v>
      </c>
      <c r="CZ154" s="59">
        <f t="shared" si="150"/>
        <v>203.57601099841213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43.524921816054579</v>
      </c>
      <c r="DG154" s="21">
        <f>EXP(-LN(2)/25)*DG153+(1-EXP(-LN(2)/25))/(LN(2)/25)*Calculateur!DB154*Calculateur!DD154*VLOOKUP('Données projet'!$B$13,Paramètres!$A$1:$I$89,3,0)*0.475*44/12</f>
        <v>19.196622169331992</v>
      </c>
      <c r="DH154" s="21">
        <f>EXP(-LN(2)/2)*DH153+(1-EXP(-LN(2)/2))/(LN(2)/2)*DB154*DE154*VLOOKUP('Données projet'!$B$13,Paramètres!$A$1:$I$89,3,0)*0.475*44/12</f>
        <v>4.4073160660020077E-4</v>
      </c>
      <c r="DI154" s="22">
        <f t="shared" ref="DI154:DI203" si="175">SUM(DF154:DH154)</f>
        <v>62.721984716993177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293.3333333333353</v>
      </c>
      <c r="S155" s="59">
        <f ca="1">AVERAGE(OFFSET($R$3,0,0,'Données projet'!$E$9+1,1))-AVERAGE(OFFSET($H$3,0,0,'Données projet'!$E$9+1,1))</f>
        <v>322.7909000321435</v>
      </c>
      <c r="T155" s="59">
        <f t="shared" si="142"/>
        <v>403.23516981532316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26.594301081519713</v>
      </c>
      <c r="AA155" s="21">
        <f>EXP(-LN(2)/25)*AA154+(1-EXP(-LN(2)/25))/(LN(2)/25)*Calculateur!V155*Calculateur!X155*VLOOKUP('Données projet'!$B$9,Paramètres!$A$1:$I$89,3,0)*0.475*44/12</f>
        <v>4.3063732042806659</v>
      </c>
      <c r="AB155" s="21">
        <f>EXP(-LN(2)/2)*AB154+(1-EXP(-LN(2)/2))/(LN(2)/2)*V155*Y155*VLOOKUP('Données projet'!$B$9,Paramètres!$A$1:$I$89,3,0)*0.475*44/12</f>
        <v>2.7464008682201722E-13</v>
      </c>
      <c r="AC155" s="22">
        <f t="shared" si="163"/>
        <v>30.900674285800651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3.4106051316484809E-13</v>
      </c>
      <c r="AJ155" s="13">
        <f>AI155*VLOOKUP('Données projet'!$B$10,Paramètres!$A$1:$I$89,3,0)*VLOOKUP('Données projet'!$B$10,Paramètres!$A$1:$I$89,5,0)</f>
        <v>1.5961632016114892E-13</v>
      </c>
      <c r="AK155" s="13">
        <f t="shared" si="164"/>
        <v>2.2708641912150958E-12</v>
      </c>
      <c r="AL155" s="20">
        <f t="shared" si="165"/>
        <v>4.2330868906469593E-12</v>
      </c>
      <c r="AM155" s="59">
        <f t="shared" si="113"/>
        <v>293.33333333333752</v>
      </c>
      <c r="AN155" s="59">
        <f ca="1">AVERAGE(OFFSET($AM$3,0,0,'Données projet'!$E$10+1,1))-AVERAGE(OFFSET($H$3,0,0,'Données projet'!$E$10+1,1))</f>
        <v>187.82209112143374</v>
      </c>
      <c r="AO155" s="59">
        <f t="shared" si="144"/>
        <v>158.99136654880203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55.997075181717733</v>
      </c>
      <c r="AV155" s="21">
        <f>EXP(-LN(2)/25)*AV154+(1-EXP(-LN(2)/25))/(LN(2)/25)*Calculateur!AQ155*Calculateur!AS155*VLOOKUP('Données projet'!$B$10,Paramètres!$A$1:$I$89,3,0)*0.475*44/12</f>
        <v>12.713658280118704</v>
      </c>
      <c r="AW155" s="21">
        <f>EXP(-LN(2)/2)*AW154+(1-EXP(-LN(2)/2))/(LN(2)/2)*AQ155*AT155*VLOOKUP('Données projet'!$B$10,Paramètres!$A$1:$I$89,3,0)*0.475*44/12</f>
        <v>1.0616925678984562E-5</v>
      </c>
      <c r="AX155" s="21">
        <f t="shared" si="166"/>
        <v>68.710744078762119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140.32771978791288</v>
      </c>
      <c r="BJ155" s="59">
        <f t="shared" si="146"/>
        <v>135.76866977947634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3.1676386092242814</v>
      </c>
      <c r="BQ155" s="21">
        <f>EXP(-LN(2)/25)*BQ154+(1-EXP(-LN(2)/25))/(LN(2)/25)*Calculateur!BL155*Calculateur!BN155*VLOOKUP('Données projet'!$B$11,Paramètres!$A$1:$I$89,3,0)*0.475*44/12</f>
        <v>11.447073822015701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14.614712431239983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7.5191666666666634</v>
      </c>
      <c r="BY155" s="12">
        <f>IF('Données projet'!$A$114&gt;35,BY154+BX155-CG154,IF(A155&lt;'Données projet'!$A$114,$BV$205^A155,IF(A155='Données projet'!$A$114,'Données projet'!$B$114,BY154+BX155-CG154)))</f>
        <v>379.12333333333299</v>
      </c>
      <c r="BZ155" s="13">
        <f>BY155*VLOOKUP('Données projet'!$B$12,Paramètres!$A$1:$I$89,3,0)*VLOOKUP('Données projet'!$B$12,Paramètres!$A$1:$I$89,5,0)</f>
        <v>384.43105999999966</v>
      </c>
      <c r="CA155" s="13">
        <f t="shared" si="170"/>
        <v>88.613045766074748</v>
      </c>
      <c r="CB155" s="20">
        <f t="shared" si="171"/>
        <v>823.88515087591293</v>
      </c>
      <c r="CC155" s="59">
        <f t="shared" si="119"/>
        <v>1117.2184842092463</v>
      </c>
      <c r="CD155" s="59">
        <f ca="1">AVERAGE(OFFSET($CC$3,0,0,'Données projet'!$E$12+1,1))-AVERAGE(OFFSET($H$3,0,0,'Données projet'!$E$12+1,1))</f>
        <v>372.05986520199804</v>
      </c>
      <c r="CE155" s="59">
        <f t="shared" si="148"/>
        <v>184.37981929432044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28.403051356478969</v>
      </c>
      <c r="CL155" s="21">
        <f>EXP(-LN(2)/25)*CL154+(1-EXP(-LN(2)/25))/(LN(2)/25)*Calculateur!CG155*Calculateur!CI155*VLOOKUP('Données projet'!$B$12,Paramètres!$A$1:$I$89,3,0)*0.475*44/12</f>
        <v>18.495441326139421</v>
      </c>
      <c r="CM155" s="21">
        <f>EXP(-LN(2)/2)*CM154+(1-EXP(-LN(2)/2))/(LN(2)/2)*CG155*CJ155*VLOOKUP('Données projet'!$B$12,Paramètres!$A$1:$I$89,3,0)*0.475*44/12</f>
        <v>0.36914625416576013</v>
      </c>
      <c r="CN155" s="22">
        <f t="shared" si="172"/>
        <v>47.267638936784152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9.3350000000000026</v>
      </c>
      <c r="CT155" s="12">
        <f>IF('Données projet'!$A$140&gt;35,CT154+CS155-DB154,IF(A155&lt;'Données projet'!$A$140,$CQ$205^A155,IF(A155='Données projet'!$A$140,'Données projet'!$B$140,CT154+CS155-DB154)))</f>
        <v>527.82000000000085</v>
      </c>
      <c r="CU155" s="17">
        <f>CT155*VLOOKUP('Données projet'!$B$13,Paramètres!$A$1:$I$89,3,0)*VLOOKUP('Données projet'!$B$13,Paramètres!$A$1:$I$89,5,0)</f>
        <v>477.57153600000072</v>
      </c>
      <c r="CV155" s="13">
        <f t="shared" si="173"/>
        <v>107.3372403617045</v>
      </c>
      <c r="CW155" s="20">
        <f t="shared" si="174"/>
        <v>1018.71611882997</v>
      </c>
      <c r="CX155" s="59">
        <f t="shared" si="122"/>
        <v>1312.0494521633034</v>
      </c>
      <c r="CY155" s="59">
        <f ca="1">AVERAGE(OFFSET($CX$3,0,0,'Données projet'!$E$13+1,1))-AVERAGE(OFFSET($H$3,0,0,'Données projet'!$E$13+1,1))</f>
        <v>479.84731392413374</v>
      </c>
      <c r="CZ155" s="59">
        <f t="shared" si="150"/>
        <v>203.57601099841213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42.6714246468227</v>
      </c>
      <c r="DG155" s="21">
        <f>EXP(-LN(2)/25)*DG154+(1-EXP(-LN(2)/25))/(LN(2)/25)*Calculateur!DB155*Calculateur!DD155*VLOOKUP('Données projet'!$B$13,Paramètres!$A$1:$I$89,3,0)*0.475*44/12</f>
        <v>18.671689526605125</v>
      </c>
      <c r="DH155" s="21">
        <f>EXP(-LN(2)/2)*DH154+(1-EXP(-LN(2)/2))/(LN(2)/2)*DB155*DE155*VLOOKUP('Données projet'!$B$13,Paramètres!$A$1:$I$89,3,0)*0.475*44/12</f>
        <v>3.1164430771024371E-4</v>
      </c>
      <c r="DI155" s="22">
        <f t="shared" si="175"/>
        <v>61.343425817735529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293.3333333333353</v>
      </c>
      <c r="S156" s="59">
        <f ca="1">AVERAGE(OFFSET($R$3,0,0,'Données projet'!$E$9+1,1))-AVERAGE(OFFSET($H$3,0,0,'Données projet'!$E$9+1,1))</f>
        <v>322.7909000321435</v>
      </c>
      <c r="T156" s="59">
        <f t="shared" si="142"/>
        <v>403.23516981532316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26.072803058233088</v>
      </c>
      <c r="AA156" s="21">
        <f>EXP(-LN(2)/25)*AA155+(1-EXP(-LN(2)/25))/(LN(2)/25)*Calculateur!V156*Calculateur!X156*VLOOKUP('Données projet'!$B$9,Paramètres!$A$1:$I$89,3,0)*0.475*44/12</f>
        <v>4.1886152025472869</v>
      </c>
      <c r="AB156" s="21">
        <f>EXP(-LN(2)/2)*AB155+(1-EXP(-LN(2)/2))/(LN(2)/2)*V156*Y156*VLOOKUP('Données projet'!$B$9,Paramètres!$A$1:$I$89,3,0)*0.475*44/12</f>
        <v>1.9419986777751055E-13</v>
      </c>
      <c r="AC156" s="22">
        <f t="shared" si="163"/>
        <v>30.26141826078057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3.4106051316484809E-13</v>
      </c>
      <c r="AJ156" s="13">
        <f>AI156*VLOOKUP('Données projet'!$B$10,Paramètres!$A$1:$I$89,3,0)*VLOOKUP('Données projet'!$B$10,Paramètres!$A$1:$I$89,5,0)</f>
        <v>1.5961632016114892E-13</v>
      </c>
      <c r="AK156" s="13">
        <f t="shared" si="164"/>
        <v>2.2708641912150958E-12</v>
      </c>
      <c r="AL156" s="20">
        <f t="shared" si="165"/>
        <v>4.2330868906469593E-12</v>
      </c>
      <c r="AM156" s="59">
        <f t="shared" si="113"/>
        <v>293.33333333333752</v>
      </c>
      <c r="AN156" s="59">
        <f ca="1">AVERAGE(OFFSET($AM$3,0,0,'Données projet'!$E$10+1,1))-AVERAGE(OFFSET($H$3,0,0,'Données projet'!$E$10+1,1))</f>
        <v>187.82209112143374</v>
      </c>
      <c r="AO156" s="59">
        <f t="shared" si="144"/>
        <v>158.99136654880203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54.899006692247596</v>
      </c>
      <c r="AV156" s="21">
        <f>EXP(-LN(2)/25)*AV155+(1-EXP(-LN(2)/25))/(LN(2)/25)*Calculateur!AQ156*Calculateur!AS156*VLOOKUP('Données projet'!$B$10,Paramètres!$A$1:$I$89,3,0)*0.475*44/12</f>
        <v>12.366002625866626</v>
      </c>
      <c r="AW156" s="21">
        <f>EXP(-LN(2)/2)*AW155+(1-EXP(-LN(2)/2))/(LN(2)/2)*AQ156*AT156*VLOOKUP('Données projet'!$B$10,Paramètres!$A$1:$I$89,3,0)*0.475*44/12</f>
        <v>7.5073001429635745E-6</v>
      </c>
      <c r="AX156" s="21">
        <f t="shared" si="166"/>
        <v>67.265016825414364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140.32771978791288</v>
      </c>
      <c r="BJ156" s="59">
        <f t="shared" si="146"/>
        <v>135.76866977947634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3.1055231481661689</v>
      </c>
      <c r="BQ156" s="21">
        <f>EXP(-LN(2)/25)*BQ155+(1-EXP(-LN(2)/25))/(LN(2)/25)*Calculateur!BL156*Calculateur!BN156*VLOOKUP('Données projet'!$B$11,Paramètres!$A$1:$I$89,3,0)*0.475*44/12</f>
        <v>11.134052986377233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14.239576134543402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7.5191666666666634</v>
      </c>
      <c r="BY156" s="12">
        <f>IF('Données projet'!$A$114&gt;35,BY155+BX156-CG155,IF(A156&lt;'Données projet'!$A$114,$BV$205^A156,IF(A156='Données projet'!$A$114,'Données projet'!$B$114,BY155+BX156-CG155)))</f>
        <v>386.64249999999964</v>
      </c>
      <c r="BZ156" s="13">
        <f>BY156*VLOOKUP('Données projet'!$B$12,Paramètres!$A$1:$I$89,3,0)*VLOOKUP('Données projet'!$B$12,Paramètres!$A$1:$I$89,5,0)</f>
        <v>392.05549499999967</v>
      </c>
      <c r="CA156" s="13">
        <f t="shared" si="170"/>
        <v>90.164163082094575</v>
      </c>
      <c r="CB156" s="20">
        <f t="shared" si="171"/>
        <v>839.8659044929808</v>
      </c>
      <c r="CC156" s="59">
        <f t="shared" si="119"/>
        <v>1133.1992378263142</v>
      </c>
      <c r="CD156" s="59">
        <f ca="1">AVERAGE(OFFSET($CC$3,0,0,'Données projet'!$E$12+1,1))-AVERAGE(OFFSET($H$3,0,0,'Données projet'!$E$12+1,1))</f>
        <v>372.05986520199804</v>
      </c>
      <c r="CE156" s="59">
        <f t="shared" si="148"/>
        <v>184.37981929432044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27.846084843529127</v>
      </c>
      <c r="CL156" s="21">
        <f>EXP(-LN(2)/25)*CL155+(1-EXP(-LN(2)/25))/(LN(2)/25)*Calculateur!CG156*Calculateur!CI156*VLOOKUP('Données projet'!$B$12,Paramètres!$A$1:$I$89,3,0)*0.475*44/12</f>
        <v>17.989682510443149</v>
      </c>
      <c r="CM156" s="21">
        <f>EXP(-LN(2)/2)*CM155+(1-EXP(-LN(2)/2))/(LN(2)/2)*CG156*CJ156*VLOOKUP('Données projet'!$B$12,Paramètres!$A$1:$I$89,3,0)*0.475*44/12</f>
        <v>0.26102581957022181</v>
      </c>
      <c r="CN156" s="22">
        <f t="shared" si="172"/>
        <v>46.096793173542494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9.3350000000000026</v>
      </c>
      <c r="CT156" s="12">
        <f>IF('Données projet'!$A$140&gt;35,CT155+CS156-DB155,IF(A156&lt;'Données projet'!$A$140,$CQ$205^A156,IF(A156='Données projet'!$A$140,'Données projet'!$B$140,CT155+CS156-DB155)))</f>
        <v>537.15500000000088</v>
      </c>
      <c r="CU156" s="17">
        <f>CT156*VLOOKUP('Données projet'!$B$13,Paramètres!$A$1:$I$89,3,0)*VLOOKUP('Données projet'!$B$13,Paramètres!$A$1:$I$89,5,0)</f>
        <v>486.01784400000076</v>
      </c>
      <c r="CV156" s="13">
        <f t="shared" si="173"/>
        <v>109.01291721682281</v>
      </c>
      <c r="CW156" s="20">
        <f t="shared" si="174"/>
        <v>1036.3452424526342</v>
      </c>
      <c r="CX156" s="59">
        <f t="shared" si="122"/>
        <v>1329.6785757859675</v>
      </c>
      <c r="CY156" s="59">
        <f ca="1">AVERAGE(OFFSET($CX$3,0,0,'Données projet'!$E$13+1,1))-AVERAGE(OFFSET($H$3,0,0,'Données projet'!$E$13+1,1))</f>
        <v>479.84731392413374</v>
      </c>
      <c r="CZ156" s="59">
        <f t="shared" si="150"/>
        <v>203.57601099841213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41.834664036497585</v>
      </c>
      <c r="DG156" s="21">
        <f>EXP(-LN(2)/25)*DG155+(1-EXP(-LN(2)/25))/(LN(2)/25)*Calculateur!DB156*Calculateur!DD156*VLOOKUP('Données projet'!$B$13,Paramètres!$A$1:$I$89,3,0)*0.475*44/12</f>
        <v>18.161111194598629</v>
      </c>
      <c r="DH156" s="21">
        <f>EXP(-LN(2)/2)*DH155+(1-EXP(-LN(2)/2))/(LN(2)/2)*DB156*DE156*VLOOKUP('Données projet'!$B$13,Paramètres!$A$1:$I$89,3,0)*0.475*44/12</f>
        <v>2.2036580330010038E-4</v>
      </c>
      <c r="DI156" s="22">
        <f t="shared" si="175"/>
        <v>59.995995596899519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293.3333333333353</v>
      </c>
      <c r="S157" s="59">
        <f ca="1">AVERAGE(OFFSET($R$3,0,0,'Données projet'!$E$9+1,1))-AVERAGE(OFFSET($H$3,0,0,'Données projet'!$E$9+1,1))</f>
        <v>322.7909000321435</v>
      </c>
      <c r="T157" s="59">
        <f t="shared" si="142"/>
        <v>403.23516981532316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25.561531293100728</v>
      </c>
      <c r="AA157" s="21">
        <f>EXP(-LN(2)/25)*AA156+(1-EXP(-LN(2)/25))/(LN(2)/25)*Calculateur!V157*Calculateur!X157*VLOOKUP('Données projet'!$B$9,Paramètres!$A$1:$I$89,3,0)*0.475*44/12</f>
        <v>4.0740772995639309</v>
      </c>
      <c r="AB157" s="21">
        <f>EXP(-LN(2)/2)*AB156+(1-EXP(-LN(2)/2))/(LN(2)/2)*V157*Y157*VLOOKUP('Données projet'!$B$9,Paramètres!$A$1:$I$89,3,0)*0.475*44/12</f>
        <v>1.3732004341100861E-13</v>
      </c>
      <c r="AC157" s="22">
        <f t="shared" si="163"/>
        <v>29.635608592664799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3.4106051316484809E-13</v>
      </c>
      <c r="AJ157" s="13">
        <f>AI157*VLOOKUP('Données projet'!$B$10,Paramètres!$A$1:$I$89,3,0)*VLOOKUP('Données projet'!$B$10,Paramètres!$A$1:$I$89,5,0)</f>
        <v>1.5961632016114892E-13</v>
      </c>
      <c r="AK157" s="13">
        <f t="shared" si="164"/>
        <v>2.2708641912150958E-12</v>
      </c>
      <c r="AL157" s="20">
        <f t="shared" si="165"/>
        <v>4.2330868906469593E-12</v>
      </c>
      <c r="AM157" s="59">
        <f t="shared" si="113"/>
        <v>293.33333333333752</v>
      </c>
      <c r="AN157" s="59">
        <f ca="1">AVERAGE(OFFSET($AM$3,0,0,'Données projet'!$E$10+1,1))-AVERAGE(OFFSET($H$3,0,0,'Données projet'!$E$10+1,1))</f>
        <v>187.82209112143374</v>
      </c>
      <c r="AO157" s="59">
        <f t="shared" si="144"/>
        <v>158.99136654880203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53.822470656100329</v>
      </c>
      <c r="AV157" s="21">
        <f>EXP(-LN(2)/25)*AV156+(1-EXP(-LN(2)/25))/(LN(2)/25)*Calculateur!AQ157*Calculateur!AS157*VLOOKUP('Données projet'!$B$10,Paramètres!$A$1:$I$89,3,0)*0.475*44/12</f>
        <v>12.027853633762488</v>
      </c>
      <c r="AW157" s="21">
        <f>EXP(-LN(2)/2)*AW156+(1-EXP(-LN(2)/2))/(LN(2)/2)*AQ157*AT157*VLOOKUP('Données projet'!$B$10,Paramètres!$A$1:$I$89,3,0)*0.475*44/12</f>
        <v>5.3084628394922816E-6</v>
      </c>
      <c r="AX157" s="21">
        <f t="shared" si="166"/>
        <v>65.850329598325658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140.32771978791288</v>
      </c>
      <c r="BJ157" s="59">
        <f t="shared" si="146"/>
        <v>135.76866977947634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3.0446257334127158</v>
      </c>
      <c r="BQ157" s="21">
        <f>EXP(-LN(2)/25)*BQ156+(1-EXP(-LN(2)/25))/(LN(2)/25)*Calculateur!BL157*Calculateur!BN157*VLOOKUP('Données projet'!$B$11,Paramètres!$A$1:$I$89,3,0)*0.475*44/12</f>
        <v>10.829591721950347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13.874217455363063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7.5191666666666634</v>
      </c>
      <c r="BY157" s="12">
        <f>IF('Données projet'!$A$114&gt;35,BY156+BX157-CG156,IF(A157&lt;'Données projet'!$A$114,$BV$205^A157,IF(A157='Données projet'!$A$114,'Données projet'!$B$114,BY156+BX157-CG156)))</f>
        <v>394.16166666666629</v>
      </c>
      <c r="BZ157" s="13">
        <f>BY157*VLOOKUP('Données projet'!$B$12,Paramètres!$A$1:$I$89,3,0)*VLOOKUP('Données projet'!$B$12,Paramètres!$A$1:$I$89,5,0)</f>
        <v>399.67992999999967</v>
      </c>
      <c r="CA157" s="13">
        <f t="shared" si="170"/>
        <v>91.711772917902209</v>
      </c>
      <c r="CB157" s="20">
        <f t="shared" si="171"/>
        <v>855.84054924867905</v>
      </c>
      <c r="CC157" s="59">
        <f t="shared" si="119"/>
        <v>1149.1738825820123</v>
      </c>
      <c r="CD157" s="59">
        <f ca="1">AVERAGE(OFFSET($CC$3,0,0,'Données projet'!$E$12+1,1))-AVERAGE(OFFSET($H$3,0,0,'Données projet'!$E$12+1,1))</f>
        <v>372.05986520199804</v>
      </c>
      <c r="CE157" s="59">
        <f t="shared" si="148"/>
        <v>184.37981929432044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27.300040104182202</v>
      </c>
      <c r="CL157" s="21">
        <f>EXP(-LN(2)/25)*CL156+(1-EXP(-LN(2)/25))/(LN(2)/25)*Calculateur!CG157*Calculateur!CI157*VLOOKUP('Données projet'!$B$12,Paramètres!$A$1:$I$89,3,0)*0.475*44/12</f>
        <v>17.497753696158796</v>
      </c>
      <c r="CM157" s="21">
        <f>EXP(-LN(2)/2)*CM156+(1-EXP(-LN(2)/2))/(LN(2)/2)*CG157*CJ157*VLOOKUP('Données projet'!$B$12,Paramètres!$A$1:$I$89,3,0)*0.475*44/12</f>
        <v>0.18457312708288007</v>
      </c>
      <c r="CN157" s="22">
        <f t="shared" si="172"/>
        <v>44.982366927423875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546.49</v>
      </c>
      <c r="CR157" s="12">
        <f>VLOOKUP(A157,'Données projet'!$A$139:$I$159,9,0)</f>
        <v>9.3350000000000026</v>
      </c>
      <c r="CS157" s="12">
        <f t="array" ref="CS157">INDEX(CR:CR,MIN(IF(ISNUMBER(CR157:CR353),ROW(CR157:CR353),"")))</f>
        <v>9.3350000000000026</v>
      </c>
      <c r="CT157" s="12">
        <f>IF('Données projet'!$A$140&gt;35,CT156+CS157-DB156,IF(A157&lt;'Données projet'!$A$140,$CQ$205^A157,IF(A157='Données projet'!$A$140,'Données projet'!$B$140,CT156+CS157-DB156)))</f>
        <v>546.49000000000092</v>
      </c>
      <c r="CU157" s="17">
        <f>CT157*VLOOKUP('Données projet'!$B$13,Paramètres!$A$1:$I$89,3,0)*VLOOKUP('Données projet'!$B$13,Paramètres!$A$1:$I$89,5,0)</f>
        <v>494.46415200000081</v>
      </c>
      <c r="CV157" s="13">
        <f t="shared" si="173"/>
        <v>110.68520764370523</v>
      </c>
      <c r="CW157" s="20">
        <f t="shared" si="174"/>
        <v>1053.9684680461214</v>
      </c>
      <c r="CX157" s="59">
        <f t="shared" si="122"/>
        <v>1347.3018013794547</v>
      </c>
      <c r="CY157" s="59">
        <f ca="1">AVERAGE(OFFSET($CX$3,0,0,'Données projet'!$E$13+1,1))-AVERAGE(OFFSET($H$3,0,0,'Données projet'!$E$13+1,1))</f>
        <v>479.84731392413374</v>
      </c>
      <c r="CZ157" s="59">
        <f t="shared" si="150"/>
        <v>203.57601099841213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61.050000000000011</v>
      </c>
      <c r="DC157" s="16">
        <f>IF(ISNA(VLOOKUP(A157,'Données projet'!$A$139:$I$159,5,0)),0%,VLOOKUP(A157,'Données projet'!$A$139:$I$159,5,0)*VLOOKUP('Données projet'!$B$13,Paramètres!$A$1:$I$89,7,0))</f>
        <v>0.215</v>
      </c>
      <c r="DD157" s="16">
        <f>IF(ISNA(VLOOKUP(A157,'Données projet'!$A$139:$I$159,6,0)),0%,VLOOKUP(A157,'Données projet'!$A$139:$I$159,6,0)*VLOOKUP('Données projet'!$B$13,Paramètres!$A$1:$I$89,7,0))</f>
        <v>8.6000000000000007E-2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54.143075455710473</v>
      </c>
      <c r="DG157" s="21">
        <f>EXP(-LN(2)/25)*DG156+(1-EXP(-LN(2)/25))/(LN(2)/25)*Calculateur!DB157*Calculateur!DD157*VLOOKUP('Données projet'!$B$13,Paramètres!$A$1:$I$89,3,0)*0.475*44/12</f>
        <v>22.895322941669175</v>
      </c>
      <c r="DH157" s="21">
        <f>EXP(-LN(2)/2)*DH156+(1-EXP(-LN(2)/2))/(LN(2)/2)*DB157*DE157*VLOOKUP('Données projet'!$B$13,Paramètres!$A$1:$I$89,3,0)*0.475*44/12</f>
        <v>1.5582215385512185E-4</v>
      </c>
      <c r="DI157" s="22">
        <f t="shared" si="175"/>
        <v>77.038554219533509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293.3333333333353</v>
      </c>
      <c r="S158" s="59">
        <f ca="1">AVERAGE(OFFSET($R$3,0,0,'Données projet'!$E$9+1,1))-AVERAGE(OFFSET($H$3,0,0,'Données projet'!$E$9+1,1))</f>
        <v>322.7909000321435</v>
      </c>
      <c r="T158" s="59">
        <f t="shared" si="142"/>
        <v>403.23516981532316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25.060285255437631</v>
      </c>
      <c r="AA158" s="21">
        <f>EXP(-LN(2)/25)*AA157+(1-EXP(-LN(2)/25))/(LN(2)/25)*Calculateur!V158*Calculateur!X158*VLOOKUP('Données projet'!$B$9,Paramètres!$A$1:$I$89,3,0)*0.475*44/12</f>
        <v>3.9626714415609414</v>
      </c>
      <c r="AB158" s="21">
        <f>EXP(-LN(2)/2)*AB157+(1-EXP(-LN(2)/2))/(LN(2)/2)*V158*Y158*VLOOKUP('Données projet'!$B$9,Paramètres!$A$1:$I$89,3,0)*0.475*44/12</f>
        <v>9.7099933888755274E-14</v>
      </c>
      <c r="AC158" s="22">
        <f t="shared" si="163"/>
        <v>29.022956696998669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3.4106051316484809E-13</v>
      </c>
      <c r="AJ158" s="13">
        <f>AI158*VLOOKUP('Données projet'!$B$10,Paramètres!$A$1:$I$89,3,0)*VLOOKUP('Données projet'!$B$10,Paramètres!$A$1:$I$89,5,0)</f>
        <v>1.5961632016114892E-13</v>
      </c>
      <c r="AK158" s="13">
        <f t="shared" si="164"/>
        <v>2.2708641912150958E-12</v>
      </c>
      <c r="AL158" s="20">
        <f t="shared" si="165"/>
        <v>4.2330868906469593E-12</v>
      </c>
      <c r="AM158" s="59">
        <f t="shared" si="113"/>
        <v>293.33333333333752</v>
      </c>
      <c r="AN158" s="59">
        <f ca="1">AVERAGE(OFFSET($AM$3,0,0,'Données projet'!$E$10+1,1))-AVERAGE(OFFSET($H$3,0,0,'Données projet'!$E$10+1,1))</f>
        <v>187.82209112143374</v>
      </c>
      <c r="AO158" s="59">
        <f t="shared" si="144"/>
        <v>158.99136654880203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52.767044834999759</v>
      </c>
      <c r="AV158" s="21">
        <f>EXP(-LN(2)/25)*AV157+(1-EXP(-LN(2)/25))/(LN(2)/25)*Calculateur!AQ158*Calculateur!AS158*VLOOKUP('Données projet'!$B$10,Paramètres!$A$1:$I$89,3,0)*0.475*44/12</f>
        <v>11.69895134362992</v>
      </c>
      <c r="AW158" s="21">
        <f>EXP(-LN(2)/2)*AW157+(1-EXP(-LN(2)/2))/(LN(2)/2)*AQ158*AT158*VLOOKUP('Données projet'!$B$10,Paramètres!$A$1:$I$89,3,0)*0.475*44/12</f>
        <v>3.7536500714817877E-6</v>
      </c>
      <c r="AX158" s="21">
        <f t="shared" si="166"/>
        <v>64.465999932279757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140.32771978791288</v>
      </c>
      <c r="BJ158" s="59">
        <f t="shared" si="146"/>
        <v>135.76866977947634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2.9849224798188225</v>
      </c>
      <c r="BQ158" s="21">
        <f>EXP(-LN(2)/25)*BQ157+(1-EXP(-LN(2)/25))/(LN(2)/25)*Calculateur!BL158*Calculateur!BN158*VLOOKUP('Données projet'!$B$11,Paramètres!$A$1:$I$89,3,0)*0.475*44/12</f>
        <v>10.533455966810138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13.51837844662896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7.5191666666666634</v>
      </c>
      <c r="BY158" s="12">
        <f>IF('Données projet'!$A$114&gt;35,BY157+BX158-CG157,IF(A158&lt;'Données projet'!$A$114,$BV$205^A158,IF(A158='Données projet'!$A$114,'Données projet'!$B$114,BY157+BX158-CG157)))</f>
        <v>401.68083333333294</v>
      </c>
      <c r="BZ158" s="13">
        <f>BY158*VLOOKUP('Données projet'!$B$12,Paramètres!$A$1:$I$89,3,0)*VLOOKUP('Données projet'!$B$12,Paramètres!$A$1:$I$89,5,0)</f>
        <v>407.30436499999962</v>
      </c>
      <c r="CA158" s="13">
        <f t="shared" si="170"/>
        <v>93.255949897998832</v>
      </c>
      <c r="CB158" s="20">
        <f t="shared" si="171"/>
        <v>871.80921511401391</v>
      </c>
      <c r="CC158" s="59">
        <f t="shared" si="119"/>
        <v>1165.1425484473473</v>
      </c>
      <c r="CD158" s="59">
        <f ca="1">AVERAGE(OFFSET($CC$3,0,0,'Données projet'!$E$12+1,1))-AVERAGE(OFFSET($H$3,0,0,'Données projet'!$E$12+1,1))</f>
        <v>372.05986520199804</v>
      </c>
      <c r="CE158" s="59">
        <f t="shared" si="148"/>
        <v>184.37981929432044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26.764702969119465</v>
      </c>
      <c r="CL158" s="21">
        <f>EXP(-LN(2)/25)*CL157+(1-EXP(-LN(2)/25))/(LN(2)/25)*Calculateur!CG158*Calculateur!CI158*VLOOKUP('Données projet'!$B$12,Paramètres!$A$1:$I$89,3,0)*0.475*44/12</f>
        <v>17.019276701170458</v>
      </c>
      <c r="CM158" s="21">
        <f>EXP(-LN(2)/2)*CM157+(1-EXP(-LN(2)/2))/(LN(2)/2)*CG158*CJ158*VLOOKUP('Données projet'!$B$12,Paramètres!$A$1:$I$89,3,0)*0.475*44/12</f>
        <v>0.1305129097851109</v>
      </c>
      <c r="CN158" s="22">
        <f t="shared" si="172"/>
        <v>43.914492580075034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9.4880000000000049</v>
      </c>
      <c r="CT158" s="12">
        <f>IF('Données projet'!$A$140&gt;35,CT157+CS158-DB157,IF(A158&lt;'Données projet'!$A$140,$CQ$205^A158,IF(A158='Données projet'!$A$140,'Données projet'!$B$140,CT157+CS158-DB157)))</f>
        <v>494.92800000000096</v>
      </c>
      <c r="CU158" s="17">
        <f>CT158*VLOOKUP('Données projet'!$B$13,Paramètres!$A$1:$I$89,3,0)*VLOOKUP('Données projet'!$B$13,Paramètres!$A$1:$I$89,5,0)</f>
        <v>447.81085440000084</v>
      </c>
      <c r="CV158" s="13">
        <f t="shared" si="173"/>
        <v>101.40497625718913</v>
      </c>
      <c r="CW158" s="20">
        <f t="shared" si="174"/>
        <v>956.55090506127237</v>
      </c>
      <c r="CX158" s="59">
        <f t="shared" si="122"/>
        <v>1249.8842383946057</v>
      </c>
      <c r="CY158" s="59">
        <f ca="1">AVERAGE(OFFSET($CX$3,0,0,'Données projet'!$E$13+1,1))-AVERAGE(OFFSET($H$3,0,0,'Données projet'!$E$13+1,1))</f>
        <v>479.84731392413374</v>
      </c>
      <c r="CZ158" s="59">
        <f t="shared" si="150"/>
        <v>203.57601099841213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53.081362770039171</v>
      </c>
      <c r="DG158" s="21">
        <f>EXP(-LN(2)/25)*DG157+(1-EXP(-LN(2)/25))/(LN(2)/25)*Calculateur!DB158*Calculateur!DD158*VLOOKUP('Données projet'!$B$13,Paramètres!$A$1:$I$89,3,0)*0.475*44/12</f>
        <v>22.269249131816526</v>
      </c>
      <c r="DH158" s="21">
        <f>EXP(-LN(2)/2)*DH157+(1-EXP(-LN(2)/2))/(LN(2)/2)*DB158*DE158*VLOOKUP('Données projet'!$B$13,Paramètres!$A$1:$I$89,3,0)*0.475*44/12</f>
        <v>1.1018290165005019E-4</v>
      </c>
      <c r="DI158" s="22">
        <f t="shared" si="175"/>
        <v>75.350722084757351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293.3333333333353</v>
      </c>
      <c r="S159" s="59">
        <f ca="1">AVERAGE(OFFSET($R$3,0,0,'Données projet'!$E$9+1,1))-AVERAGE(OFFSET($H$3,0,0,'Données projet'!$E$9+1,1))</f>
        <v>322.7909000321435</v>
      </c>
      <c r="T159" s="59">
        <f t="shared" si="142"/>
        <v>403.23516981532316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24.56886834684321</v>
      </c>
      <c r="AA159" s="21">
        <f>EXP(-LN(2)/25)*AA158+(1-EXP(-LN(2)/25))/(LN(2)/25)*Calculateur!V159*Calculateur!X159*VLOOKUP('Données projet'!$B$9,Paramètres!$A$1:$I$89,3,0)*0.475*44/12</f>
        <v>3.854311982603623</v>
      </c>
      <c r="AB159" s="21">
        <f>EXP(-LN(2)/2)*AB158+(1-EXP(-LN(2)/2))/(LN(2)/2)*V159*Y159*VLOOKUP('Données projet'!$B$9,Paramètres!$A$1:$I$89,3,0)*0.475*44/12</f>
        <v>6.8660021705504306E-14</v>
      </c>
      <c r="AC159" s="22">
        <f t="shared" si="163"/>
        <v>28.4231803294469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3.4106051316484809E-13</v>
      </c>
      <c r="AJ159" s="13">
        <f>AI159*VLOOKUP('Données projet'!$B$10,Paramètres!$A$1:$I$89,3,0)*VLOOKUP('Données projet'!$B$10,Paramètres!$A$1:$I$89,5,0)</f>
        <v>1.5961632016114892E-13</v>
      </c>
      <c r="AK159" s="13">
        <f t="shared" si="164"/>
        <v>2.2708641912150958E-12</v>
      </c>
      <c r="AL159" s="20">
        <f t="shared" si="165"/>
        <v>4.2330868906469593E-12</v>
      </c>
      <c r="AM159" s="59">
        <f t="shared" si="113"/>
        <v>293.33333333333752</v>
      </c>
      <c r="AN159" s="59">
        <f ca="1">AVERAGE(OFFSET($AM$3,0,0,'Données projet'!$E$10+1,1))-AVERAGE(OFFSET($H$3,0,0,'Données projet'!$E$10+1,1))</f>
        <v>187.82209112143374</v>
      </c>
      <c r="AO159" s="59">
        <f t="shared" si="144"/>
        <v>158.99136654880203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51.732315270504785</v>
      </c>
      <c r="AV159" s="21">
        <f>EXP(-LN(2)/25)*AV158+(1-EXP(-LN(2)/25))/(LN(2)/25)*Calculateur!AQ159*Calculateur!AS159*VLOOKUP('Données projet'!$B$10,Paramètres!$A$1:$I$89,3,0)*0.475*44/12</f>
        <v>11.379042903917247</v>
      </c>
      <c r="AW159" s="21">
        <f>EXP(-LN(2)/2)*AW158+(1-EXP(-LN(2)/2))/(LN(2)/2)*AQ159*AT159*VLOOKUP('Données projet'!$B$10,Paramètres!$A$1:$I$89,3,0)*0.475*44/12</f>
        <v>2.6542314197461412E-6</v>
      </c>
      <c r="AX159" s="21">
        <f t="shared" si="166"/>
        <v>63.111360828653453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140.32771978791288</v>
      </c>
      <c r="BJ159" s="59">
        <f t="shared" si="146"/>
        <v>135.76866977947634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2.9263899706125165</v>
      </c>
      <c r="BQ159" s="21">
        <f>EXP(-LN(2)/25)*BQ158+(1-EXP(-LN(2)/25))/(LN(2)/25)*Calculateur!BL159*Calculateur!BN159*VLOOKUP('Données projet'!$B$11,Paramètres!$A$1:$I$89,3,0)*0.475*44/12</f>
        <v>10.24541805946734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13.171808030079857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>
        <f>VLOOKUP(A159,'Données projet'!$A$113:$I$133,2,0)</f>
        <v>409.2</v>
      </c>
      <c r="BW159" s="12">
        <f>VLOOKUP(A159,'Données projet'!$A$113:$I$133,9,0)</f>
        <v>7.5191666666666634</v>
      </c>
      <c r="BX159" s="12">
        <f t="array" ref="BX159">INDEX(BW:BW,MIN(IF(ISNUMBER(BW159:BW355),ROW(BW159:BW355),"")))</f>
        <v>7.5191666666666634</v>
      </c>
      <c r="BY159" s="12">
        <f>IF('Données projet'!$A$114&gt;35,BY158+BX159-CG158,IF(A159&lt;'Données projet'!$A$114,$BV$205^A159,IF(A159='Données projet'!$A$114,'Données projet'!$B$114,BY158+BX159-CG158)))</f>
        <v>409.19999999999959</v>
      </c>
      <c r="BZ159" s="13">
        <f>BY159*VLOOKUP('Données projet'!$B$12,Paramètres!$A$1:$I$89,3,0)*VLOOKUP('Données projet'!$B$12,Paramètres!$A$1:$I$89,5,0)</f>
        <v>414.92879999999963</v>
      </c>
      <c r="CA159" s="13">
        <f t="shared" si="170"/>
        <v>94.796765693156289</v>
      </c>
      <c r="CB159" s="20">
        <f t="shared" si="171"/>
        <v>887.77202691557977</v>
      </c>
      <c r="CC159" s="59">
        <f t="shared" si="119"/>
        <v>1181.105360248913</v>
      </c>
      <c r="CD159" s="59">
        <f ca="1">AVERAGE(OFFSET($CC$3,0,0,'Données projet'!$E$12+1,1))-AVERAGE(OFFSET($H$3,0,0,'Données projet'!$E$12+1,1))</f>
        <v>372.05986520199804</v>
      </c>
      <c r="CE159" s="59">
        <f t="shared" si="148"/>
        <v>184.37981929432044</v>
      </c>
      <c r="CF159" s="15">
        <f>IF(ISNA(VLOOKUP(A159,'Données projet'!$A$113:$I$133,3,0)),0,VLOOKUP(A159,'Données projet'!$A$113:$I$133,3,0))</f>
        <v>11</v>
      </c>
      <c r="CG159" s="15">
        <f>IF(ISNA(VLOOKUP(A159,'Données projet'!$A$113:$I$133,4,0)),0,VLOOKUP(A159,'Données projet'!$A$113:$I$133,4,0))</f>
        <v>65.69</v>
      </c>
      <c r="CH159" s="16">
        <f>IF(ISNA(VLOOKUP(A159,'Données projet'!$A$113:$I$133,5,0)),0%,VLOOKUP(A159,'Données projet'!$A$113:$I$133,5,0)*VLOOKUP('Données projet'!$B$12,Paramètres!$A$1:$I$89,7,0))</f>
        <v>0.215</v>
      </c>
      <c r="CI159" s="16">
        <f>IF(ISNA(VLOOKUP(A159,'Données projet'!$A$113:$I$133,6,0)),0%,VLOOKUP(A159,'Données projet'!$A$113:$I$133,6,0)*VLOOKUP('Données projet'!$B$12,Paramètres!$A$1:$I$89,7,0))</f>
        <v>8.6000000000000007E-2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42.071389784715464</v>
      </c>
      <c r="CL159" s="21">
        <f>EXP(-LN(2)/25)*CL158+(1-EXP(-LN(2)/25))/(LN(2)/25)*Calculateur!CG159*Calculateur!CI159*VLOOKUP('Données projet'!$B$12,Paramètres!$A$1:$I$89,3,0)*0.475*44/12</f>
        <v>22.861560310601355</v>
      </c>
      <c r="CM159" s="21">
        <f>EXP(-LN(2)/2)*CM158+(1-EXP(-LN(2)/2))/(LN(2)/2)*CG159*CJ159*VLOOKUP('Données projet'!$B$12,Paramètres!$A$1:$I$89,3,0)*0.475*44/12</f>
        <v>9.2286563541440034E-2</v>
      </c>
      <c r="CN159" s="22">
        <f t="shared" si="172"/>
        <v>65.025236658858248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9.4880000000000049</v>
      </c>
      <c r="CT159" s="12">
        <f>IF('Données projet'!$A$140&gt;35,CT158+CS159-DB158,IF(A159&lt;'Données projet'!$A$140,$CQ$205^A159,IF(A159='Données projet'!$A$140,'Données projet'!$B$140,CT158+CS159-DB158)))</f>
        <v>504.41600000000096</v>
      </c>
      <c r="CU159" s="17">
        <f>CT159*VLOOKUP('Données projet'!$B$13,Paramètres!$A$1:$I$89,3,0)*VLOOKUP('Données projet'!$B$13,Paramètres!$A$1:$I$89,5,0)</f>
        <v>456.39559680000082</v>
      </c>
      <c r="CV159" s="13">
        <f t="shared" si="173"/>
        <v>103.12077454694855</v>
      </c>
      <c r="CW159" s="20">
        <f t="shared" si="174"/>
        <v>974.49101342927031</v>
      </c>
      <c r="CX159" s="59">
        <f t="shared" si="122"/>
        <v>1267.8243467626037</v>
      </c>
      <c r="CY159" s="59">
        <f ca="1">AVERAGE(OFFSET($CX$3,0,0,'Données projet'!$E$13+1,1))-AVERAGE(OFFSET($H$3,0,0,'Données projet'!$E$13+1,1))</f>
        <v>479.84731392413374</v>
      </c>
      <c r="CZ159" s="59">
        <f t="shared" si="150"/>
        <v>203.57601099841213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52.040469622553083</v>
      </c>
      <c r="DG159" s="21">
        <f>EXP(-LN(2)/25)*DG158+(1-EXP(-LN(2)/25))/(LN(2)/25)*Calculateur!DB159*Calculateur!DD159*VLOOKUP('Données projet'!$B$13,Paramètres!$A$1:$I$89,3,0)*0.475*44/12</f>
        <v>21.660295343218088</v>
      </c>
      <c r="DH159" s="21">
        <f>EXP(-LN(2)/2)*DH158+(1-EXP(-LN(2)/2))/(LN(2)/2)*DB159*DE159*VLOOKUP('Données projet'!$B$13,Paramètres!$A$1:$I$89,3,0)*0.475*44/12</f>
        <v>7.7911076927560926E-5</v>
      </c>
      <c r="DI159" s="22">
        <f t="shared" si="175"/>
        <v>73.7008428768481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293.3333333333353</v>
      </c>
      <c r="S160" s="59">
        <f ca="1">AVERAGE(OFFSET($R$3,0,0,'Données projet'!$E$9+1,1))-AVERAGE(OFFSET($H$3,0,0,'Données projet'!$E$9+1,1))</f>
        <v>322.7909000321435</v>
      </c>
      <c r="T160" s="59">
        <f t="shared" si="142"/>
        <v>403.23516981532316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24.087087824091608</v>
      </c>
      <c r="AA160" s="21">
        <f>EXP(-LN(2)/25)*AA159+(1-EXP(-LN(2)/25))/(LN(2)/25)*Calculateur!V160*Calculateur!X160*VLOOKUP('Données projet'!$B$9,Paramètres!$A$1:$I$89,3,0)*0.475*44/12</f>
        <v>3.7489156187498689</v>
      </c>
      <c r="AB160" s="21">
        <f>EXP(-LN(2)/2)*AB159+(1-EXP(-LN(2)/2))/(LN(2)/2)*V160*Y160*VLOOKUP('Données projet'!$B$9,Paramètres!$A$1:$I$89,3,0)*0.475*44/12</f>
        <v>4.8549966944377637E-14</v>
      </c>
      <c r="AC160" s="22">
        <f t="shared" si="163"/>
        <v>27.836003442841527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3.4106051316484809E-13</v>
      </c>
      <c r="AJ160" s="13">
        <f>AI160*VLOOKUP('Données projet'!$B$10,Paramètres!$A$1:$I$89,3,0)*VLOOKUP('Données projet'!$B$10,Paramètres!$A$1:$I$89,5,0)</f>
        <v>1.5961632016114892E-13</v>
      </c>
      <c r="AK160" s="13">
        <f t="shared" si="164"/>
        <v>2.2708641912150958E-12</v>
      </c>
      <c r="AL160" s="20">
        <f t="shared" si="165"/>
        <v>4.2330868906469593E-12</v>
      </c>
      <c r="AM160" s="59">
        <f t="shared" si="113"/>
        <v>293.33333333333752</v>
      </c>
      <c r="AN160" s="59">
        <f ca="1">AVERAGE(OFFSET($AM$3,0,0,'Données projet'!$E$10+1,1))-AVERAGE(OFFSET($H$3,0,0,'Données projet'!$E$10+1,1))</f>
        <v>187.82209112143374</v>
      </c>
      <c r="AO160" s="59">
        <f t="shared" si="144"/>
        <v>158.99136654880203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50.717876121646839</v>
      </c>
      <c r="AV160" s="21">
        <f>EXP(-LN(2)/25)*AV159+(1-EXP(-LN(2)/25))/(LN(2)/25)*Calculateur!AQ160*Calculateur!AS160*VLOOKUP('Données projet'!$B$10,Paramètres!$A$1:$I$89,3,0)*0.475*44/12</f>
        <v>11.06788237731177</v>
      </c>
      <c r="AW160" s="21">
        <f>EXP(-LN(2)/2)*AW159+(1-EXP(-LN(2)/2))/(LN(2)/2)*AQ160*AT160*VLOOKUP('Données projet'!$B$10,Paramètres!$A$1:$I$89,3,0)*0.475*44/12</f>
        <v>1.8768250357408943E-6</v>
      </c>
      <c r="AX160" s="21">
        <f t="shared" si="166"/>
        <v>61.785760375783646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140.32771978791288</v>
      </c>
      <c r="BJ160" s="59">
        <f t="shared" si="146"/>
        <v>135.76866977947634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2.8690052482104407</v>
      </c>
      <c r="BQ160" s="21">
        <f>EXP(-LN(2)/25)*BQ159+(1-EXP(-LN(2)/25))/(LN(2)/25)*Calculateur!BL160*Calculateur!BN160*VLOOKUP('Données projet'!$B$11,Paramètres!$A$1:$I$89,3,0)*0.475*44/12</f>
        <v>9.9652565638480866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12.834261812058527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7.6783333333333319</v>
      </c>
      <c r="BY160" s="12">
        <f>IF('Données projet'!$A$114&gt;35,BY159+BX160-CG159,IF(A160&lt;'Données projet'!$A$114,$BV$205^A160,IF(A160='Données projet'!$A$114,'Données projet'!$B$114,BY159+BX160-CG159)))</f>
        <v>351.18833333333293</v>
      </c>
      <c r="BZ160" s="13">
        <f>BY160*VLOOKUP('Données projet'!$B$12,Paramètres!$A$1:$I$89,3,0)*VLOOKUP('Données projet'!$B$12,Paramètres!$A$1:$I$89,5,0)</f>
        <v>356.10496999999958</v>
      </c>
      <c r="CA160" s="13">
        <f t="shared" si="170"/>
        <v>82.818320026492003</v>
      </c>
      <c r="CB160" s="20">
        <f t="shared" si="171"/>
        <v>764.45806346280631</v>
      </c>
      <c r="CC160" s="59">
        <f t="shared" si="119"/>
        <v>1057.7913967961397</v>
      </c>
      <c r="CD160" s="59">
        <f ca="1">AVERAGE(OFFSET($CC$3,0,0,'Données projet'!$E$12+1,1))-AVERAGE(OFFSET($H$3,0,0,'Données projet'!$E$12+1,1))</f>
        <v>372.05986520199804</v>
      </c>
      <c r="CE160" s="59">
        <f t="shared" si="148"/>
        <v>184.37981929432044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41.24639549205115</v>
      </c>
      <c r="CL160" s="21">
        <f>EXP(-LN(2)/25)*CL159+(1-EXP(-LN(2)/25))/(LN(2)/25)*Calculateur!CG160*Calculateur!CI160*VLOOKUP('Données projet'!$B$12,Paramètres!$A$1:$I$89,3,0)*0.475*44/12</f>
        <v>22.236409741670755</v>
      </c>
      <c r="CM160" s="21">
        <f>EXP(-LN(2)/2)*CM159+(1-EXP(-LN(2)/2))/(LN(2)/2)*CG160*CJ160*VLOOKUP('Données projet'!$B$12,Paramètres!$A$1:$I$89,3,0)*0.475*44/12</f>
        <v>6.5256454892555452E-2</v>
      </c>
      <c r="CN160" s="22">
        <f t="shared" si="172"/>
        <v>63.54806168861446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9.4880000000000049</v>
      </c>
      <c r="CT160" s="12">
        <f>IF('Données projet'!$A$140&gt;35,CT159+CS160-DB159,IF(A160&lt;'Données projet'!$A$140,$CQ$205^A160,IF(A160='Données projet'!$A$140,'Données projet'!$B$140,CT159+CS160-DB159)))</f>
        <v>513.90400000000102</v>
      </c>
      <c r="CU160" s="17">
        <f>CT160*VLOOKUP('Données projet'!$B$13,Paramètres!$A$1:$I$89,3,0)*VLOOKUP('Données projet'!$B$13,Paramètres!$A$1:$I$89,5,0)</f>
        <v>464.98033920000091</v>
      </c>
      <c r="CV160" s="13">
        <f t="shared" si="173"/>
        <v>104.83282002515982</v>
      </c>
      <c r="CW160" s="20">
        <f t="shared" si="174"/>
        <v>992.4245856504881</v>
      </c>
      <c r="CX160" s="59">
        <f t="shared" si="122"/>
        <v>1285.7579189838214</v>
      </c>
      <c r="CY160" s="59">
        <f ca="1">AVERAGE(OFFSET($CX$3,0,0,'Données projet'!$E$13+1,1))-AVERAGE(OFFSET($H$3,0,0,'Données projet'!$E$13+1,1))</f>
        <v>479.84731392413374</v>
      </c>
      <c r="CZ160" s="59">
        <f t="shared" si="150"/>
        <v>203.57601099841213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51.019987754807069</v>
      </c>
      <c r="DG160" s="21">
        <f>EXP(-LN(2)/25)*DG159+(1-EXP(-LN(2)/25))/(LN(2)/25)*Calculateur!DB160*Calculateur!DD160*VLOOKUP('Données projet'!$B$13,Paramètres!$A$1:$I$89,3,0)*0.475*44/12</f>
        <v>21.067993427992363</v>
      </c>
      <c r="DH160" s="21">
        <f>EXP(-LN(2)/2)*DH159+(1-EXP(-LN(2)/2))/(LN(2)/2)*DB160*DE160*VLOOKUP('Données projet'!$B$13,Paramètres!$A$1:$I$89,3,0)*0.475*44/12</f>
        <v>5.5091450825025096E-5</v>
      </c>
      <c r="DI160" s="22">
        <f t="shared" si="175"/>
        <v>72.088036274250257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293.3333333333353</v>
      </c>
      <c r="S161" s="59">
        <f ca="1">AVERAGE(OFFSET($R$3,0,0,'Données projet'!$E$9+1,1))-AVERAGE(OFFSET($H$3,0,0,'Données projet'!$E$9+1,1))</f>
        <v>322.7909000321435</v>
      </c>
      <c r="T161" s="59">
        <f t="shared" si="142"/>
        <v>403.23516981532316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23.614754723534062</v>
      </c>
      <c r="AA161" s="21">
        <f>EXP(-LN(2)/25)*AA160+(1-EXP(-LN(2)/25))/(LN(2)/25)*Calculateur!V161*Calculateur!X161*VLOOKUP('Données projet'!$B$9,Paramètres!$A$1:$I$89,3,0)*0.475*44/12</f>
        <v>3.6464013240082496</v>
      </c>
      <c r="AB161" s="21">
        <f>EXP(-LN(2)/2)*AB160+(1-EXP(-LN(2)/2))/(LN(2)/2)*V161*Y161*VLOOKUP('Données projet'!$B$9,Paramètres!$A$1:$I$89,3,0)*0.475*44/12</f>
        <v>3.4330010852752153E-14</v>
      </c>
      <c r="AC161" s="22">
        <f t="shared" si="163"/>
        <v>27.261156047542347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3.4106051316484809E-13</v>
      </c>
      <c r="AJ161" s="13">
        <f>AI161*VLOOKUP('Données projet'!$B$10,Paramètres!$A$1:$I$89,3,0)*VLOOKUP('Données projet'!$B$10,Paramètres!$A$1:$I$89,5,0)</f>
        <v>1.5961632016114892E-13</v>
      </c>
      <c r="AK161" s="13">
        <f t="shared" si="164"/>
        <v>2.2708641912150958E-12</v>
      </c>
      <c r="AL161" s="20">
        <f t="shared" si="165"/>
        <v>4.2330868906469593E-12</v>
      </c>
      <c r="AM161" s="59">
        <f t="shared" si="113"/>
        <v>293.33333333333752</v>
      </c>
      <c r="AN161" s="59">
        <f ca="1">AVERAGE(OFFSET($AM$3,0,0,'Données projet'!$E$10+1,1))-AVERAGE(OFFSET($H$3,0,0,'Données projet'!$E$10+1,1))</f>
        <v>187.82209112143374</v>
      </c>
      <c r="AO161" s="59">
        <f t="shared" si="144"/>
        <v>158.99136654880203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49.723329505751217</v>
      </c>
      <c r="AV161" s="21">
        <f>EXP(-LN(2)/25)*AV160+(1-EXP(-LN(2)/25))/(LN(2)/25)*Calculateur!AQ161*Calculateur!AS161*VLOOKUP('Données projet'!$B$10,Paramètres!$A$1:$I$89,3,0)*0.475*44/12</f>
        <v>10.765230551669541</v>
      </c>
      <c r="AW161" s="21">
        <f>EXP(-LN(2)/2)*AW160+(1-EXP(-LN(2)/2))/(LN(2)/2)*AQ161*AT161*VLOOKUP('Données projet'!$B$10,Paramètres!$A$1:$I$89,3,0)*0.475*44/12</f>
        <v>1.3271157098730708E-6</v>
      </c>
      <c r="AX161" s="21">
        <f t="shared" si="166"/>
        <v>60.488561384536467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140.32771978791288</v>
      </c>
      <c r="BJ161" s="59">
        <f t="shared" si="146"/>
        <v>135.76866977947634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2.8127458052134449</v>
      </c>
      <c r="BQ161" s="21">
        <f>EXP(-LN(2)/25)*BQ160+(1-EXP(-LN(2)/25))/(LN(2)/25)*Calculateur!BL161*Calculateur!BN161*VLOOKUP('Données projet'!$B$11,Paramètres!$A$1:$I$89,3,0)*0.475*44/12</f>
        <v>9.6927560990595936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12.505501904273039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7.6783333333333319</v>
      </c>
      <c r="BY161" s="12">
        <f>IF('Données projet'!$A$114&gt;35,BY160+BX161-CG160,IF(A161&lt;'Données projet'!$A$114,$BV$205^A161,IF(A161='Données projet'!$A$114,'Données projet'!$B$114,BY160+BX161-CG160)))</f>
        <v>358.86666666666628</v>
      </c>
      <c r="BZ161" s="13">
        <f>BY161*VLOOKUP('Données projet'!$B$12,Paramètres!$A$1:$I$89,3,0)*VLOOKUP('Données projet'!$B$12,Paramètres!$A$1:$I$89,5,0)</f>
        <v>363.89079999999962</v>
      </c>
      <c r="CA161" s="13">
        <f t="shared" si="170"/>
        <v>84.416260050559117</v>
      </c>
      <c r="CB161" s="20">
        <f t="shared" si="171"/>
        <v>780.80146292138977</v>
      </c>
      <c r="CC161" s="59">
        <f t="shared" si="119"/>
        <v>1074.1347962547231</v>
      </c>
      <c r="CD161" s="59">
        <f ca="1">AVERAGE(OFFSET($CC$3,0,0,'Données projet'!$E$12+1,1))-AVERAGE(OFFSET($H$3,0,0,'Données projet'!$E$12+1,1))</f>
        <v>372.05986520199804</v>
      </c>
      <c r="CE161" s="59">
        <f t="shared" si="148"/>
        <v>184.37981929432044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40.437578834269146</v>
      </c>
      <c r="CL161" s="21">
        <f>EXP(-LN(2)/25)*CL160+(1-EXP(-LN(2)/25))/(LN(2)/25)*Calculateur!CG161*Calculateur!CI161*VLOOKUP('Données projet'!$B$12,Paramètres!$A$1:$I$89,3,0)*0.475*44/12</f>
        <v>21.6283539479228</v>
      </c>
      <c r="CM161" s="21">
        <f>EXP(-LN(2)/2)*CM160+(1-EXP(-LN(2)/2))/(LN(2)/2)*CG161*CJ161*VLOOKUP('Données projet'!$B$12,Paramètres!$A$1:$I$89,3,0)*0.475*44/12</f>
        <v>4.6143281770720017E-2</v>
      </c>
      <c r="CN161" s="22">
        <f t="shared" si="172"/>
        <v>62.112076063962668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9.4880000000000049</v>
      </c>
      <c r="CT161" s="12">
        <f>IF('Données projet'!$A$140&gt;35,CT160+CS161-DB160,IF(A161&lt;'Données projet'!$A$140,$CQ$205^A161,IF(A161='Données projet'!$A$140,'Données projet'!$B$140,CT160+CS161-DB160)))</f>
        <v>523.39200000000108</v>
      </c>
      <c r="CU161" s="17">
        <f>CT161*VLOOKUP('Données projet'!$B$13,Paramètres!$A$1:$I$89,3,0)*VLOOKUP('Données projet'!$B$13,Paramètres!$A$1:$I$89,5,0)</f>
        <v>473.56508160000089</v>
      </c>
      <c r="CV161" s="13">
        <f t="shared" si="173"/>
        <v>106.54118996921356</v>
      </c>
      <c r="CW161" s="20">
        <f t="shared" si="174"/>
        <v>1010.3517563163817</v>
      </c>
      <c r="CX161" s="59">
        <f t="shared" si="122"/>
        <v>1303.6850896497151</v>
      </c>
      <c r="CY161" s="59">
        <f ca="1">AVERAGE(OFFSET($CX$3,0,0,'Données projet'!$E$13+1,1))-AVERAGE(OFFSET($H$3,0,0,'Données projet'!$E$13+1,1))</f>
        <v>479.84731392413374</v>
      </c>
      <c r="CZ161" s="59">
        <f t="shared" si="150"/>
        <v>203.57601099841213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50.019516914055075</v>
      </c>
      <c r="DG161" s="21">
        <f>EXP(-LN(2)/25)*DG160+(1-EXP(-LN(2)/25))/(LN(2)/25)*Calculateur!DB161*Calculateur!DD161*VLOOKUP('Données projet'!$B$13,Paramètres!$A$1:$I$89,3,0)*0.475*44/12</f>
        <v>20.491888039786289</v>
      </c>
      <c r="DH161" s="21">
        <f>EXP(-LN(2)/2)*DH160+(1-EXP(-LN(2)/2))/(LN(2)/2)*DB161*DE161*VLOOKUP('Données projet'!$B$13,Paramètres!$A$1:$I$89,3,0)*0.475*44/12</f>
        <v>3.8955538463780463E-5</v>
      </c>
      <c r="DI161" s="22">
        <f t="shared" si="175"/>
        <v>70.511443909379821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293.3333333333353</v>
      </c>
      <c r="S162" s="59">
        <f ca="1">AVERAGE(OFFSET($R$3,0,0,'Données projet'!$E$9+1,1))-AVERAGE(OFFSET($H$3,0,0,'Données projet'!$E$9+1,1))</f>
        <v>322.7909000321435</v>
      </c>
      <c r="T162" s="59">
        <f t="shared" si="142"/>
        <v>403.23516981532316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23.151683786983707</v>
      </c>
      <c r="AA162" s="21">
        <f>EXP(-LN(2)/25)*AA161+(1-EXP(-LN(2)/25))/(LN(2)/25)*Calculateur!V162*Calculateur!X162*VLOOKUP('Données projet'!$B$9,Paramètres!$A$1:$I$89,3,0)*0.475*44/12</f>
        <v>3.5466902880473321</v>
      </c>
      <c r="AB162" s="21">
        <f>EXP(-LN(2)/2)*AB161+(1-EXP(-LN(2)/2))/(LN(2)/2)*V162*Y162*VLOOKUP('Données projet'!$B$9,Paramètres!$A$1:$I$89,3,0)*0.475*44/12</f>
        <v>2.4274983472188818E-14</v>
      </c>
      <c r="AC162" s="22">
        <f t="shared" si="163"/>
        <v>26.698374075031065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3.4106051316484809E-13</v>
      </c>
      <c r="AJ162" s="13">
        <f>AI162*VLOOKUP('Données projet'!$B$10,Paramètres!$A$1:$I$89,3,0)*VLOOKUP('Données projet'!$B$10,Paramètres!$A$1:$I$89,5,0)</f>
        <v>1.5961632016114892E-13</v>
      </c>
      <c r="AK162" s="13">
        <f t="shared" si="164"/>
        <v>2.2708641912150958E-12</v>
      </c>
      <c r="AL162" s="20">
        <f t="shared" si="165"/>
        <v>4.2330868906469593E-12</v>
      </c>
      <c r="AM162" s="59">
        <f t="shared" si="113"/>
        <v>293.33333333333752</v>
      </c>
      <c r="AN162" s="59">
        <f ca="1">AVERAGE(OFFSET($AM$3,0,0,'Données projet'!$E$10+1,1))-AVERAGE(OFFSET($H$3,0,0,'Données projet'!$E$10+1,1))</f>
        <v>187.82209112143374</v>
      </c>
      <c r="AO162" s="59">
        <f t="shared" si="144"/>
        <v>158.99136654880203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48.748285342379766</v>
      </c>
      <c r="AV162" s="21">
        <f>EXP(-LN(2)/25)*AV161+(1-EXP(-LN(2)/25))/(LN(2)/25)*Calculateur!AQ162*Calculateur!AS162*VLOOKUP('Données projet'!$B$10,Paramètres!$A$1:$I$89,3,0)*0.475*44/12</f>
        <v>10.470854756115267</v>
      </c>
      <c r="AW162" s="21">
        <f>EXP(-LN(2)/2)*AW161+(1-EXP(-LN(2)/2))/(LN(2)/2)*AQ162*AT162*VLOOKUP('Données projet'!$B$10,Paramètres!$A$1:$I$89,3,0)*0.475*44/12</f>
        <v>9.3841251787044724E-7</v>
      </c>
      <c r="AX162" s="21">
        <f t="shared" si="166"/>
        <v>59.219141036907551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140.32771978791288</v>
      </c>
      <c r="BJ162" s="59">
        <f t="shared" si="146"/>
        <v>135.76866977947634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2.7575895755787485</v>
      </c>
      <c r="BQ162" s="21">
        <f>EXP(-LN(2)/25)*BQ161+(1-EXP(-LN(2)/25))/(LN(2)/25)*Calculateur!BL162*Calculateur!BN162*VLOOKUP('Données projet'!$B$11,Paramètres!$A$1:$I$89,3,0)*0.475*44/12</f>
        <v>9.4277071738109193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12.185296749389668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7.6783333333333319</v>
      </c>
      <c r="BY162" s="12">
        <f>IF('Données projet'!$A$114&gt;35,BY161+BX162-CG161,IF(A162&lt;'Données projet'!$A$114,$BV$205^A162,IF(A162='Données projet'!$A$114,'Données projet'!$B$114,BY161+BX162-CG161)))</f>
        <v>366.54499999999962</v>
      </c>
      <c r="BZ162" s="13">
        <f>BY162*VLOOKUP('Données projet'!$B$12,Paramètres!$A$1:$I$89,3,0)*VLOOKUP('Données projet'!$B$12,Paramètres!$A$1:$I$89,5,0)</f>
        <v>371.67662999999965</v>
      </c>
      <c r="CA162" s="13">
        <f t="shared" si="170"/>
        <v>86.010225033473873</v>
      </c>
      <c r="CB162" s="20">
        <f t="shared" si="171"/>
        <v>797.13793918329975</v>
      </c>
      <c r="CC162" s="59">
        <f t="shared" si="119"/>
        <v>1090.471272516633</v>
      </c>
      <c r="CD162" s="59">
        <f ca="1">AVERAGE(OFFSET($CC$3,0,0,'Données projet'!$E$12+1,1))-AVERAGE(OFFSET($H$3,0,0,'Données projet'!$E$12+1,1))</f>
        <v>372.05986520199804</v>
      </c>
      <c r="CE162" s="59">
        <f t="shared" si="148"/>
        <v>184.37981929432044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39.644622577816804</v>
      </c>
      <c r="CL162" s="21">
        <f>EXP(-LN(2)/25)*CL161+(1-EXP(-LN(2)/25))/(LN(2)/25)*Calculateur!CG162*Calculateur!CI162*VLOOKUP('Données projet'!$B$12,Paramètres!$A$1:$I$89,3,0)*0.475*44/12</f>
        <v>21.03692547183115</v>
      </c>
      <c r="CM162" s="21">
        <f>EXP(-LN(2)/2)*CM161+(1-EXP(-LN(2)/2))/(LN(2)/2)*CG162*CJ162*VLOOKUP('Données projet'!$B$12,Paramètres!$A$1:$I$89,3,0)*0.475*44/12</f>
        <v>3.2628227446277726E-2</v>
      </c>
      <c r="CN162" s="22">
        <f t="shared" si="172"/>
        <v>60.714176277094239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9.4880000000000049</v>
      </c>
      <c r="CT162" s="12">
        <f>IF('Données projet'!$A$140&gt;35,CT161+CS162-DB161,IF(A162&lt;'Données projet'!$A$140,$CQ$205^A162,IF(A162='Données projet'!$A$140,'Données projet'!$B$140,CT161+CS162-DB161)))</f>
        <v>532.88000000000113</v>
      </c>
      <c r="CU162" s="17">
        <f>CT162*VLOOKUP('Données projet'!$B$13,Paramètres!$A$1:$I$89,3,0)*VLOOKUP('Données projet'!$B$13,Paramètres!$A$1:$I$89,5,0)</f>
        <v>482.14982400000099</v>
      </c>
      <c r="CV162" s="13">
        <f t="shared" si="173"/>
        <v>108.24595869432409</v>
      </c>
      <c r="CW162" s="20">
        <f t="shared" si="174"/>
        <v>1028.272654859283</v>
      </c>
      <c r="CX162" s="59">
        <f t="shared" si="122"/>
        <v>1321.6059881926162</v>
      </c>
      <c r="CY162" s="59">
        <f ca="1">AVERAGE(OFFSET($CX$3,0,0,'Données projet'!$E$13+1,1))-AVERAGE(OFFSET($H$3,0,0,'Données projet'!$E$13+1,1))</f>
        <v>479.84731392413374</v>
      </c>
      <c r="CZ162" s="59">
        <f t="shared" si="150"/>
        <v>203.57601099841213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49.038664696263268</v>
      </c>
      <c r="DG162" s="21">
        <f>EXP(-LN(2)/25)*DG161+(1-EXP(-LN(2)/25))/(LN(2)/25)*Calculateur!DB162*Calculateur!DD162*VLOOKUP('Données projet'!$B$13,Paramètres!$A$1:$I$89,3,0)*0.475*44/12</f>
        <v>19.931536283716778</v>
      </c>
      <c r="DH162" s="21">
        <f>EXP(-LN(2)/2)*DH161+(1-EXP(-LN(2)/2))/(LN(2)/2)*DB162*DE162*VLOOKUP('Données projet'!$B$13,Paramètres!$A$1:$I$89,3,0)*0.475*44/12</f>
        <v>2.7545725412512548E-5</v>
      </c>
      <c r="DI162" s="22">
        <f t="shared" si="175"/>
        <v>68.970228525705465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293.3333333333353</v>
      </c>
      <c r="S163" s="59">
        <f ca="1">AVERAGE(OFFSET($R$3,0,0,'Données projet'!$E$9+1,1))-AVERAGE(OFFSET($H$3,0,0,'Données projet'!$E$9+1,1))</f>
        <v>322.7909000321435</v>
      </c>
      <c r="T163" s="59">
        <f t="shared" si="142"/>
        <v>403.23516981532316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22.697693389053722</v>
      </c>
      <c r="AA163" s="21">
        <f>EXP(-LN(2)/25)*AA162+(1-EXP(-LN(2)/25))/(LN(2)/25)*Calculateur!V163*Calculateur!X163*VLOOKUP('Données projet'!$B$9,Paramètres!$A$1:$I$89,3,0)*0.475*44/12</f>
        <v>3.4497058556083418</v>
      </c>
      <c r="AB163" s="21">
        <f>EXP(-LN(2)/2)*AB162+(1-EXP(-LN(2)/2))/(LN(2)/2)*V163*Y163*VLOOKUP('Données projet'!$B$9,Paramètres!$A$1:$I$89,3,0)*0.475*44/12</f>
        <v>1.7165005426376076E-14</v>
      </c>
      <c r="AC163" s="22">
        <f t="shared" si="163"/>
        <v>26.147399244662083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3.4106051316484809E-13</v>
      </c>
      <c r="AJ163" s="13">
        <f>AI163*VLOOKUP('Données projet'!$B$10,Paramètres!$A$1:$I$89,3,0)*VLOOKUP('Données projet'!$B$10,Paramètres!$A$1:$I$89,5,0)</f>
        <v>1.5961632016114892E-13</v>
      </c>
      <c r="AK163" s="13">
        <f t="shared" si="164"/>
        <v>2.2708641912150958E-12</v>
      </c>
      <c r="AL163" s="20">
        <f t="shared" si="165"/>
        <v>4.2330868906469593E-12</v>
      </c>
      <c r="AM163" s="59">
        <f t="shared" si="113"/>
        <v>293.33333333333752</v>
      </c>
      <c r="AN163" s="59">
        <f ca="1">AVERAGE(OFFSET($AM$3,0,0,'Données projet'!$E$10+1,1))-AVERAGE(OFFSET($H$3,0,0,'Données projet'!$E$10+1,1))</f>
        <v>187.82209112143374</v>
      </c>
      <c r="AO163" s="59">
        <f t="shared" si="144"/>
        <v>158.99136654880203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47.792361200333815</v>
      </c>
      <c r="AV163" s="21">
        <f>EXP(-LN(2)/25)*AV162+(1-EXP(-LN(2)/25))/(LN(2)/25)*Calculateur!AQ163*Calculateur!AS163*VLOOKUP('Données projet'!$B$10,Paramètres!$A$1:$I$89,3,0)*0.475*44/12</f>
        <v>10.184528682170976</v>
      </c>
      <c r="AW163" s="21">
        <f>EXP(-LN(2)/2)*AW162+(1-EXP(-LN(2)/2))/(LN(2)/2)*AQ163*AT163*VLOOKUP('Données projet'!$B$10,Paramètres!$A$1:$I$89,3,0)*0.475*44/12</f>
        <v>6.6355785493653552E-7</v>
      </c>
      <c r="AX163" s="21">
        <f t="shared" si="166"/>
        <v>57.976890546062648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140.32771978791288</v>
      </c>
      <c r="BJ163" s="59">
        <f t="shared" si="146"/>
        <v>135.76866977947634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2.70351492596521</v>
      </c>
      <c r="BQ163" s="21">
        <f>EXP(-LN(2)/25)*BQ162+(1-EXP(-LN(2)/25))/(LN(2)/25)*Calculateur!BL163*Calculateur!BN163*VLOOKUP('Données projet'!$B$11,Paramètres!$A$1:$I$89,3,0)*0.475*44/12</f>
        <v>9.1699060253614864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11.873420951326697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7.6783333333333319</v>
      </c>
      <c r="BY163" s="12">
        <f>IF('Données projet'!$A$114&gt;35,BY162+BX163-CG162,IF(A163&lt;'Données projet'!$A$114,$BV$205^A163,IF(A163='Données projet'!$A$114,'Données projet'!$B$114,BY162+BX163-CG162)))</f>
        <v>374.22333333333296</v>
      </c>
      <c r="BZ163" s="13">
        <f>BY163*VLOOKUP('Données projet'!$B$12,Paramètres!$A$1:$I$89,3,0)*VLOOKUP('Données projet'!$B$12,Paramètres!$A$1:$I$89,5,0)</f>
        <v>379.46245999999962</v>
      </c>
      <c r="CA163" s="13">
        <f t="shared" si="170"/>
        <v>87.600307836777574</v>
      </c>
      <c r="CB163" s="20">
        <f t="shared" si="171"/>
        <v>813.46765398238688</v>
      </c>
      <c r="CC163" s="59">
        <f t="shared" si="119"/>
        <v>1106.8009873157202</v>
      </c>
      <c r="CD163" s="59">
        <f ca="1">AVERAGE(OFFSET($CC$3,0,0,'Données projet'!$E$12+1,1))-AVERAGE(OFFSET($H$3,0,0,'Données projet'!$E$12+1,1))</f>
        <v>372.05986520199804</v>
      </c>
      <c r="CE163" s="59">
        <f t="shared" si="148"/>
        <v>184.37981929432044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38.867215709897927</v>
      </c>
      <c r="CL163" s="21">
        <f>EXP(-LN(2)/25)*CL162+(1-EXP(-LN(2)/25))/(LN(2)/25)*Calculateur!CG163*Calculateur!CI163*VLOOKUP('Données projet'!$B$12,Paramètres!$A$1:$I$89,3,0)*0.475*44/12</f>
        <v>20.461669638520096</v>
      </c>
      <c r="CM163" s="21">
        <f>EXP(-LN(2)/2)*CM162+(1-EXP(-LN(2)/2))/(LN(2)/2)*CG163*CJ163*VLOOKUP('Données projet'!$B$12,Paramètres!$A$1:$I$89,3,0)*0.475*44/12</f>
        <v>2.3071640885360008E-2</v>
      </c>
      <c r="CN163" s="22">
        <f t="shared" si="172"/>
        <v>59.351956989303389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9.4880000000000049</v>
      </c>
      <c r="CT163" s="12">
        <f>IF('Données projet'!$A$140&gt;35,CT162+CS163-DB162,IF(A163&lt;'Données projet'!$A$140,$CQ$205^A163,IF(A163='Données projet'!$A$140,'Données projet'!$B$140,CT162+CS163-DB162)))</f>
        <v>542.36800000000119</v>
      </c>
      <c r="CU163" s="17">
        <f>CT163*VLOOKUP('Données projet'!$B$13,Paramètres!$A$1:$I$89,3,0)*VLOOKUP('Données projet'!$B$13,Paramètres!$A$1:$I$89,5,0)</f>
        <v>490.73456640000109</v>
      </c>
      <c r="CV163" s="13">
        <f t="shared" si="173"/>
        <v>109.94719771775897</v>
      </c>
      <c r="CW163" s="20">
        <f t="shared" si="174"/>
        <v>1046.1874058384321</v>
      </c>
      <c r="CX163" s="59">
        <f t="shared" si="122"/>
        <v>1339.5207391717654</v>
      </c>
      <c r="CY163" s="59">
        <f ca="1">AVERAGE(OFFSET($CX$3,0,0,'Données projet'!$E$13+1,1))-AVERAGE(OFFSET($H$3,0,0,'Données projet'!$E$13+1,1))</f>
        <v>479.84731392413374</v>
      </c>
      <c r="CZ163" s="59">
        <f t="shared" si="150"/>
        <v>203.57601099841213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48.077046392201581</v>
      </c>
      <c r="DG163" s="21">
        <f>EXP(-LN(2)/25)*DG162+(1-EXP(-LN(2)/25))/(LN(2)/25)*Calculateur!DB163*Calculateur!DD163*VLOOKUP('Données projet'!$B$13,Paramètres!$A$1:$I$89,3,0)*0.475*44/12</f>
        <v>19.386507375884602</v>
      </c>
      <c r="DH163" s="21">
        <f>EXP(-LN(2)/2)*DH162+(1-EXP(-LN(2)/2))/(LN(2)/2)*DB163*DE163*VLOOKUP('Données projet'!$B$13,Paramètres!$A$1:$I$89,3,0)*0.475*44/12</f>
        <v>1.9477769231890232E-5</v>
      </c>
      <c r="DI163" s="22">
        <f t="shared" si="175"/>
        <v>67.463573245855414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293.3333333333353</v>
      </c>
      <c r="S164" s="59">
        <f ca="1">AVERAGE(OFFSET($R$3,0,0,'Données projet'!$E$9+1,1))-AVERAGE(OFFSET($H$3,0,0,'Données projet'!$E$9+1,1))</f>
        <v>322.7909000321435</v>
      </c>
      <c r="T164" s="59">
        <f t="shared" si="142"/>
        <v>403.23516981532316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22.252605465920343</v>
      </c>
      <c r="AA164" s="21">
        <f>EXP(-LN(2)/25)*AA163+(1-EXP(-LN(2)/25))/(LN(2)/25)*Calculateur!V164*Calculateur!X164*VLOOKUP('Données projet'!$B$9,Paramètres!$A$1:$I$89,3,0)*0.475*44/12</f>
        <v>3.355373467574585</v>
      </c>
      <c r="AB164" s="21">
        <f>EXP(-LN(2)/2)*AB163+(1-EXP(-LN(2)/2))/(LN(2)/2)*V164*Y164*VLOOKUP('Données projet'!$B$9,Paramètres!$A$1:$I$89,3,0)*0.475*44/12</f>
        <v>1.2137491736094409E-14</v>
      </c>
      <c r="AC164" s="22">
        <f t="shared" si="163"/>
        <v>25.607978933494937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3.4106051316484809E-13</v>
      </c>
      <c r="AJ164" s="13">
        <f>AI164*VLOOKUP('Données projet'!$B$10,Paramètres!$A$1:$I$89,3,0)*VLOOKUP('Données projet'!$B$10,Paramètres!$A$1:$I$89,5,0)</f>
        <v>1.5961632016114892E-13</v>
      </c>
      <c r="AK164" s="13">
        <f t="shared" si="164"/>
        <v>2.2708641912150958E-12</v>
      </c>
      <c r="AL164" s="20">
        <f t="shared" si="165"/>
        <v>4.2330868906469593E-12</v>
      </c>
      <c r="AM164" s="59">
        <f t="shared" si="113"/>
        <v>293.33333333333752</v>
      </c>
      <c r="AN164" s="59">
        <f ca="1">AVERAGE(OFFSET($AM$3,0,0,'Données projet'!$E$10+1,1))-AVERAGE(OFFSET($H$3,0,0,'Données projet'!$E$10+1,1))</f>
        <v>187.82209112143374</v>
      </c>
      <c r="AO164" s="59">
        <f t="shared" si="144"/>
        <v>158.99136654880203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46.855182147657231</v>
      </c>
      <c r="AV164" s="21">
        <f>EXP(-LN(2)/25)*AV163+(1-EXP(-LN(2)/25))/(LN(2)/25)*Calculateur!AQ164*Calculateur!AS164*VLOOKUP('Données projet'!$B$10,Paramètres!$A$1:$I$89,3,0)*0.475*44/12</f>
        <v>9.9060322097759244</v>
      </c>
      <c r="AW164" s="21">
        <f>EXP(-LN(2)/2)*AW163+(1-EXP(-LN(2)/2))/(LN(2)/2)*AQ164*AT164*VLOOKUP('Données projet'!$B$10,Paramètres!$A$1:$I$89,3,0)*0.475*44/12</f>
        <v>4.6920625893522372E-7</v>
      </c>
      <c r="AX164" s="21">
        <f t="shared" si="166"/>
        <v>56.76121482663941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140.32771978791288</v>
      </c>
      <c r="BJ164" s="59">
        <f t="shared" si="146"/>
        <v>135.76866977947634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2.6505006472483137</v>
      </c>
      <c r="BQ164" s="21">
        <f>EXP(-LN(2)/25)*BQ163+(1-EXP(-LN(2)/25))/(LN(2)/25)*Calculateur!BL164*Calculateur!BN164*VLOOKUP('Données projet'!$B$11,Paramètres!$A$1:$I$89,3,0)*0.475*44/12</f>
        <v>8.9191544628735766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11.569655110121889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7.6783333333333319</v>
      </c>
      <c r="BY164" s="12">
        <f>IF('Données projet'!$A$114&gt;35,BY163+BX164-CG163,IF(A164&lt;'Données projet'!$A$114,$BV$205^A164,IF(A164='Données projet'!$A$114,'Données projet'!$B$114,BY163+BX164-CG163)))</f>
        <v>381.9016666666663</v>
      </c>
      <c r="BZ164" s="13">
        <f>BY164*VLOOKUP('Données projet'!$B$12,Paramètres!$A$1:$I$89,3,0)*VLOOKUP('Données projet'!$B$12,Paramètres!$A$1:$I$89,5,0)</f>
        <v>387.24828999999966</v>
      </c>
      <c r="CA164" s="13">
        <f t="shared" si="170"/>
        <v>89.186597293517707</v>
      </c>
      <c r="CB164" s="20">
        <f t="shared" si="171"/>
        <v>829.79076203620934</v>
      </c>
      <c r="CC164" s="59">
        <f t="shared" si="119"/>
        <v>1123.1240953695426</v>
      </c>
      <c r="CD164" s="59">
        <f ca="1">AVERAGE(OFFSET($CC$3,0,0,'Données projet'!$E$12+1,1))-AVERAGE(OFFSET($H$3,0,0,'Données projet'!$E$12+1,1))</f>
        <v>372.05986520199804</v>
      </c>
      <c r="CE164" s="59">
        <f t="shared" si="148"/>
        <v>184.37981929432044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38.10505331648757</v>
      </c>
      <c r="CL164" s="21">
        <f>EXP(-LN(2)/25)*CL163+(1-EXP(-LN(2)/25))/(LN(2)/25)*Calculateur!CG164*Calculateur!CI164*VLOOKUP('Données projet'!$B$12,Paramètres!$A$1:$I$89,3,0)*0.475*44/12</f>
        <v>19.902144206222324</v>
      </c>
      <c r="CM164" s="21">
        <f>EXP(-LN(2)/2)*CM163+(1-EXP(-LN(2)/2))/(LN(2)/2)*CG164*CJ164*VLOOKUP('Données projet'!$B$12,Paramètres!$A$1:$I$89,3,0)*0.475*44/12</f>
        <v>1.6314113723138863E-2</v>
      </c>
      <c r="CN164" s="22">
        <f t="shared" si="172"/>
        <v>58.023511636433035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9.4880000000000049</v>
      </c>
      <c r="CT164" s="12">
        <f>IF('Données projet'!$A$140&gt;35,CT163+CS164-DB163,IF(A164&lt;'Données projet'!$A$140,$CQ$205^A164,IF(A164='Données projet'!$A$140,'Données projet'!$B$140,CT163+CS164-DB163)))</f>
        <v>551.85600000000125</v>
      </c>
      <c r="CU164" s="17">
        <f>CT164*VLOOKUP('Données projet'!$B$13,Paramètres!$A$1:$I$89,3,0)*VLOOKUP('Données projet'!$B$13,Paramètres!$A$1:$I$89,5,0)</f>
        <v>499.31930880000107</v>
      </c>
      <c r="CV164" s="13">
        <f t="shared" si="173"/>
        <v>111.64497591125094</v>
      </c>
      <c r="CW164" s="20">
        <f t="shared" si="174"/>
        <v>1064.0961292054305</v>
      </c>
      <c r="CX164" s="59">
        <f t="shared" si="122"/>
        <v>1357.4294625387638</v>
      </c>
      <c r="CY164" s="59">
        <f ca="1">AVERAGE(OFFSET($CX$3,0,0,'Données projet'!$E$13+1,1))-AVERAGE(OFFSET($H$3,0,0,'Données projet'!$E$13+1,1))</f>
        <v>479.84731392413374</v>
      </c>
      <c r="CZ164" s="59">
        <f t="shared" si="150"/>
        <v>203.57601099841213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47.134284836553292</v>
      </c>
      <c r="DG164" s="21">
        <f>EXP(-LN(2)/25)*DG163+(1-EXP(-LN(2)/25))/(LN(2)/25)*Calculateur!DB164*Calculateur!DD164*VLOOKUP('Données projet'!$B$13,Paramètres!$A$1:$I$89,3,0)*0.475*44/12</f>
        <v>18.856382312198924</v>
      </c>
      <c r="DH164" s="21">
        <f>EXP(-LN(2)/2)*DH163+(1-EXP(-LN(2)/2))/(LN(2)/2)*DB164*DE164*VLOOKUP('Données projet'!$B$13,Paramètres!$A$1:$I$89,3,0)*0.475*44/12</f>
        <v>1.3772862706256274E-5</v>
      </c>
      <c r="DI164" s="22">
        <f t="shared" si="175"/>
        <v>65.99068092161491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293.3333333333353</v>
      </c>
      <c r="S165" s="59">
        <f ca="1">AVERAGE(OFFSET($R$3,0,0,'Données projet'!$E$9+1,1))-AVERAGE(OFFSET($H$3,0,0,'Données projet'!$E$9+1,1))</f>
        <v>322.7909000321435</v>
      </c>
      <c r="T165" s="59">
        <f t="shared" si="142"/>
        <v>403.23516981532316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21.816245445482782</v>
      </c>
      <c r="AA165" s="21">
        <f>EXP(-LN(2)/25)*AA164+(1-EXP(-LN(2)/25))/(LN(2)/25)*Calculateur!V165*Calculateur!X165*VLOOKUP('Données projet'!$B$9,Paramètres!$A$1:$I$89,3,0)*0.475*44/12</f>
        <v>3.2636206036523361</v>
      </c>
      <c r="AB165" s="21">
        <f>EXP(-LN(2)/2)*AB164+(1-EXP(-LN(2)/2))/(LN(2)/2)*V165*Y165*VLOOKUP('Données projet'!$B$9,Paramètres!$A$1:$I$89,3,0)*0.475*44/12</f>
        <v>8.5825027131880382E-15</v>
      </c>
      <c r="AC165" s="22">
        <f t="shared" si="163"/>
        <v>25.079866049135124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3.4106051316484809E-13</v>
      </c>
      <c r="AJ165" s="13">
        <f>AI165*VLOOKUP('Données projet'!$B$10,Paramètres!$A$1:$I$89,3,0)*VLOOKUP('Données projet'!$B$10,Paramètres!$A$1:$I$89,5,0)</f>
        <v>1.5961632016114892E-13</v>
      </c>
      <c r="AK165" s="13">
        <f t="shared" si="164"/>
        <v>2.2708641912150958E-12</v>
      </c>
      <c r="AL165" s="20">
        <f t="shared" si="165"/>
        <v>4.2330868906469593E-12</v>
      </c>
      <c r="AM165" s="59">
        <f t="shared" si="113"/>
        <v>293.33333333333752</v>
      </c>
      <c r="AN165" s="59">
        <f ca="1">AVERAGE(OFFSET($AM$3,0,0,'Données projet'!$E$10+1,1))-AVERAGE(OFFSET($H$3,0,0,'Données projet'!$E$10+1,1))</f>
        <v>187.82209112143374</v>
      </c>
      <c r="AO165" s="59">
        <f t="shared" si="144"/>
        <v>158.99136654880203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45.936380604580854</v>
      </c>
      <c r="AV165" s="21">
        <f>EXP(-LN(2)/25)*AV164+(1-EXP(-LN(2)/25))/(LN(2)/25)*Calculateur!AQ165*Calculateur!AS165*VLOOKUP('Données projet'!$B$10,Paramètres!$A$1:$I$89,3,0)*0.475*44/12</f>
        <v>9.6351512380640081</v>
      </c>
      <c r="AW165" s="21">
        <f>EXP(-LN(2)/2)*AW164+(1-EXP(-LN(2)/2))/(LN(2)/2)*AQ165*AT165*VLOOKUP('Données projet'!$B$10,Paramètres!$A$1:$I$89,3,0)*0.475*44/12</f>
        <v>3.3177892746826781E-7</v>
      </c>
      <c r="AX165" s="21">
        <f t="shared" si="166"/>
        <v>55.571532174423787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140.32771978791288</v>
      </c>
      <c r="BJ165" s="59">
        <f t="shared" si="146"/>
        <v>135.76866977947634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2.5985259462015384</v>
      </c>
      <c r="BQ165" s="21">
        <f>EXP(-LN(2)/25)*BQ164+(1-EXP(-LN(2)/25))/(LN(2)/25)*Calculateur!BL165*Calculateur!BN165*VLOOKUP('Données projet'!$B$11,Paramètres!$A$1:$I$89,3,0)*0.475*44/12</f>
        <v>8.6752597150483499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11.273785661249889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7.6783333333333319</v>
      </c>
      <c r="BY165" s="12">
        <f>IF('Données projet'!$A$114&gt;35,BY164+BX165-CG164,IF(A165&lt;'Données projet'!$A$114,$BV$205^A165,IF(A165='Données projet'!$A$114,'Données projet'!$B$114,BY164+BX165-CG164)))</f>
        <v>389.57999999999964</v>
      </c>
      <c r="BZ165" s="13">
        <f>BY165*VLOOKUP('Données projet'!$B$12,Paramètres!$A$1:$I$89,3,0)*VLOOKUP('Données projet'!$B$12,Paramètres!$A$1:$I$89,5,0)</f>
        <v>395.03411999999969</v>
      </c>
      <c r="CA165" s="13">
        <f t="shared" si="170"/>
        <v>90.76917846043375</v>
      </c>
      <c r="CB165" s="20">
        <f t="shared" si="171"/>
        <v>846.10741148525494</v>
      </c>
      <c r="CC165" s="59">
        <f t="shared" si="119"/>
        <v>1139.4407448185882</v>
      </c>
      <c r="CD165" s="59">
        <f ca="1">AVERAGE(OFFSET($CC$3,0,0,'Données projet'!$E$12+1,1))-AVERAGE(OFFSET($H$3,0,0,'Données projet'!$E$12+1,1))</f>
        <v>372.05986520199804</v>
      </c>
      <c r="CE165" s="59">
        <f t="shared" si="148"/>
        <v>184.37981929432044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37.357836462738838</v>
      </c>
      <c r="CL165" s="21">
        <f>EXP(-LN(2)/25)*CL164+(1-EXP(-LN(2)/25))/(LN(2)/25)*Calculateur!CG165*Calculateur!CI165*VLOOKUP('Données projet'!$B$12,Paramètres!$A$1:$I$89,3,0)*0.475*44/12</f>
        <v>19.357919026294898</v>
      </c>
      <c r="CM165" s="21">
        <f>EXP(-LN(2)/2)*CM164+(1-EXP(-LN(2)/2))/(LN(2)/2)*CG165*CJ165*VLOOKUP('Données projet'!$B$12,Paramètres!$A$1:$I$89,3,0)*0.475*44/12</f>
        <v>1.1535820442680004E-2</v>
      </c>
      <c r="CN165" s="22">
        <f t="shared" si="172"/>
        <v>56.727291309476421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9.4880000000000049</v>
      </c>
      <c r="CT165" s="12">
        <f>IF('Données projet'!$A$140&gt;35,CT164+CS165-DB164,IF(A165&lt;'Données projet'!$A$140,$CQ$205^A165,IF(A165='Données projet'!$A$140,'Données projet'!$B$140,CT164+CS165-DB164)))</f>
        <v>561.3440000000013</v>
      </c>
      <c r="CU165" s="17">
        <f>CT165*VLOOKUP('Données projet'!$B$13,Paramètres!$A$1:$I$89,3,0)*VLOOKUP('Données projet'!$B$13,Paramètres!$A$1:$I$89,5,0)</f>
        <v>507.90405120000116</v>
      </c>
      <c r="CV165" s="13">
        <f t="shared" si="173"/>
        <v>113.33935964263163</v>
      </c>
      <c r="CW165" s="20">
        <f t="shared" si="174"/>
        <v>1081.9989405509189</v>
      </c>
      <c r="CX165" s="59">
        <f t="shared" si="122"/>
        <v>1375.3322738842521</v>
      </c>
      <c r="CY165" s="59">
        <f ca="1">AVERAGE(OFFSET($CX$3,0,0,'Données projet'!$E$13+1,1))-AVERAGE(OFFSET($H$3,0,0,'Données projet'!$E$13+1,1))</f>
        <v>479.84731392413374</v>
      </c>
      <c r="CZ165" s="59">
        <f t="shared" si="150"/>
        <v>203.57601099841213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46.210010259983498</v>
      </c>
      <c r="DG165" s="21">
        <f>EXP(-LN(2)/25)*DG164+(1-EXP(-LN(2)/25))/(LN(2)/25)*Calculateur!DB165*Calculateur!DD165*VLOOKUP('Données projet'!$B$13,Paramètres!$A$1:$I$89,3,0)*0.475*44/12</f>
        <v>18.340753546257798</v>
      </c>
      <c r="DH165" s="21">
        <f>EXP(-LN(2)/2)*DH164+(1-EXP(-LN(2)/2))/(LN(2)/2)*DB165*DE165*VLOOKUP('Données projet'!$B$13,Paramètres!$A$1:$I$89,3,0)*0.475*44/12</f>
        <v>9.7388846159451158E-6</v>
      </c>
      <c r="DI165" s="22">
        <f t="shared" si="175"/>
        <v>64.550773545125907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293.3333333333353</v>
      </c>
      <c r="S166" s="59">
        <f ca="1">AVERAGE(OFFSET($R$3,0,0,'Données projet'!$E$9+1,1))-AVERAGE(OFFSET($H$3,0,0,'Données projet'!$E$9+1,1))</f>
        <v>322.7909000321435</v>
      </c>
      <c r="T166" s="59">
        <f t="shared" si="142"/>
        <v>403.23516981532316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21.388442178892667</v>
      </c>
      <c r="AA166" s="21">
        <f>EXP(-LN(2)/25)*AA165+(1-EXP(-LN(2)/25))/(LN(2)/25)*Calculateur!V166*Calculateur!X166*VLOOKUP('Données projet'!$B$9,Paramètres!$A$1:$I$89,3,0)*0.475*44/12</f>
        <v>3.1743767266191143</v>
      </c>
      <c r="AB166" s="21">
        <f>EXP(-LN(2)/2)*AB165+(1-EXP(-LN(2)/2))/(LN(2)/2)*V166*Y166*VLOOKUP('Données projet'!$B$9,Paramètres!$A$1:$I$89,3,0)*0.475*44/12</f>
        <v>6.0687458680472046E-15</v>
      </c>
      <c r="AC166" s="22">
        <f t="shared" si="163"/>
        <v>24.56281890551179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3.4106051316484809E-13</v>
      </c>
      <c r="AJ166" s="13">
        <f>AI166*VLOOKUP('Données projet'!$B$10,Paramètres!$A$1:$I$89,3,0)*VLOOKUP('Données projet'!$B$10,Paramètres!$A$1:$I$89,5,0)</f>
        <v>1.5961632016114892E-13</v>
      </c>
      <c r="AK166" s="13">
        <f t="shared" si="164"/>
        <v>2.2708641912150958E-12</v>
      </c>
      <c r="AL166" s="20">
        <f t="shared" si="165"/>
        <v>4.2330868906469593E-12</v>
      </c>
      <c r="AM166" s="59">
        <f t="shared" si="113"/>
        <v>293.33333333333752</v>
      </c>
      <c r="AN166" s="59">
        <f ca="1">AVERAGE(OFFSET($AM$3,0,0,'Données projet'!$E$10+1,1))-AVERAGE(OFFSET($H$3,0,0,'Données projet'!$E$10+1,1))</f>
        <v>187.82209112143374</v>
      </c>
      <c r="AO166" s="59">
        <f t="shared" si="144"/>
        <v>158.99136654880203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45.0355961993506</v>
      </c>
      <c r="AV166" s="21">
        <f>EXP(-LN(2)/25)*AV165+(1-EXP(-LN(2)/25))/(LN(2)/25)*Calculateur!AQ166*Calculateur!AS166*VLOOKUP('Données projet'!$B$10,Paramètres!$A$1:$I$89,3,0)*0.475*44/12</f>
        <v>9.3716775207685661</v>
      </c>
      <c r="AW166" s="21">
        <f>EXP(-LN(2)/2)*AW165+(1-EXP(-LN(2)/2))/(LN(2)/2)*AQ166*AT166*VLOOKUP('Données projet'!$B$10,Paramètres!$A$1:$I$89,3,0)*0.475*44/12</f>
        <v>2.3460312946761189E-7</v>
      </c>
      <c r="AX166" s="21">
        <f t="shared" si="166"/>
        <v>54.407273954722292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140.32771978791288</v>
      </c>
      <c r="BJ166" s="59">
        <f t="shared" si="146"/>
        <v>135.76866977947634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2.5475704373408532</v>
      </c>
      <c r="BQ166" s="21">
        <f>EXP(-LN(2)/25)*BQ165+(1-EXP(-LN(2)/25))/(LN(2)/25)*Calculateur!BL166*Calculateur!BN166*VLOOKUP('Données projet'!$B$11,Paramètres!$A$1:$I$89,3,0)*0.475*44/12</f>
        <v>8.4380342819282728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10.985604719269126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7.6783333333333319</v>
      </c>
      <c r="BY166" s="12">
        <f>IF('Données projet'!$A$114&gt;35,BY165+BX166-CG165,IF(A166&lt;'Données projet'!$A$114,$BV$205^A166,IF(A166='Données projet'!$A$114,'Données projet'!$B$114,BY165+BX166-CG165)))</f>
        <v>397.25833333333298</v>
      </c>
      <c r="BZ166" s="13">
        <f>BY166*VLOOKUP('Données projet'!$B$12,Paramètres!$A$1:$I$89,3,0)*VLOOKUP('Données projet'!$B$12,Paramètres!$A$1:$I$89,5,0)</f>
        <v>402.81994999999966</v>
      </c>
      <c r="CA166" s="13">
        <f t="shared" si="170"/>
        <v>92.348132849699439</v>
      </c>
      <c r="CB166" s="20">
        <f t="shared" si="171"/>
        <v>862.41774429655925</v>
      </c>
      <c r="CC166" s="59">
        <f t="shared" si="119"/>
        <v>1155.7510776298925</v>
      </c>
      <c r="CD166" s="59">
        <f ca="1">AVERAGE(OFFSET($CC$3,0,0,'Données projet'!$E$12+1,1))-AVERAGE(OFFSET($H$3,0,0,'Données projet'!$E$12+1,1))</f>
        <v>372.05986520199804</v>
      </c>
      <c r="CE166" s="59">
        <f t="shared" si="148"/>
        <v>184.37981929432044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36.625272075734841</v>
      </c>
      <c r="CL166" s="21">
        <f>EXP(-LN(2)/25)*CL165+(1-EXP(-LN(2)/25))/(LN(2)/25)*Calculateur!CG166*Calculateur!CI166*VLOOKUP('Données projet'!$B$12,Paramètres!$A$1:$I$89,3,0)*0.475*44/12</f>
        <v>18.828575712532146</v>
      </c>
      <c r="CM166" s="21">
        <f>EXP(-LN(2)/2)*CM165+(1-EXP(-LN(2)/2))/(LN(2)/2)*CG166*CJ166*VLOOKUP('Données projet'!$B$12,Paramètres!$A$1:$I$89,3,0)*0.475*44/12</f>
        <v>8.1570568615694315E-3</v>
      </c>
      <c r="CN166" s="22">
        <f t="shared" si="172"/>
        <v>55.462004845128554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9.4880000000000049</v>
      </c>
      <c r="CT166" s="12">
        <f>IF('Données projet'!$A$140&gt;35,CT165+CS166-DB165,IF(A166&lt;'Données projet'!$A$140,$CQ$205^A166,IF(A166='Données projet'!$A$140,'Données projet'!$B$140,CT165+CS166-DB165)))</f>
        <v>570.83200000000136</v>
      </c>
      <c r="CU166" s="17">
        <f>CT166*VLOOKUP('Données projet'!$B$13,Paramètres!$A$1:$I$89,3,0)*VLOOKUP('Données projet'!$B$13,Paramètres!$A$1:$I$89,5,0)</f>
        <v>516.48879360000115</v>
      </c>
      <c r="CV166" s="13">
        <f t="shared" si="173"/>
        <v>115.03041290761819</v>
      </c>
      <c r="CW166" s="20">
        <f t="shared" si="174"/>
        <v>1099.8959513341035</v>
      </c>
      <c r="CX166" s="59">
        <f t="shared" si="122"/>
        <v>1393.2292846674368</v>
      </c>
      <c r="CY166" s="59">
        <f ca="1">AVERAGE(OFFSET($CX$3,0,0,'Données projet'!$E$13+1,1))-AVERAGE(OFFSET($H$3,0,0,'Données projet'!$E$13+1,1))</f>
        <v>479.84731392413374</v>
      </c>
      <c r="CZ166" s="59">
        <f t="shared" si="150"/>
        <v>203.57601099841213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45.303860144108413</v>
      </c>
      <c r="DG166" s="21">
        <f>EXP(-LN(2)/25)*DG165+(1-EXP(-LN(2)/25))/(LN(2)/25)*Calculateur!DB166*Calculateur!DD166*VLOOKUP('Données projet'!$B$13,Paramètres!$A$1:$I$89,3,0)*0.475*44/12</f>
        <v>17.839224676037066</v>
      </c>
      <c r="DH166" s="21">
        <f>EXP(-LN(2)/2)*DH165+(1-EXP(-LN(2)/2))/(LN(2)/2)*DB166*DE166*VLOOKUP('Données projet'!$B$13,Paramètres!$A$1:$I$89,3,0)*0.475*44/12</f>
        <v>6.886431353128137E-6</v>
      </c>
      <c r="DI166" s="22">
        <f t="shared" si="175"/>
        <v>63.143091706576826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293.3333333333353</v>
      </c>
      <c r="S167" s="59">
        <f ca="1">AVERAGE(OFFSET($R$3,0,0,'Données projet'!$E$9+1,1))-AVERAGE(OFFSET($H$3,0,0,'Données projet'!$E$9+1,1))</f>
        <v>322.7909000321435</v>
      </c>
      <c r="T167" s="59">
        <f t="shared" si="142"/>
        <v>403.23516981532316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20.96902787342616</v>
      </c>
      <c r="AA167" s="21">
        <f>EXP(-LN(2)/25)*AA166+(1-EXP(-LN(2)/25))/(LN(2)/25)*Calculateur!V167*Calculateur!X167*VLOOKUP('Données projet'!$B$9,Paramètres!$A$1:$I$89,3,0)*0.475*44/12</f>
        <v>3.0875732280964976</v>
      </c>
      <c r="AB167" s="21">
        <f>EXP(-LN(2)/2)*AB166+(1-EXP(-LN(2)/2))/(LN(2)/2)*V167*Y167*VLOOKUP('Données projet'!$B$9,Paramètres!$A$1:$I$89,3,0)*0.475*44/12</f>
        <v>4.2912513565940191E-15</v>
      </c>
      <c r="AC167" s="22">
        <f t="shared" si="163"/>
        <v>24.056601101522663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3.4106051316484809E-13</v>
      </c>
      <c r="AJ167" s="13">
        <f>AI167*VLOOKUP('Données projet'!$B$10,Paramètres!$A$1:$I$89,3,0)*VLOOKUP('Données projet'!$B$10,Paramètres!$A$1:$I$89,5,0)</f>
        <v>1.5961632016114892E-13</v>
      </c>
      <c r="AK167" s="13">
        <f t="shared" si="164"/>
        <v>2.2708641912150958E-12</v>
      </c>
      <c r="AL167" s="20">
        <f t="shared" si="165"/>
        <v>4.2330868906469593E-12</v>
      </c>
      <c r="AM167" s="59">
        <f t="shared" si="113"/>
        <v>293.33333333333752</v>
      </c>
      <c r="AN167" s="59">
        <f ca="1">AVERAGE(OFFSET($AM$3,0,0,'Données projet'!$E$10+1,1))-AVERAGE(OFFSET($H$3,0,0,'Données projet'!$E$10+1,1))</f>
        <v>187.82209112143374</v>
      </c>
      <c r="AO167" s="59">
        <f t="shared" si="144"/>
        <v>158.99136654880203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44.152475626882676</v>
      </c>
      <c r="AV167" s="21">
        <f>EXP(-LN(2)/25)*AV166+(1-EXP(-LN(2)/25))/(LN(2)/25)*Calculateur!AQ167*Calculateur!AS167*VLOOKUP('Données projet'!$B$10,Paramètres!$A$1:$I$89,3,0)*0.475*44/12</f>
        <v>9.1154085061280483</v>
      </c>
      <c r="AW167" s="21">
        <f>EXP(-LN(2)/2)*AW166+(1-EXP(-LN(2)/2))/(LN(2)/2)*AQ167*AT167*VLOOKUP('Données projet'!$B$10,Paramètres!$A$1:$I$89,3,0)*0.475*44/12</f>
        <v>1.6588946373413393E-7</v>
      </c>
      <c r="AX167" s="21">
        <f t="shared" si="166"/>
        <v>53.267884298900185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140.32771978791288</v>
      </c>
      <c r="BJ167" s="59">
        <f t="shared" si="146"/>
        <v>135.76866977947634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2.4976141349291345</v>
      </c>
      <c r="BQ167" s="21">
        <f>EXP(-LN(2)/25)*BQ166+(1-EXP(-LN(2)/25))/(LN(2)/25)*Calculateur!BL167*Calculateur!BN167*VLOOKUP('Données projet'!$B$11,Paramètres!$A$1:$I$89,3,0)*0.475*44/12</f>
        <v>8.2072957907520063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10.704909925681141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7.6783333333333319</v>
      </c>
      <c r="BY167" s="12">
        <f>IF('Données projet'!$A$114&gt;35,BY166+BX167-CG166,IF(A167&lt;'Données projet'!$A$114,$BV$205^A167,IF(A167='Données projet'!$A$114,'Données projet'!$B$114,BY166+BX167-CG166)))</f>
        <v>404.93666666666633</v>
      </c>
      <c r="BZ167" s="13">
        <f>BY167*VLOOKUP('Données projet'!$B$12,Paramètres!$A$1:$I$89,3,0)*VLOOKUP('Données projet'!$B$12,Paramètres!$A$1:$I$89,5,0)</f>
        <v>410.6057799999997</v>
      </c>
      <c r="CA167" s="13">
        <f t="shared" si="170"/>
        <v>93.923538642241823</v>
      </c>
      <c r="CB167" s="20">
        <f t="shared" si="171"/>
        <v>878.72189663523716</v>
      </c>
      <c r="CC167" s="59">
        <f t="shared" si="119"/>
        <v>1172.0552299685705</v>
      </c>
      <c r="CD167" s="59">
        <f ca="1">AVERAGE(OFFSET($CC$3,0,0,'Données projet'!$E$12+1,1))-AVERAGE(OFFSET($H$3,0,0,'Données projet'!$E$12+1,1))</f>
        <v>372.05986520199804</v>
      </c>
      <c r="CE167" s="59">
        <f t="shared" si="148"/>
        <v>184.37981929432044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35.907072829539835</v>
      </c>
      <c r="CL167" s="21">
        <f>EXP(-LN(2)/25)*CL166+(1-EXP(-LN(2)/25))/(LN(2)/25)*Calculateur!CG167*Calculateur!CI167*VLOOKUP('Données projet'!$B$12,Paramètres!$A$1:$I$89,3,0)*0.475*44/12</f>
        <v>18.313707319521193</v>
      </c>
      <c r="CM167" s="21">
        <f>EXP(-LN(2)/2)*CM166+(1-EXP(-LN(2)/2))/(LN(2)/2)*CG167*CJ167*VLOOKUP('Données projet'!$B$12,Paramètres!$A$1:$I$89,3,0)*0.475*44/12</f>
        <v>5.7679102213400021E-3</v>
      </c>
      <c r="CN167" s="22">
        <f t="shared" si="172"/>
        <v>54.226548059282365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580.32000000000005</v>
      </c>
      <c r="CR167" s="12">
        <f>VLOOKUP(A167,'Données projet'!$A$139:$I$159,9,0)</f>
        <v>9.4880000000000049</v>
      </c>
      <c r="CS167" s="12">
        <f t="array" ref="CS167">INDEX(CR:CR,MIN(IF(ISNUMBER(CR167:CR363),ROW(CR167:CR363),"")))</f>
        <v>9.4880000000000049</v>
      </c>
      <c r="CT167" s="12">
        <f>IF('Données projet'!$A$140&gt;35,CT166+CS167-DB166,IF(A167&lt;'Données projet'!$A$140,$CQ$205^A167,IF(A167='Données projet'!$A$140,'Données projet'!$B$140,CT166+CS167-DB166)))</f>
        <v>580.32000000000141</v>
      </c>
      <c r="CU167" s="17">
        <f>CT167*VLOOKUP('Données projet'!$B$13,Paramètres!$A$1:$I$89,3,0)*VLOOKUP('Données projet'!$B$13,Paramètres!$A$1:$I$89,5,0)</f>
        <v>525.07353600000124</v>
      </c>
      <c r="CV167" s="13">
        <f t="shared" si="173"/>
        <v>116.71819745258949</v>
      </c>
      <c r="CW167" s="20">
        <f t="shared" si="174"/>
        <v>1117.7872690965953</v>
      </c>
      <c r="CX167" s="59">
        <f t="shared" si="122"/>
        <v>1411.1206024299286</v>
      </c>
      <c r="CY167" s="59">
        <f ca="1">AVERAGE(OFFSET($CX$3,0,0,'Données projet'!$E$13+1,1))-AVERAGE(OFFSET($H$3,0,0,'Données projet'!$E$13+1,1))</f>
        <v>479.84731392413374</v>
      </c>
      <c r="CZ167" s="59">
        <f t="shared" si="150"/>
        <v>203.57601099841213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66.020000000000095</v>
      </c>
      <c r="DC167" s="16">
        <f>IF(ISNA(VLOOKUP(A167,'Données projet'!$A$139:$I$159,5,0)),0%,VLOOKUP(A167,'Données projet'!$A$139:$I$159,5,0)*VLOOKUP('Données projet'!$B$13,Paramètres!$A$1:$I$89,7,0))</f>
        <v>0.215</v>
      </c>
      <c r="DD167" s="16">
        <f>IF(ISNA(VLOOKUP(A167,'Données projet'!$A$139:$I$159,6,0)),0%,VLOOKUP(A167,'Données projet'!$A$139:$I$159,6,0)*VLOOKUP('Données projet'!$B$13,Paramètres!$A$1:$I$89,7,0))</f>
        <v>8.6000000000000007E-2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58.613038082092139</v>
      </c>
      <c r="DG167" s="21">
        <f>EXP(-LN(2)/25)*DG166+(1-EXP(-LN(2)/25))/(LN(2)/25)*Calculateur!DB167*Calculateur!DD167*VLOOKUP('Données projet'!$B$13,Paramètres!$A$1:$I$89,3,0)*0.475*44/12</f>
        <v>23.008073260464958</v>
      </c>
      <c r="DH167" s="21">
        <f>EXP(-LN(2)/2)*DH166+(1-EXP(-LN(2)/2))/(LN(2)/2)*DB167*DE167*VLOOKUP('Données projet'!$B$13,Paramètres!$A$1:$I$89,3,0)*0.475*44/12</f>
        <v>4.8694423079725579E-6</v>
      </c>
      <c r="DI167" s="22">
        <f t="shared" si="175"/>
        <v>81.621116211999407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293.3333333333353</v>
      </c>
      <c r="S168" s="59">
        <f ca="1">AVERAGE(OFFSET($R$3,0,0,'Données projet'!$E$9+1,1))-AVERAGE(OFFSET($H$3,0,0,'Données projet'!$E$9+1,1))</f>
        <v>322.7909000321435</v>
      </c>
      <c r="T168" s="59">
        <f t="shared" si="142"/>
        <v>403.23516981532316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20.557838026672385</v>
      </c>
      <c r="AA168" s="21">
        <f>EXP(-LN(2)/25)*AA167+(1-EXP(-LN(2)/25))/(LN(2)/25)*Calculateur!V168*Calculateur!X168*VLOOKUP('Données projet'!$B$9,Paramètres!$A$1:$I$89,3,0)*0.475*44/12</f>
        <v>3.0031433758057795</v>
      </c>
      <c r="AB168" s="21">
        <f>EXP(-LN(2)/2)*AB167+(1-EXP(-LN(2)/2))/(LN(2)/2)*V168*Y168*VLOOKUP('Données projet'!$B$9,Paramètres!$A$1:$I$89,3,0)*0.475*44/12</f>
        <v>3.0343729340236023E-15</v>
      </c>
      <c r="AC168" s="22">
        <f t="shared" si="163"/>
        <v>23.56098140247817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3.4106051316484809E-13</v>
      </c>
      <c r="AJ168" s="13">
        <f>AI168*VLOOKUP('Données projet'!$B$10,Paramètres!$A$1:$I$89,3,0)*VLOOKUP('Données projet'!$B$10,Paramètres!$A$1:$I$89,5,0)</f>
        <v>1.5961632016114892E-13</v>
      </c>
      <c r="AK168" s="13">
        <f t="shared" si="164"/>
        <v>2.2708641912150958E-12</v>
      </c>
      <c r="AL168" s="20">
        <f t="shared" si="165"/>
        <v>4.2330868906469593E-12</v>
      </c>
      <c r="AM168" s="59">
        <f t="shared" si="113"/>
        <v>293.33333333333752</v>
      </c>
      <c r="AN168" s="59">
        <f ca="1">AVERAGE(OFFSET($AM$3,0,0,'Données projet'!$E$10+1,1))-AVERAGE(OFFSET($H$3,0,0,'Données projet'!$E$10+1,1))</f>
        <v>187.82209112143374</v>
      </c>
      <c r="AO168" s="59">
        <f t="shared" si="144"/>
        <v>158.99136654880203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43.286672510190485</v>
      </c>
      <c r="AV168" s="21">
        <f>EXP(-LN(2)/25)*AV167+(1-EXP(-LN(2)/25))/(LN(2)/25)*Calculateur!AQ168*Calculateur!AS168*VLOOKUP('Données projet'!$B$10,Paramètres!$A$1:$I$89,3,0)*0.475*44/12</f>
        <v>8.8661471811694774</v>
      </c>
      <c r="AW168" s="21">
        <f>EXP(-LN(2)/2)*AW167+(1-EXP(-LN(2)/2))/(LN(2)/2)*AQ168*AT168*VLOOKUP('Données projet'!$B$10,Paramètres!$A$1:$I$89,3,0)*0.475*44/12</f>
        <v>1.1730156473380596E-7</v>
      </c>
      <c r="AX168" s="21">
        <f t="shared" si="166"/>
        <v>52.152819808661533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140.32771978791288</v>
      </c>
      <c r="BJ168" s="59">
        <f t="shared" si="146"/>
        <v>135.76866977947634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2.4486374451373738</v>
      </c>
      <c r="BQ168" s="21">
        <f>EXP(-LN(2)/25)*BQ167+(1-EXP(-LN(2)/25))/(LN(2)/25)*Calculateur!BL168*Calculateur!BN168*VLOOKUP('Données projet'!$B$11,Paramètres!$A$1:$I$89,3,0)*0.475*44/12</f>
        <v>7.9828668557509648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10.431504300888339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7.6783333333333319</v>
      </c>
      <c r="BY168" s="12">
        <f>IF('Données projet'!$A$114&gt;35,BY167+BX168-CG167,IF(A168&lt;'Données projet'!$A$114,$BV$205^A168,IF(A168='Données projet'!$A$114,'Données projet'!$B$114,BY167+BX168-CG167)))</f>
        <v>412.61499999999967</v>
      </c>
      <c r="BZ168" s="13">
        <f>BY168*VLOOKUP('Données projet'!$B$12,Paramètres!$A$1:$I$89,3,0)*VLOOKUP('Données projet'!$B$12,Paramètres!$A$1:$I$89,5,0)</f>
        <v>418.39160999999967</v>
      </c>
      <c r="CA168" s="13">
        <f t="shared" si="170"/>
        <v>95.495470884423355</v>
      </c>
      <c r="CB168" s="20">
        <f t="shared" si="171"/>
        <v>895.0199992070369</v>
      </c>
      <c r="CC168" s="59">
        <f t="shared" si="119"/>
        <v>1188.3533325403703</v>
      </c>
      <c r="CD168" s="59">
        <f ca="1">AVERAGE(OFFSET($CC$3,0,0,'Données projet'!$E$12+1,1))-AVERAGE(OFFSET($H$3,0,0,'Données projet'!$E$12+1,1))</f>
        <v>372.05986520199804</v>
      </c>
      <c r="CE168" s="59">
        <f t="shared" si="148"/>
        <v>184.37981929432044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35.202957032504429</v>
      </c>
      <c r="CL168" s="21">
        <f>EXP(-LN(2)/25)*CL167+(1-EXP(-LN(2)/25))/(LN(2)/25)*Calculateur!CG168*Calculateur!CI168*VLOOKUP('Données projet'!$B$12,Paramètres!$A$1:$I$89,3,0)*0.475*44/12</f>
        <v>17.812918029792876</v>
      </c>
      <c r="CM168" s="21">
        <f>EXP(-LN(2)/2)*CM167+(1-EXP(-LN(2)/2))/(LN(2)/2)*CG168*CJ168*VLOOKUP('Données projet'!$B$12,Paramètres!$A$1:$I$89,3,0)*0.475*44/12</f>
        <v>4.0785284307847157E-3</v>
      </c>
      <c r="CN168" s="22">
        <f t="shared" si="172"/>
        <v>53.019953590728086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9.6220000000000034</v>
      </c>
      <c r="CT168" s="12">
        <f>IF('Données projet'!$A$140&gt;35,CT167+CS168-DB167,IF(A168&lt;'Données projet'!$A$140,$CQ$205^A168,IF(A168='Données projet'!$A$140,'Données projet'!$B$140,CT167+CS168-DB167)))</f>
        <v>523.92200000000128</v>
      </c>
      <c r="CU168" s="17">
        <f>CT168*VLOOKUP('Données projet'!$B$13,Paramètres!$A$1:$I$89,3,0)*VLOOKUP('Données projet'!$B$13,Paramètres!$A$1:$I$89,5,0)</f>
        <v>474.04462560000115</v>
      </c>
      <c r="CV168" s="13">
        <f t="shared" si="173"/>
        <v>106.63651269520395</v>
      </c>
      <c r="CW168" s="20">
        <f t="shared" si="174"/>
        <v>1011.3529825308154</v>
      </c>
      <c r="CX168" s="59">
        <f t="shared" si="122"/>
        <v>1304.6863158641488</v>
      </c>
      <c r="CY168" s="59">
        <f ca="1">AVERAGE(OFFSET($CX$3,0,0,'Données projet'!$E$13+1,1))-AVERAGE(OFFSET($H$3,0,0,'Données projet'!$E$13+1,1))</f>
        <v>479.84731392413374</v>
      </c>
      <c r="CZ168" s="59">
        <f t="shared" si="150"/>
        <v>203.57601099841213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57.463672155725483</v>
      </c>
      <c r="DG168" s="21">
        <f>EXP(-LN(2)/25)*DG167+(1-EXP(-LN(2)/25))/(LN(2)/25)*Calculateur!DB168*Calculateur!DD168*VLOOKUP('Données projet'!$B$13,Paramètres!$A$1:$I$89,3,0)*0.475*44/12</f>
        <v>22.378916287215556</v>
      </c>
      <c r="DH168" s="21">
        <f>EXP(-LN(2)/2)*DH167+(1-EXP(-LN(2)/2))/(LN(2)/2)*DB168*DE168*VLOOKUP('Données projet'!$B$13,Paramètres!$A$1:$I$89,3,0)*0.475*44/12</f>
        <v>3.4432156765640685E-6</v>
      </c>
      <c r="DI168" s="22">
        <f t="shared" si="175"/>
        <v>79.842591886156711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293.3333333333353</v>
      </c>
      <c r="S169" s="59">
        <f ca="1">AVERAGE(OFFSET($R$3,0,0,'Données projet'!$E$9+1,1))-AVERAGE(OFFSET($H$3,0,0,'Données projet'!$E$9+1,1))</f>
        <v>322.7909000321435</v>
      </c>
      <c r="T169" s="59">
        <f t="shared" si="142"/>
        <v>403.23516981532316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20.15471136201241</v>
      </c>
      <c r="AA169" s="21">
        <f>EXP(-LN(2)/25)*AA168+(1-EXP(-LN(2)/25))/(LN(2)/25)*Calculateur!V169*Calculateur!X169*VLOOKUP('Données projet'!$B$9,Paramètres!$A$1:$I$89,3,0)*0.475*44/12</f>
        <v>2.9210222622659243</v>
      </c>
      <c r="AB169" s="21">
        <f>EXP(-LN(2)/2)*AB168+(1-EXP(-LN(2)/2))/(LN(2)/2)*V169*Y169*VLOOKUP('Données projet'!$B$9,Paramètres!$A$1:$I$89,3,0)*0.475*44/12</f>
        <v>2.1456256782970096E-15</v>
      </c>
      <c r="AC169" s="22">
        <f t="shared" si="163"/>
        <v>23.075733624278339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3.4106051316484809E-13</v>
      </c>
      <c r="AJ169" s="13">
        <f>AI169*VLOOKUP('Données projet'!$B$10,Paramètres!$A$1:$I$89,3,0)*VLOOKUP('Données projet'!$B$10,Paramètres!$A$1:$I$89,5,0)</f>
        <v>1.5961632016114892E-13</v>
      </c>
      <c r="AK169" s="13">
        <f t="shared" si="164"/>
        <v>2.2708641912150958E-12</v>
      </c>
      <c r="AL169" s="20">
        <f t="shared" si="165"/>
        <v>4.2330868906469593E-12</v>
      </c>
      <c r="AM169" s="59">
        <f t="shared" si="113"/>
        <v>293.33333333333752</v>
      </c>
      <c r="AN169" s="59">
        <f ca="1">AVERAGE(OFFSET($AM$3,0,0,'Données projet'!$E$10+1,1))-AVERAGE(OFFSET($H$3,0,0,'Données projet'!$E$10+1,1))</f>
        <v>187.82209112143374</v>
      </c>
      <c r="AO169" s="59">
        <f t="shared" si="144"/>
        <v>158.99136654880203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42.437847264528877</v>
      </c>
      <c r="AV169" s="21">
        <f>EXP(-LN(2)/25)*AV168+(1-EXP(-LN(2)/25))/(LN(2)/25)*Calculateur!AQ169*Calculateur!AS169*VLOOKUP('Données projet'!$B$10,Paramètres!$A$1:$I$89,3,0)*0.475*44/12</f>
        <v>8.6237019202499816</v>
      </c>
      <c r="AW169" s="21">
        <f>EXP(-LN(2)/2)*AW168+(1-EXP(-LN(2)/2))/(LN(2)/2)*AQ169*AT169*VLOOKUP('Données projet'!$B$10,Paramètres!$A$1:$I$89,3,0)*0.475*44/12</f>
        <v>8.294473186706698E-8</v>
      </c>
      <c r="AX169" s="21">
        <f t="shared" si="166"/>
        <v>51.061549267723585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140.32771978791288</v>
      </c>
      <c r="BJ169" s="59">
        <f t="shared" si="146"/>
        <v>135.76866977947634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2.4006211583595984</v>
      </c>
      <c r="BQ169" s="21">
        <f>EXP(-LN(2)/25)*BQ168+(1-EXP(-LN(2)/25))/(LN(2)/25)*Calculateur!BL169*Calculateur!BN169*VLOOKUP('Données projet'!$B$11,Paramètres!$A$1:$I$89,3,0)*0.475*44/12</f>
        <v>7.7645749417797321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10.16519610013933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7.6783333333333319</v>
      </c>
      <c r="BY169" s="12">
        <f>IF('Données projet'!$A$114&gt;35,BY168+BX169-CG168,IF(A169&lt;'Données projet'!$A$114,$BV$205^A169,IF(A169='Données projet'!$A$114,'Données projet'!$B$114,BY168+BX169-CG168)))</f>
        <v>420.29333333333301</v>
      </c>
      <c r="BZ169" s="13">
        <f>BY169*VLOOKUP('Données projet'!$B$12,Paramètres!$A$1:$I$89,3,0)*VLOOKUP('Données projet'!$B$12,Paramètres!$A$1:$I$89,5,0)</f>
        <v>426.17743999999971</v>
      </c>
      <c r="CA169" s="13">
        <f t="shared" si="170"/>
        <v>97.064001669669764</v>
      </c>
      <c r="CB169" s="20">
        <f t="shared" si="171"/>
        <v>911.31217757467437</v>
      </c>
      <c r="CC169" s="59">
        <f t="shared" si="119"/>
        <v>1204.6455109080077</v>
      </c>
      <c r="CD169" s="59">
        <f ca="1">AVERAGE(OFFSET($CC$3,0,0,'Données projet'!$E$12+1,1))-AVERAGE(OFFSET($H$3,0,0,'Données projet'!$E$12+1,1))</f>
        <v>372.05986520199804</v>
      </c>
      <c r="CE169" s="59">
        <f t="shared" si="148"/>
        <v>184.37981929432044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34.512648516780658</v>
      </c>
      <c r="CL169" s="21">
        <f>EXP(-LN(2)/25)*CL168+(1-EXP(-LN(2)/25))/(LN(2)/25)*Calculateur!CG169*Calculateur!CI169*VLOOKUP('Données projet'!$B$12,Paramètres!$A$1:$I$89,3,0)*0.475*44/12</f>
        <v>17.32582284952754</v>
      </c>
      <c r="CM169" s="21">
        <f>EXP(-LN(2)/2)*CM168+(1-EXP(-LN(2)/2))/(LN(2)/2)*CG169*CJ169*VLOOKUP('Données projet'!$B$12,Paramètres!$A$1:$I$89,3,0)*0.475*44/12</f>
        <v>2.8839551106700011E-3</v>
      </c>
      <c r="CN169" s="22">
        <f t="shared" si="172"/>
        <v>51.841355321418867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9.6220000000000034</v>
      </c>
      <c r="CT169" s="12">
        <f>IF('Données projet'!$A$140&gt;35,CT168+CS169-DB168,IF(A169&lt;'Données projet'!$A$140,$CQ$205^A169,IF(A169='Données projet'!$A$140,'Données projet'!$B$140,CT168+CS169-DB168)))</f>
        <v>533.54400000000123</v>
      </c>
      <c r="CU169" s="17">
        <f>CT169*VLOOKUP('Données projet'!$B$13,Paramètres!$A$1:$I$89,3,0)*VLOOKUP('Données projet'!$B$13,Paramètres!$A$1:$I$89,5,0)</f>
        <v>482.75061120000112</v>
      </c>
      <c r="CV169" s="13">
        <f t="shared" si="173"/>
        <v>108.36513078962237</v>
      </c>
      <c r="CW169" s="20">
        <f t="shared" si="174"/>
        <v>1029.5265839652609</v>
      </c>
      <c r="CX169" s="59">
        <f t="shared" si="122"/>
        <v>1322.8599172985942</v>
      </c>
      <c r="CY169" s="59">
        <f ca="1">AVERAGE(OFFSET($CX$3,0,0,'Données projet'!$E$13+1,1))-AVERAGE(OFFSET($H$3,0,0,'Données projet'!$E$13+1,1))</f>
        <v>479.84731392413374</v>
      </c>
      <c r="CZ169" s="59">
        <f t="shared" si="150"/>
        <v>203.57601099841213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56.336844594130881</v>
      </c>
      <c r="DG169" s="21">
        <f>EXP(-LN(2)/25)*DG168+(1-EXP(-LN(2)/25))/(LN(2)/25)*Calculateur!DB169*Calculateur!DD169*VLOOKUP('Données projet'!$B$13,Paramètres!$A$1:$I$89,3,0)*0.475*44/12</f>
        <v>21.766963644485589</v>
      </c>
      <c r="DH169" s="21">
        <f>EXP(-LN(2)/2)*DH168+(1-EXP(-LN(2)/2))/(LN(2)/2)*DB169*DE169*VLOOKUP('Données projet'!$B$13,Paramètres!$A$1:$I$89,3,0)*0.475*44/12</f>
        <v>2.434721153986279E-6</v>
      </c>
      <c r="DI169" s="22">
        <f t="shared" si="175"/>
        <v>78.10381067333762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293.3333333333353</v>
      </c>
      <c r="S170" s="59">
        <f ca="1">AVERAGE(OFFSET($R$3,0,0,'Données projet'!$E$9+1,1))-AVERAGE(OFFSET($H$3,0,0,'Données projet'!$E$9+1,1))</f>
        <v>322.7909000321435</v>
      </c>
      <c r="T170" s="59">
        <f t="shared" si="142"/>
        <v>403.23516981532316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19.75948976536343</v>
      </c>
      <c r="AA170" s="21">
        <f>EXP(-LN(2)/25)*AA169+(1-EXP(-LN(2)/25))/(LN(2)/25)*Calculateur!V170*Calculateur!X170*VLOOKUP('Données projet'!$B$9,Paramètres!$A$1:$I$89,3,0)*0.475*44/12</f>
        <v>2.8411467548943778</v>
      </c>
      <c r="AB170" s="21">
        <f>EXP(-LN(2)/2)*AB169+(1-EXP(-LN(2)/2))/(LN(2)/2)*V170*Y170*VLOOKUP('Données projet'!$B$9,Paramètres!$A$1:$I$89,3,0)*0.475*44/12</f>
        <v>1.5171864670118012E-15</v>
      </c>
      <c r="AC170" s="22">
        <f t="shared" si="163"/>
        <v>22.600636520257808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3.4106051316484809E-13</v>
      </c>
      <c r="AJ170" s="13">
        <f>AI170*VLOOKUP('Données projet'!$B$10,Paramètres!$A$1:$I$89,3,0)*VLOOKUP('Données projet'!$B$10,Paramètres!$A$1:$I$89,5,0)</f>
        <v>1.5961632016114892E-13</v>
      </c>
      <c r="AK170" s="13">
        <f t="shared" si="164"/>
        <v>2.2708641912150958E-12</v>
      </c>
      <c r="AL170" s="20">
        <f t="shared" si="165"/>
        <v>4.2330868906469593E-12</v>
      </c>
      <c r="AM170" s="59">
        <f t="shared" si="113"/>
        <v>293.33333333333752</v>
      </c>
      <c r="AN170" s="59">
        <f ca="1">AVERAGE(OFFSET($AM$3,0,0,'Données projet'!$E$10+1,1))-AVERAGE(OFFSET($H$3,0,0,'Données projet'!$E$10+1,1))</f>
        <v>187.82209112143374</v>
      </c>
      <c r="AO170" s="59">
        <f t="shared" si="144"/>
        <v>158.99136654880203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41.605666964202413</v>
      </c>
      <c r="AV170" s="21">
        <f>EXP(-LN(2)/25)*AV169+(1-EXP(-LN(2)/25))/(LN(2)/25)*Calculateur!AQ170*Calculateur!AS170*VLOOKUP('Données projet'!$B$10,Paramètres!$A$1:$I$89,3,0)*0.475*44/12</f>
        <v>8.3878863377399711</v>
      </c>
      <c r="AW170" s="21">
        <f>EXP(-LN(2)/2)*AW169+(1-EXP(-LN(2)/2))/(LN(2)/2)*AQ170*AT170*VLOOKUP('Données projet'!$B$10,Paramètres!$A$1:$I$89,3,0)*0.475*44/12</f>
        <v>5.8650782366902992E-8</v>
      </c>
      <c r="AX170" s="21">
        <f t="shared" si="166"/>
        <v>49.993553360593168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140.32771978791288</v>
      </c>
      <c r="BJ170" s="59">
        <f t="shared" si="146"/>
        <v>135.76866977947634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2.3535464416784921</v>
      </c>
      <c r="BQ170" s="21">
        <f>EXP(-LN(2)/25)*BQ169+(1-EXP(-LN(2)/25))/(LN(2)/25)*Calculateur!BL170*Calculateur!BN170*VLOOKUP('Données projet'!$B$11,Paramètres!$A$1:$I$89,3,0)*0.475*44/12</f>
        <v>7.5522522316755154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9.905798673354008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7.6783333333333319</v>
      </c>
      <c r="BY170" s="12">
        <f>IF('Données projet'!$A$114&gt;35,BY169+BX170-CG169,IF(A170&lt;'Données projet'!$A$114,$BV$205^A170,IF(A170='Données projet'!$A$114,'Données projet'!$B$114,BY169+BX170-CG169)))</f>
        <v>427.97166666666635</v>
      </c>
      <c r="BZ170" s="13">
        <f>BY170*VLOOKUP('Données projet'!$B$12,Paramètres!$A$1:$I$89,3,0)*VLOOKUP('Données projet'!$B$12,Paramètres!$A$1:$I$89,5,0)</f>
        <v>433.96326999999974</v>
      </c>
      <c r="CA170" s="13">
        <f t="shared" si="170"/>
        <v>98.629200306449263</v>
      </c>
      <c r="CB170" s="20">
        <f t="shared" si="171"/>
        <v>927.59855245039887</v>
      </c>
      <c r="CC170" s="59">
        <f t="shared" si="119"/>
        <v>1220.9318857837322</v>
      </c>
      <c r="CD170" s="59">
        <f ca="1">AVERAGE(OFFSET($CC$3,0,0,'Données projet'!$E$12+1,1))-AVERAGE(OFFSET($H$3,0,0,'Données projet'!$E$12+1,1))</f>
        <v>372.05986520199804</v>
      </c>
      <c r="CE170" s="59">
        <f t="shared" si="148"/>
        <v>184.37981929432044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33.83587653000361</v>
      </c>
      <c r="CL170" s="21">
        <f>EXP(-LN(2)/25)*CL169+(1-EXP(-LN(2)/25))/(LN(2)/25)*Calculateur!CG170*Calculateur!CI170*VLOOKUP('Données projet'!$B$12,Paramètres!$A$1:$I$89,3,0)*0.475*44/12</f>
        <v>16.852047312581785</v>
      </c>
      <c r="CM170" s="21">
        <f>EXP(-LN(2)/2)*CM169+(1-EXP(-LN(2)/2))/(LN(2)/2)*CG170*CJ170*VLOOKUP('Données projet'!$B$12,Paramètres!$A$1:$I$89,3,0)*0.475*44/12</f>
        <v>2.0392642153923579E-3</v>
      </c>
      <c r="CN170" s="22">
        <f t="shared" si="172"/>
        <v>50.689963106800782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9.6220000000000034</v>
      </c>
      <c r="CT170" s="12">
        <f>IF('Données projet'!$A$140&gt;35,CT169+CS170-DB169,IF(A170&lt;'Données projet'!$A$140,$CQ$205^A170,IF(A170='Données projet'!$A$140,'Données projet'!$B$140,CT169+CS170-DB169)))</f>
        <v>543.16600000000119</v>
      </c>
      <c r="CU170" s="17">
        <f>CT170*VLOOKUP('Données projet'!$B$13,Paramètres!$A$1:$I$89,3,0)*VLOOKUP('Données projet'!$B$13,Paramètres!$A$1:$I$89,5,0)</f>
        <v>491.45659680000102</v>
      </c>
      <c r="CV170" s="13">
        <f t="shared" si="173"/>
        <v>110.09012381497753</v>
      </c>
      <c r="CW170" s="20">
        <f t="shared" si="174"/>
        <v>1047.6938717377543</v>
      </c>
      <c r="CX170" s="59">
        <f t="shared" si="122"/>
        <v>1341.0272050710876</v>
      </c>
      <c r="CY170" s="59">
        <f ca="1">AVERAGE(OFFSET($CX$3,0,0,'Données projet'!$E$13+1,1))-AVERAGE(OFFSET($H$3,0,0,'Données projet'!$E$13+1,1))</f>
        <v>479.84731392413374</v>
      </c>
      <c r="CZ170" s="59">
        <f t="shared" si="150"/>
        <v>203.57601099841213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55.232113433722205</v>
      </c>
      <c r="DG170" s="21">
        <f>EXP(-LN(2)/25)*DG169+(1-EXP(-LN(2)/25))/(LN(2)/25)*Calculateur!DB170*Calculateur!DD170*VLOOKUP('Données projet'!$B$13,Paramètres!$A$1:$I$89,3,0)*0.475*44/12</f>
        <v>21.171744878952261</v>
      </c>
      <c r="DH170" s="21">
        <f>EXP(-LN(2)/2)*DH169+(1-EXP(-LN(2)/2))/(LN(2)/2)*DB170*DE170*VLOOKUP('Données projet'!$B$13,Paramètres!$A$1:$I$89,3,0)*0.475*44/12</f>
        <v>1.7216078382820342E-6</v>
      </c>
      <c r="DI170" s="22">
        <f t="shared" si="175"/>
        <v>76.403860034282303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293.3333333333353</v>
      </c>
      <c r="S171" s="59">
        <f ca="1">AVERAGE(OFFSET($R$3,0,0,'Données projet'!$E$9+1,1))-AVERAGE(OFFSET($H$3,0,0,'Données projet'!$E$9+1,1))</f>
        <v>322.7909000321435</v>
      </c>
      <c r="T171" s="59">
        <f t="shared" si="142"/>
        <v>403.23516981532316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19.372018223163362</v>
      </c>
      <c r="AA171" s="21">
        <f>EXP(-LN(2)/25)*AA170+(1-EXP(-LN(2)/25))/(LN(2)/25)*Calculateur!V171*Calculateur!X171*VLOOKUP('Données projet'!$B$9,Paramètres!$A$1:$I$89,3,0)*0.475*44/12</f>
        <v>2.7634554474723769</v>
      </c>
      <c r="AB171" s="21">
        <f>EXP(-LN(2)/2)*AB170+(1-EXP(-LN(2)/2))/(LN(2)/2)*V171*Y171*VLOOKUP('Données projet'!$B$9,Paramètres!$A$1:$I$89,3,0)*0.475*44/12</f>
        <v>1.0728128391485048E-15</v>
      </c>
      <c r="AC171" s="22">
        <f t="shared" si="163"/>
        <v>22.13547367063574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3.4106051316484809E-13</v>
      </c>
      <c r="AJ171" s="13">
        <f>AI171*VLOOKUP('Données projet'!$B$10,Paramètres!$A$1:$I$89,3,0)*VLOOKUP('Données projet'!$B$10,Paramètres!$A$1:$I$89,5,0)</f>
        <v>1.5961632016114892E-13</v>
      </c>
      <c r="AK171" s="13">
        <f t="shared" si="164"/>
        <v>2.2708641912150958E-12</v>
      </c>
      <c r="AL171" s="20">
        <f t="shared" si="165"/>
        <v>4.2330868906469593E-12</v>
      </c>
      <c r="AM171" s="59">
        <f t="shared" si="113"/>
        <v>293.33333333333752</v>
      </c>
      <c r="AN171" s="59">
        <f ca="1">AVERAGE(OFFSET($AM$3,0,0,'Données projet'!$E$10+1,1))-AVERAGE(OFFSET($H$3,0,0,'Données projet'!$E$10+1,1))</f>
        <v>187.82209112143374</v>
      </c>
      <c r="AO171" s="59">
        <f t="shared" si="144"/>
        <v>158.99136654880203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40.789805211985488</v>
      </c>
      <c r="AV171" s="21">
        <f>EXP(-LN(2)/25)*AV170+(1-EXP(-LN(2)/25))/(LN(2)/25)*Calculateur!AQ171*Calculateur!AS171*VLOOKUP('Données projet'!$B$10,Paramètres!$A$1:$I$89,3,0)*0.475*44/12</f>
        <v>8.158519144734699</v>
      </c>
      <c r="AW171" s="21">
        <f>EXP(-LN(2)/2)*AW170+(1-EXP(-LN(2)/2))/(LN(2)/2)*AQ171*AT171*VLOOKUP('Données projet'!$B$10,Paramètres!$A$1:$I$89,3,0)*0.475*44/12</f>
        <v>4.1472365933533497E-8</v>
      </c>
      <c r="AX171" s="21">
        <f t="shared" si="166"/>
        <v>48.948324398192554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140.32771978791288</v>
      </c>
      <c r="BJ171" s="59">
        <f t="shared" si="146"/>
        <v>135.76866977947634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2.3073948314787605</v>
      </c>
      <c r="BQ171" s="21">
        <f>EXP(-LN(2)/25)*BQ170+(1-EXP(-LN(2)/25))/(LN(2)/25)*Calculateur!BL171*Calculateur!BN171*VLOOKUP('Données projet'!$B$11,Paramètres!$A$1:$I$89,3,0)*0.475*44/12</f>
        <v>7.3457354972446645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9.6531303287234245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>
        <f>VLOOKUP(A171,'Données projet'!$A$113:$I$133,2,0)</f>
        <v>435.65</v>
      </c>
      <c r="BW171" s="12">
        <f>VLOOKUP(A171,'Données projet'!$A$113:$I$133,9,0)</f>
        <v>7.6783333333333319</v>
      </c>
      <c r="BX171" s="12">
        <f t="array" ref="BX171">INDEX(BW:BW,MIN(IF(ISNUMBER(BW171:BW367),ROW(BW171:BW367),"")))</f>
        <v>7.6783333333333319</v>
      </c>
      <c r="BY171" s="12">
        <f>IF('Données projet'!$A$114&gt;35,BY170+BX171-CG170,IF(A171&lt;'Données projet'!$A$114,$BV$205^A171,IF(A171='Données projet'!$A$114,'Données projet'!$B$114,BY170+BX171-CG170)))</f>
        <v>435.64999999999969</v>
      </c>
      <c r="BZ171" s="13">
        <f>BY171*VLOOKUP('Données projet'!$B$12,Paramètres!$A$1:$I$89,3,0)*VLOOKUP('Données projet'!$B$12,Paramètres!$A$1:$I$89,5,0)</f>
        <v>441.74909999999966</v>
      </c>
      <c r="CA171" s="13">
        <f t="shared" si="170"/>
        <v>100.19113347385638</v>
      </c>
      <c r="CB171" s="20">
        <f t="shared" si="171"/>
        <v>943.879239966966</v>
      </c>
      <c r="CC171" s="59">
        <f t="shared" si="119"/>
        <v>1237.2125733002993</v>
      </c>
      <c r="CD171" s="59">
        <f ca="1">AVERAGE(OFFSET($CC$3,0,0,'Données projet'!$E$12+1,1))-AVERAGE(OFFSET($H$3,0,0,'Données projet'!$E$12+1,1))</f>
        <v>372.05986520199804</v>
      </c>
      <c r="CE171" s="59">
        <f t="shared" si="148"/>
        <v>184.37981929432044</v>
      </c>
      <c r="CF171" s="15">
        <f>IF(ISNA(VLOOKUP(A171,'Données projet'!$A$113:$I$133,3,0)),0,VLOOKUP(A171,'Données projet'!$A$113:$I$133,3,0))</f>
        <v>12</v>
      </c>
      <c r="CG171" s="15">
        <f>IF(ISNA(VLOOKUP(A171,'Données projet'!$A$113:$I$133,4,0)),0,VLOOKUP(A171,'Données projet'!$A$113:$I$133,4,0))</f>
        <v>71.37</v>
      </c>
      <c r="CH171" s="16">
        <f>IF(ISNA(VLOOKUP(A171,'Données projet'!$A$113:$I$133,5,0)),0%,VLOOKUP(A171,'Données projet'!$A$113:$I$133,5,0)*VLOOKUP('Données projet'!$B$12,Paramètres!$A$1:$I$89,7,0))</f>
        <v>0.215</v>
      </c>
      <c r="CI171" s="16">
        <f>IF(ISNA(VLOOKUP(A171,'Données projet'!$A$113:$I$133,6,0)),0%,VLOOKUP(A171,'Données projet'!$A$113:$I$133,6,0)*VLOOKUP('Données projet'!$B$12,Paramètres!$A$1:$I$89,7,0))</f>
        <v>8.6000000000000007E-2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50.372802378531105</v>
      </c>
      <c r="CL171" s="21">
        <f>EXP(-LN(2)/25)*CL170+(1-EXP(-LN(2)/25))/(LN(2)/25)*Calculateur!CG171*Calculateur!CI171*VLOOKUP('Données projet'!$B$12,Paramètres!$A$1:$I$89,3,0)*0.475*44/12</f>
        <v>23.244308038786613</v>
      </c>
      <c r="CM171" s="21">
        <f>EXP(-LN(2)/2)*CM170+(1-EXP(-LN(2)/2))/(LN(2)/2)*CG171*CJ171*VLOOKUP('Données projet'!$B$12,Paramètres!$A$1:$I$89,3,0)*0.475*44/12</f>
        <v>1.4419775553350005E-3</v>
      </c>
      <c r="CN171" s="22">
        <f t="shared" si="172"/>
        <v>73.618552394873049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9.6220000000000034</v>
      </c>
      <c r="CT171" s="12">
        <f>IF('Données projet'!$A$140&gt;35,CT170+CS171-DB170,IF(A171&lt;'Données projet'!$A$140,$CQ$205^A171,IF(A171='Données projet'!$A$140,'Données projet'!$B$140,CT170+CS171-DB170)))</f>
        <v>552.78800000000115</v>
      </c>
      <c r="CU171" s="17">
        <f>CT171*VLOOKUP('Données projet'!$B$13,Paramètres!$A$1:$I$89,3,0)*VLOOKUP('Données projet'!$B$13,Paramètres!$A$1:$I$89,5,0)</f>
        <v>500.16258240000104</v>
      </c>
      <c r="CV171" s="13">
        <f t="shared" si="173"/>
        <v>111.81156339666074</v>
      </c>
      <c r="CW171" s="20">
        <f t="shared" si="174"/>
        <v>1065.8549705958526</v>
      </c>
      <c r="CX171" s="59">
        <f t="shared" si="122"/>
        <v>1359.1883039291858</v>
      </c>
      <c r="CY171" s="59">
        <f ca="1">AVERAGE(OFFSET($CX$3,0,0,'Données projet'!$E$13+1,1))-AVERAGE(OFFSET($H$3,0,0,'Données projet'!$E$13+1,1))</f>
        <v>479.84731392413374</v>
      </c>
      <c r="CZ171" s="59">
        <f t="shared" si="150"/>
        <v>203.57601099841213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54.149045377549669</v>
      </c>
      <c r="DG171" s="21">
        <f>EXP(-LN(2)/25)*DG170+(1-EXP(-LN(2)/25))/(LN(2)/25)*Calculateur!DB171*Calculateur!DD171*VLOOKUP('Données projet'!$B$13,Paramètres!$A$1:$I$89,3,0)*0.475*44/12</f>
        <v>20.592802401863636</v>
      </c>
      <c r="DH171" s="21">
        <f>EXP(-LN(2)/2)*DH170+(1-EXP(-LN(2)/2))/(LN(2)/2)*DB171*DE171*VLOOKUP('Données projet'!$B$13,Paramètres!$A$1:$I$89,3,0)*0.475*44/12</f>
        <v>1.2173605769931395E-6</v>
      </c>
      <c r="DI171" s="22">
        <f t="shared" si="175"/>
        <v>74.741848996773882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293.3333333333353</v>
      </c>
      <c r="S172" s="59">
        <f ca="1">AVERAGE(OFFSET($R$3,0,0,'Données projet'!$E$9+1,1))-AVERAGE(OFFSET($H$3,0,0,'Données projet'!$E$9+1,1))</f>
        <v>322.7909000321435</v>
      </c>
      <c r="T172" s="59">
        <f t="shared" si="142"/>
        <v>403.23516981532316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18.992144761571534</v>
      </c>
      <c r="AA172" s="21">
        <f>EXP(-LN(2)/25)*AA171+(1-EXP(-LN(2)/25))/(LN(2)/25)*Calculateur!V172*Calculateur!X172*VLOOKUP('Données projet'!$B$9,Paramètres!$A$1:$I$89,3,0)*0.475*44/12</f>
        <v>2.6878886129374386</v>
      </c>
      <c r="AB172" s="21">
        <f>EXP(-LN(2)/2)*AB171+(1-EXP(-LN(2)/2))/(LN(2)/2)*V172*Y172*VLOOKUP('Données projet'!$B$9,Paramètres!$A$1:$I$89,3,0)*0.475*44/12</f>
        <v>7.5859323350590058E-16</v>
      </c>
      <c r="AC172" s="22">
        <f t="shared" si="163"/>
        <v>21.680033374508973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3.4106051316484809E-13</v>
      </c>
      <c r="AJ172" s="13">
        <f>AI172*VLOOKUP('Données projet'!$B$10,Paramètres!$A$1:$I$89,3,0)*VLOOKUP('Données projet'!$B$10,Paramètres!$A$1:$I$89,5,0)</f>
        <v>1.5961632016114892E-13</v>
      </c>
      <c r="AK172" s="13">
        <f t="shared" si="164"/>
        <v>2.2708641912150958E-12</v>
      </c>
      <c r="AL172" s="20">
        <f t="shared" si="165"/>
        <v>4.2330868906469593E-12</v>
      </c>
      <c r="AM172" s="59">
        <f t="shared" si="113"/>
        <v>293.33333333333752</v>
      </c>
      <c r="AN172" s="59">
        <f ca="1">AVERAGE(OFFSET($AM$3,0,0,'Données projet'!$E$10+1,1))-AVERAGE(OFFSET($H$3,0,0,'Données projet'!$E$10+1,1))</f>
        <v>187.82209112143374</v>
      </c>
      <c r="AO172" s="59">
        <f t="shared" si="144"/>
        <v>158.99136654880203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39.989942011103004</v>
      </c>
      <c r="AV172" s="21">
        <f>EXP(-LN(2)/25)*AV171+(1-EXP(-LN(2)/25))/(LN(2)/25)*Calculateur!AQ172*Calculateur!AS172*VLOOKUP('Données projet'!$B$10,Paramètres!$A$1:$I$89,3,0)*0.475*44/12</f>
        <v>7.9354240096840529</v>
      </c>
      <c r="AW172" s="21">
        <f>EXP(-LN(2)/2)*AW171+(1-EXP(-LN(2)/2))/(LN(2)/2)*AQ172*AT172*VLOOKUP('Données projet'!$B$10,Paramètres!$A$1:$I$89,3,0)*0.475*44/12</f>
        <v>2.9325391183451499E-8</v>
      </c>
      <c r="AX172" s="21">
        <f t="shared" si="166"/>
        <v>47.925366050112451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140.32771978791288</v>
      </c>
      <c r="BJ172" s="59">
        <f t="shared" si="146"/>
        <v>135.76866977947634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2.2621482262053427</v>
      </c>
      <c r="BQ172" s="21">
        <f>EXP(-LN(2)/25)*BQ171+(1-EXP(-LN(2)/25))/(LN(2)/25)*Calculateur!BL172*Calculateur!BN172*VLOOKUP('Données projet'!$B$11,Paramètres!$A$1:$I$89,3,0)*0.475*44/12</f>
        <v>7.1448659737770681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9.4070141999824113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7.688333333333337</v>
      </c>
      <c r="BY172" s="12">
        <f>IF('Données projet'!$A$114&gt;35,BY171+BX172-CG171,IF(A172&lt;'Données projet'!$A$114,$BV$205^A172,IF(A172='Données projet'!$A$114,'Données projet'!$B$114,BY171+BX172-CG171)))</f>
        <v>371.96833333333302</v>
      </c>
      <c r="BZ172" s="13">
        <f>BY172*VLOOKUP('Données projet'!$B$12,Paramètres!$A$1:$I$89,3,0)*VLOOKUP('Données projet'!$B$12,Paramètres!$A$1:$I$89,5,0)</f>
        <v>377.1758899999997</v>
      </c>
      <c r="CA172" s="13">
        <f t="shared" si="170"/>
        <v>87.133724046486122</v>
      </c>
      <c r="CB172" s="20">
        <f t="shared" si="171"/>
        <v>808.6725777976294</v>
      </c>
      <c r="CC172" s="59">
        <f t="shared" si="119"/>
        <v>1102.0059111309627</v>
      </c>
      <c r="CD172" s="59">
        <f ca="1">AVERAGE(OFFSET($CC$3,0,0,'Données projet'!$E$12+1,1))-AVERAGE(OFFSET($H$3,0,0,'Données projet'!$E$12+1,1))</f>
        <v>372.05986520199804</v>
      </c>
      <c r="CE172" s="59">
        <f t="shared" si="148"/>
        <v>184.37981929432044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49.385022448263783</v>
      </c>
      <c r="CL172" s="21">
        <f>EXP(-LN(2)/25)*CL171+(1-EXP(-LN(2)/25))/(LN(2)/25)*Calculateur!CG172*Calculateur!CI172*VLOOKUP('Données projet'!$B$12,Paramètres!$A$1:$I$89,3,0)*0.475*44/12</f>
        <v>22.608691213100958</v>
      </c>
      <c r="CM172" s="21">
        <f>EXP(-LN(2)/2)*CM171+(1-EXP(-LN(2)/2))/(LN(2)/2)*CG172*CJ172*VLOOKUP('Données projet'!$B$12,Paramètres!$A$1:$I$89,3,0)*0.475*44/12</f>
        <v>1.0196321076961789E-3</v>
      </c>
      <c r="CN172" s="22">
        <f t="shared" si="172"/>
        <v>71.994733293472436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9.6220000000000034</v>
      </c>
      <c r="CT172" s="12">
        <f>IF('Données projet'!$A$140&gt;35,CT171+CS172-DB171,IF(A172&lt;'Données projet'!$A$140,$CQ$205^A172,IF(A172='Données projet'!$A$140,'Données projet'!$B$140,CT171+CS172-DB171)))</f>
        <v>562.41000000000111</v>
      </c>
      <c r="CU172" s="17">
        <f>CT172*VLOOKUP('Données projet'!$B$13,Paramètres!$A$1:$I$89,3,0)*VLOOKUP('Données projet'!$B$13,Paramètres!$A$1:$I$89,5,0)</f>
        <v>508.86856800000095</v>
      </c>
      <c r="CV172" s="13">
        <f t="shared" si="173"/>
        <v>113.52951852374844</v>
      </c>
      <c r="CW172" s="20">
        <f t="shared" si="174"/>
        <v>1084.0100006955302</v>
      </c>
      <c r="CX172" s="59">
        <f t="shared" si="122"/>
        <v>1377.3433340288634</v>
      </c>
      <c r="CY172" s="59">
        <f ca="1">AVERAGE(OFFSET($CX$3,0,0,'Données projet'!$E$13+1,1))-AVERAGE(OFFSET($H$3,0,0,'Données projet'!$E$13+1,1))</f>
        <v>479.84731392413374</v>
      </c>
      <c r="CZ172" s="59">
        <f t="shared" si="150"/>
        <v>203.57601099841213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53.087215625352393</v>
      </c>
      <c r="DG172" s="21">
        <f>EXP(-LN(2)/25)*DG171+(1-EXP(-LN(2)/25))/(LN(2)/25)*Calculateur!DB172*Calculateur!DD172*VLOOKUP('Données projet'!$B$13,Paramètres!$A$1:$I$89,3,0)*0.475*44/12</f>
        <v>20.029691137256261</v>
      </c>
      <c r="DH172" s="21">
        <f>EXP(-LN(2)/2)*DH171+(1-EXP(-LN(2)/2))/(LN(2)/2)*DB172*DE172*VLOOKUP('Données projet'!$B$13,Paramètres!$A$1:$I$89,3,0)*0.475*44/12</f>
        <v>8.6080391914101712E-7</v>
      </c>
      <c r="DI172" s="22">
        <f t="shared" si="175"/>
        <v>73.116907623412573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293.3333333333353</v>
      </c>
      <c r="S173" s="59">
        <f ca="1">AVERAGE(OFFSET($R$3,0,0,'Données projet'!$E$9+1,1))-AVERAGE(OFFSET($H$3,0,0,'Données projet'!$E$9+1,1))</f>
        <v>322.7909000321435</v>
      </c>
      <c r="T173" s="59">
        <f t="shared" si="142"/>
        <v>403.23516981532316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18.619720386861591</v>
      </c>
      <c r="AA173" s="21">
        <f>EXP(-LN(2)/25)*AA172+(1-EXP(-LN(2)/25))/(LN(2)/25)*Calculateur!V173*Calculateur!X173*VLOOKUP('Données projet'!$B$9,Paramètres!$A$1:$I$89,3,0)*0.475*44/12</f>
        <v>2.6143881574667454</v>
      </c>
      <c r="AB173" s="21">
        <f>EXP(-LN(2)/2)*AB172+(1-EXP(-LN(2)/2))/(LN(2)/2)*V173*Y173*VLOOKUP('Données projet'!$B$9,Paramètres!$A$1:$I$89,3,0)*0.475*44/12</f>
        <v>5.3640641957425239E-16</v>
      </c>
      <c r="AC173" s="22">
        <f t="shared" si="163"/>
        <v>21.234108544328336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3.4106051316484809E-13</v>
      </c>
      <c r="AJ173" s="13">
        <f>AI173*VLOOKUP('Données projet'!$B$10,Paramètres!$A$1:$I$89,3,0)*VLOOKUP('Données projet'!$B$10,Paramètres!$A$1:$I$89,5,0)</f>
        <v>1.5961632016114892E-13</v>
      </c>
      <c r="AK173" s="13">
        <f t="shared" si="164"/>
        <v>2.2708641912150958E-12</v>
      </c>
      <c r="AL173" s="20">
        <f t="shared" si="165"/>
        <v>4.2330868906469593E-12</v>
      </c>
      <c r="AM173" s="59">
        <f t="shared" si="113"/>
        <v>293.33333333333752</v>
      </c>
      <c r="AN173" s="59">
        <f ca="1">AVERAGE(OFFSET($AM$3,0,0,'Données projet'!$E$10+1,1))-AVERAGE(OFFSET($H$3,0,0,'Données projet'!$E$10+1,1))</f>
        <v>187.82209112143374</v>
      </c>
      <c r="AO173" s="59">
        <f t="shared" si="144"/>
        <v>158.99136654880203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39.205763639721447</v>
      </c>
      <c r="AV173" s="21">
        <f>EXP(-LN(2)/25)*AV172+(1-EXP(-LN(2)/25))/(LN(2)/25)*Calculateur!AQ173*Calculateur!AS173*VLOOKUP('Données projet'!$B$10,Paramètres!$A$1:$I$89,3,0)*0.475*44/12</f>
        <v>7.7184294228334309</v>
      </c>
      <c r="AW173" s="21">
        <f>EXP(-LN(2)/2)*AW172+(1-EXP(-LN(2)/2))/(LN(2)/2)*AQ173*AT173*VLOOKUP('Données projet'!$B$10,Paramètres!$A$1:$I$89,3,0)*0.475*44/12</f>
        <v>2.0736182966766752E-8</v>
      </c>
      <c r="AX173" s="21">
        <f t="shared" si="166"/>
        <v>46.924193083291058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140.32771978791288</v>
      </c>
      <c r="BJ173" s="59">
        <f t="shared" si="146"/>
        <v>135.76866977947634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2.2177888792636327</v>
      </c>
      <c r="BQ173" s="21">
        <f>EXP(-LN(2)/25)*BQ172+(1-EXP(-LN(2)/25))/(LN(2)/25)*Calculateur!BL173*Calculateur!BN173*VLOOKUP('Données projet'!$B$11,Paramètres!$A$1:$I$89,3,0)*0.475*44/12</f>
        <v>6.9494892379919628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9.167278117255595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7.688333333333337</v>
      </c>
      <c r="BY173" s="12">
        <f>IF('Données projet'!$A$114&gt;35,BY172+BX173-CG172,IF(A173&lt;'Données projet'!$A$114,$BV$205^A173,IF(A173='Données projet'!$A$114,'Données projet'!$B$114,BY172+BX173-CG172)))</f>
        <v>379.65666666666635</v>
      </c>
      <c r="BZ173" s="13">
        <f>BY173*VLOOKUP('Données projet'!$B$12,Paramètres!$A$1:$I$89,3,0)*VLOOKUP('Données projet'!$B$12,Paramètres!$A$1:$I$89,5,0)</f>
        <v>384.97185999999971</v>
      </c>
      <c r="CA173" s="13">
        <f t="shared" si="170"/>
        <v>88.723183476832745</v>
      </c>
      <c r="CB173" s="20">
        <f t="shared" si="171"/>
        <v>825.01886738881649</v>
      </c>
      <c r="CC173" s="59">
        <f t="shared" si="119"/>
        <v>1118.3522007221497</v>
      </c>
      <c r="CD173" s="59">
        <f ca="1">AVERAGE(OFFSET($CC$3,0,0,'Données projet'!$E$12+1,1))-AVERAGE(OFFSET($H$3,0,0,'Données projet'!$E$12+1,1))</f>
        <v>372.05986520199804</v>
      </c>
      <c r="CE173" s="59">
        <f t="shared" si="148"/>
        <v>184.37981929432044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48.416612279942733</v>
      </c>
      <c r="CL173" s="21">
        <f>EXP(-LN(2)/25)*CL172+(1-EXP(-LN(2)/25))/(LN(2)/25)*Calculateur!CG173*Calculateur!CI173*VLOOKUP('Données projet'!$B$12,Paramètres!$A$1:$I$89,3,0)*0.475*44/12</f>
        <v>21.990455362939315</v>
      </c>
      <c r="CM173" s="21">
        <f>EXP(-LN(2)/2)*CM172+(1-EXP(-LN(2)/2))/(LN(2)/2)*CG173*CJ173*VLOOKUP('Données projet'!$B$12,Paramètres!$A$1:$I$89,3,0)*0.475*44/12</f>
        <v>7.2098877766750026E-4</v>
      </c>
      <c r="CN173" s="22">
        <f t="shared" si="172"/>
        <v>70.407788631659727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9.6220000000000034</v>
      </c>
      <c r="CT173" s="12">
        <f>IF('Données projet'!$A$140&gt;35,CT172+CS173-DB172,IF(A173&lt;'Données projet'!$A$140,$CQ$205^A173,IF(A173='Données projet'!$A$140,'Données projet'!$B$140,CT172+CS173-DB172)))</f>
        <v>572.03200000000106</v>
      </c>
      <c r="CU173" s="17">
        <f>CT173*VLOOKUP('Données projet'!$B$13,Paramètres!$A$1:$I$89,3,0)*VLOOKUP('Données projet'!$B$13,Paramètres!$A$1:$I$89,5,0)</f>
        <v>517.57455360000097</v>
      </c>
      <c r="CV173" s="13">
        <f t="shared" si="173"/>
        <v>115.24405568945055</v>
      </c>
      <c r="CW173" s="20">
        <f t="shared" si="174"/>
        <v>1102.1590778457946</v>
      </c>
      <c r="CX173" s="59">
        <f t="shared" si="122"/>
        <v>1395.4924111791279</v>
      </c>
      <c r="CY173" s="59">
        <f ca="1">AVERAGE(OFFSET($CX$3,0,0,'Données projet'!$E$13+1,1))-AVERAGE(OFFSET($H$3,0,0,'Données projet'!$E$13+1,1))</f>
        <v>479.84731392413374</v>
      </c>
      <c r="CZ173" s="59">
        <f t="shared" si="150"/>
        <v>203.57601099841213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52.046207706943505</v>
      </c>
      <c r="DG173" s="21">
        <f>EXP(-LN(2)/25)*DG172+(1-EXP(-LN(2)/25))/(LN(2)/25)*Calculateur!DB173*Calculateur!DD173*VLOOKUP('Données projet'!$B$13,Paramètres!$A$1:$I$89,3,0)*0.475*44/12</f>
        <v>19.481978179792311</v>
      </c>
      <c r="DH173" s="21">
        <f>EXP(-LN(2)/2)*DH172+(1-EXP(-LN(2)/2))/(LN(2)/2)*DB173*DE173*VLOOKUP('Données projet'!$B$13,Paramètres!$A$1:$I$89,3,0)*0.475*44/12</f>
        <v>6.0868028849656974E-7</v>
      </c>
      <c r="DI173" s="22">
        <f t="shared" si="175"/>
        <v>71.528186495416108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293.3333333333353</v>
      </c>
      <c r="S174" s="59">
        <f ca="1">AVERAGE(OFFSET($R$3,0,0,'Données projet'!$E$9+1,1))-AVERAGE(OFFSET($H$3,0,0,'Données projet'!$E$9+1,1))</f>
        <v>322.7909000321435</v>
      </c>
      <c r="T174" s="59">
        <f t="shared" si="142"/>
        <v>403.23516981532316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18.254599026983268</v>
      </c>
      <c r="AA174" s="21">
        <f>EXP(-LN(2)/25)*AA173+(1-EXP(-LN(2)/25))/(LN(2)/25)*Calculateur!V174*Calculateur!X174*VLOOKUP('Données projet'!$B$9,Paramètres!$A$1:$I$89,3,0)*0.475*44/12</f>
        <v>2.5428975758161192</v>
      </c>
      <c r="AB174" s="21">
        <f>EXP(-LN(2)/2)*AB173+(1-EXP(-LN(2)/2))/(LN(2)/2)*V174*Y174*VLOOKUP('Données projet'!$B$9,Paramètres!$A$1:$I$89,3,0)*0.475*44/12</f>
        <v>3.7929661675295029E-16</v>
      </c>
      <c r="AC174" s="22">
        <f t="shared" si="163"/>
        <v>20.797496602799388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3.4106051316484809E-13</v>
      </c>
      <c r="AJ174" s="13">
        <f>AI174*VLOOKUP('Données projet'!$B$10,Paramètres!$A$1:$I$89,3,0)*VLOOKUP('Données projet'!$B$10,Paramètres!$A$1:$I$89,5,0)</f>
        <v>1.5961632016114892E-13</v>
      </c>
      <c r="AK174" s="13">
        <f t="shared" si="164"/>
        <v>2.2708641912150958E-12</v>
      </c>
      <c r="AL174" s="20">
        <f t="shared" si="165"/>
        <v>4.2330868906469593E-12</v>
      </c>
      <c r="AM174" s="59">
        <f t="shared" si="113"/>
        <v>293.33333333333752</v>
      </c>
      <c r="AN174" s="59">
        <f ca="1">AVERAGE(OFFSET($AM$3,0,0,'Données projet'!$E$10+1,1))-AVERAGE(OFFSET($H$3,0,0,'Données projet'!$E$10+1,1))</f>
        <v>187.82209112143374</v>
      </c>
      <c r="AO174" s="59">
        <f t="shared" si="144"/>
        <v>158.99136654880203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38.436962527901102</v>
      </c>
      <c r="AV174" s="21">
        <f>EXP(-LN(2)/25)*AV173+(1-EXP(-LN(2)/25))/(LN(2)/25)*Calculateur!AQ174*Calculateur!AS174*VLOOKUP('Données projet'!$B$10,Paramètres!$A$1:$I$89,3,0)*0.475*44/12</f>
        <v>7.5073685643714878</v>
      </c>
      <c r="AW174" s="21">
        <f>EXP(-LN(2)/2)*AW173+(1-EXP(-LN(2)/2))/(LN(2)/2)*AQ174*AT174*VLOOKUP('Données projet'!$B$10,Paramètres!$A$1:$I$89,3,0)*0.475*44/12</f>
        <v>1.4662695591725753E-8</v>
      </c>
      <c r="AX174" s="21">
        <f t="shared" si="166"/>
        <v>45.944331106935287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140.32771978791288</v>
      </c>
      <c r="BJ174" s="59">
        <f t="shared" si="146"/>
        <v>135.76866977947634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2.1742993920589195</v>
      </c>
      <c r="BQ174" s="21">
        <f>EXP(-LN(2)/25)*BQ173+(1-EXP(-LN(2)/25))/(LN(2)/25)*Calculateur!BL174*Calculateur!BN174*VLOOKUP('Données projet'!$B$11,Paramètres!$A$1:$I$89,3,0)*0.475*44/12</f>
        <v>6.7594550893213166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8.9337544813802356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7.688333333333337</v>
      </c>
      <c r="BY174" s="12">
        <f>IF('Données projet'!$A$114&gt;35,BY173+BX174-CG173,IF(A174&lt;'Données projet'!$A$114,$BV$205^A174,IF(A174='Données projet'!$A$114,'Données projet'!$B$114,BY173+BX174-CG173)))</f>
        <v>387.34499999999969</v>
      </c>
      <c r="BZ174" s="13">
        <f>BY174*VLOOKUP('Données projet'!$B$12,Paramètres!$A$1:$I$89,3,0)*VLOOKUP('Données projet'!$B$12,Paramètres!$A$1:$I$89,5,0)</f>
        <v>392.76782999999972</v>
      </c>
      <c r="CA174" s="13">
        <f t="shared" si="170"/>
        <v>90.308900394988783</v>
      </c>
      <c r="CB174" s="20">
        <f t="shared" si="171"/>
        <v>841.35863877127156</v>
      </c>
      <c r="CC174" s="59">
        <f t="shared" si="119"/>
        <v>1134.6919721046049</v>
      </c>
      <c r="CD174" s="59">
        <f ca="1">AVERAGE(OFFSET($CC$3,0,0,'Données projet'!$E$12+1,1))-AVERAGE(OFFSET($H$3,0,0,'Données projet'!$E$12+1,1))</f>
        <v>372.05986520199804</v>
      </c>
      <c r="CE174" s="59">
        <f t="shared" si="148"/>
        <v>184.37981929432044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47.467192044350583</v>
      </c>
      <c r="CL174" s="21">
        <f>EXP(-LN(2)/25)*CL173+(1-EXP(-LN(2)/25))/(LN(2)/25)*Calculateur!CG174*Calculateur!CI174*VLOOKUP('Données projet'!$B$12,Paramètres!$A$1:$I$89,3,0)*0.475*44/12</f>
        <v>21.38912520461195</v>
      </c>
      <c r="CM174" s="21">
        <f>EXP(-LN(2)/2)*CM173+(1-EXP(-LN(2)/2))/(LN(2)/2)*CG174*CJ174*VLOOKUP('Données projet'!$B$12,Paramètres!$A$1:$I$89,3,0)*0.475*44/12</f>
        <v>5.0981605384808947E-4</v>
      </c>
      <c r="CN174" s="22">
        <f t="shared" si="172"/>
        <v>68.85682706501639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9.6220000000000034</v>
      </c>
      <c r="CT174" s="12">
        <f>IF('Données projet'!$A$140&gt;35,CT173+CS174-DB173,IF(A174&lt;'Données projet'!$A$140,$CQ$205^A174,IF(A174='Données projet'!$A$140,'Données projet'!$B$140,CT173+CS174-DB173)))</f>
        <v>581.65400000000102</v>
      </c>
      <c r="CU174" s="17">
        <f>CT174*VLOOKUP('Données projet'!$B$13,Paramètres!$A$1:$I$89,3,0)*VLOOKUP('Données projet'!$B$13,Paramètres!$A$1:$I$89,5,0)</f>
        <v>526.28053920000093</v>
      </c>
      <c r="CV174" s="13">
        <f t="shared" si="173"/>
        <v>116.95523902184036</v>
      </c>
      <c r="CW174" s="20">
        <f t="shared" si="174"/>
        <v>1120.3023137363737</v>
      </c>
      <c r="CX174" s="59">
        <f t="shared" si="122"/>
        <v>1413.6356470697069</v>
      </c>
      <c r="CY174" s="59">
        <f ca="1">AVERAGE(OFFSET($CX$3,0,0,'Données projet'!$E$13+1,1))-AVERAGE(OFFSET($H$3,0,0,'Données projet'!$E$13+1,1))</f>
        <v>479.84731392413374</v>
      </c>
      <c r="CZ174" s="59">
        <f t="shared" si="150"/>
        <v>203.57601099841213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51.025613318862483</v>
      </c>
      <c r="DG174" s="21">
        <f>EXP(-LN(2)/25)*DG173+(1-EXP(-LN(2)/25))/(LN(2)/25)*Calculateur!DB174*Calculateur!DD174*VLOOKUP('Données projet'!$B$13,Paramètres!$A$1:$I$89,3,0)*0.475*44/12</f>
        <v>18.949242461953183</v>
      </c>
      <c r="DH174" s="21">
        <f>EXP(-LN(2)/2)*DH173+(1-EXP(-LN(2)/2))/(LN(2)/2)*DB174*DE174*VLOOKUP('Données projet'!$B$13,Paramètres!$A$1:$I$89,3,0)*0.475*44/12</f>
        <v>4.3040195957050856E-7</v>
      </c>
      <c r="DI174" s="22">
        <f t="shared" si="175"/>
        <v>69.974856211217613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293.3333333333353</v>
      </c>
      <c r="S175" s="59">
        <f ca="1">AVERAGE(OFFSET($R$3,0,0,'Données projet'!$E$9+1,1))-AVERAGE(OFFSET($H$3,0,0,'Données projet'!$E$9+1,1))</f>
        <v>322.7909000321435</v>
      </c>
      <c r="T175" s="59">
        <f t="shared" si="142"/>
        <v>403.23516981532316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17.896637474270122</v>
      </c>
      <c r="AA175" s="21">
        <f>EXP(-LN(2)/25)*AA174+(1-EXP(-LN(2)/25))/(LN(2)/25)*Calculateur!V175*Calculateur!X175*VLOOKUP('Données projet'!$B$9,Paramètres!$A$1:$I$89,3,0)*0.475*44/12</f>
        <v>2.4733619078802556</v>
      </c>
      <c r="AB175" s="21">
        <f>EXP(-LN(2)/2)*AB174+(1-EXP(-LN(2)/2))/(LN(2)/2)*V175*Y175*VLOOKUP('Données projet'!$B$9,Paramètres!$A$1:$I$89,3,0)*0.475*44/12</f>
        <v>2.6820320978712619E-16</v>
      </c>
      <c r="AC175" s="22">
        <f t="shared" si="163"/>
        <v>20.369999382150379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3.4106051316484809E-13</v>
      </c>
      <c r="AJ175" s="13">
        <f>AI175*VLOOKUP('Données projet'!$B$10,Paramètres!$A$1:$I$89,3,0)*VLOOKUP('Données projet'!$B$10,Paramètres!$A$1:$I$89,5,0)</f>
        <v>1.5961632016114892E-13</v>
      </c>
      <c r="AK175" s="13">
        <f t="shared" si="164"/>
        <v>2.2708641912150958E-12</v>
      </c>
      <c r="AL175" s="20">
        <f t="shared" si="165"/>
        <v>4.2330868906469593E-12</v>
      </c>
      <c r="AM175" s="59">
        <f t="shared" si="113"/>
        <v>293.33333333333752</v>
      </c>
      <c r="AN175" s="59">
        <f ca="1">AVERAGE(OFFSET($AM$3,0,0,'Données projet'!$E$10+1,1))-AVERAGE(OFFSET($H$3,0,0,'Données projet'!$E$10+1,1))</f>
        <v>187.82209112143374</v>
      </c>
      <c r="AO175" s="59">
        <f t="shared" si="144"/>
        <v>158.99136654880203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37.683237136961175</v>
      </c>
      <c r="AV175" s="21">
        <f>EXP(-LN(2)/25)*AV174+(1-EXP(-LN(2)/25))/(LN(2)/25)*Calculateur!AQ175*Calculateur!AS175*VLOOKUP('Données projet'!$B$10,Paramètres!$A$1:$I$89,3,0)*0.475*44/12</f>
        <v>7.302079176183395</v>
      </c>
      <c r="AW175" s="21">
        <f>EXP(-LN(2)/2)*AW174+(1-EXP(-LN(2)/2))/(LN(2)/2)*AQ175*AT175*VLOOKUP('Données projet'!$B$10,Paramètres!$A$1:$I$89,3,0)*0.475*44/12</f>
        <v>1.0368091483383377E-8</v>
      </c>
      <c r="AX175" s="21">
        <f t="shared" si="166"/>
        <v>44.985316323512663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140.32771978791288</v>
      </c>
      <c r="BJ175" s="59">
        <f t="shared" si="146"/>
        <v>135.76866977947634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2.1316627071723229</v>
      </c>
      <c r="BQ175" s="21">
        <f>EXP(-LN(2)/25)*BQ174+(1-EXP(-LN(2)/25))/(LN(2)/25)*Calculateur!BL175*Calculateur!BN175*VLOOKUP('Données projet'!$B$11,Paramètres!$A$1:$I$89,3,0)*0.475*44/12</f>
        <v>6.5746174344395314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8.7062801416118543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7.688333333333337</v>
      </c>
      <c r="BY175" s="12">
        <f>IF('Données projet'!$A$114&gt;35,BY174+BX175-CG174,IF(A175&lt;'Données projet'!$A$114,$BV$205^A175,IF(A175='Données projet'!$A$114,'Données projet'!$B$114,BY174+BX175-CG174)))</f>
        <v>395.03333333333302</v>
      </c>
      <c r="BZ175" s="13">
        <f>BY175*VLOOKUP('Données projet'!$B$12,Paramètres!$A$1:$I$89,3,0)*VLOOKUP('Données projet'!$B$12,Paramètres!$A$1:$I$89,5,0)</f>
        <v>400.56379999999973</v>
      </c>
      <c r="CA175" s="13">
        <f t="shared" si="170"/>
        <v>91.890957647280629</v>
      </c>
      <c r="CB175" s="20">
        <f t="shared" si="171"/>
        <v>857.69203623567989</v>
      </c>
      <c r="CC175" s="59">
        <f t="shared" si="119"/>
        <v>1151.0253695690133</v>
      </c>
      <c r="CD175" s="59">
        <f ca="1">AVERAGE(OFFSET($CC$3,0,0,'Données projet'!$E$12+1,1))-AVERAGE(OFFSET($H$3,0,0,'Données projet'!$E$12+1,1))</f>
        <v>372.05986520199804</v>
      </c>
      <c r="CE175" s="59">
        <f t="shared" si="148"/>
        <v>184.37981929432044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46.536389360489231</v>
      </c>
      <c r="CL175" s="21">
        <f>EXP(-LN(2)/25)*CL174+(1-EXP(-LN(2)/25))/(LN(2)/25)*Calculateur!CG175*Calculateur!CI175*VLOOKUP('Données projet'!$B$12,Paramètres!$A$1:$I$89,3,0)*0.475*44/12</f>
        <v>20.804238451086629</v>
      </c>
      <c r="CM175" s="21">
        <f>EXP(-LN(2)/2)*CM174+(1-EXP(-LN(2)/2))/(LN(2)/2)*CG175*CJ175*VLOOKUP('Données projet'!$B$12,Paramètres!$A$1:$I$89,3,0)*0.475*44/12</f>
        <v>3.6049438883375013E-4</v>
      </c>
      <c r="CN175" s="22">
        <f t="shared" si="172"/>
        <v>67.340988305964686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9.6220000000000034</v>
      </c>
      <c r="CT175" s="12">
        <f>IF('Données projet'!$A$140&gt;35,CT174+CS175-DB174,IF(A175&lt;'Données projet'!$A$140,$CQ$205^A175,IF(A175='Données projet'!$A$140,'Données projet'!$B$140,CT174+CS175-DB174)))</f>
        <v>591.27600000000098</v>
      </c>
      <c r="CU175" s="17">
        <f>CT175*VLOOKUP('Données projet'!$B$13,Paramètres!$A$1:$I$89,3,0)*VLOOKUP('Données projet'!$B$13,Paramètres!$A$1:$I$89,5,0)</f>
        <v>534.98652480000089</v>
      </c>
      <c r="CV175" s="13">
        <f t="shared" si="173"/>
        <v>118.66313040568902</v>
      </c>
      <c r="CW175" s="20">
        <f t="shared" si="174"/>
        <v>1138.4398161499098</v>
      </c>
      <c r="CX175" s="59">
        <f t="shared" si="122"/>
        <v>1431.7731494832431</v>
      </c>
      <c r="CY175" s="59">
        <f ca="1">AVERAGE(OFFSET($CX$3,0,0,'Données projet'!$E$13+1,1))-AVERAGE(OFFSET($H$3,0,0,'Données projet'!$E$13+1,1))</f>
        <v>479.84731392413374</v>
      </c>
      <c r="CZ175" s="59">
        <f t="shared" si="150"/>
        <v>203.57601099841213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50.025032164230616</v>
      </c>
      <c r="DG175" s="21">
        <f>EXP(-LN(2)/25)*DG174+(1-EXP(-LN(2)/25))/(LN(2)/25)*Calculateur!DB175*Calculateur!DD175*VLOOKUP('Données projet'!$B$13,Paramètres!$A$1:$I$89,3,0)*0.475*44/12</f>
        <v>18.431074430333723</v>
      </c>
      <c r="DH175" s="21">
        <f>EXP(-LN(2)/2)*DH174+(1-EXP(-LN(2)/2))/(LN(2)/2)*DB175*DE175*VLOOKUP('Données projet'!$B$13,Paramètres!$A$1:$I$89,3,0)*0.475*44/12</f>
        <v>3.0434014424828487E-7</v>
      </c>
      <c r="DI175" s="22">
        <f t="shared" si="175"/>
        <v>68.456106898904494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293.3333333333353</v>
      </c>
      <c r="S176" s="59">
        <f ca="1">AVERAGE(OFFSET($R$3,0,0,'Données projet'!$E$9+1,1))-AVERAGE(OFFSET($H$3,0,0,'Données projet'!$E$9+1,1))</f>
        <v>322.7909000321435</v>
      </c>
      <c r="T176" s="59">
        <f t="shared" si="142"/>
        <v>403.23516981532316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17.545695329270693</v>
      </c>
      <c r="AA176" s="21">
        <f>EXP(-LN(2)/25)*AA175+(1-EXP(-LN(2)/25))/(LN(2)/25)*Calculateur!V176*Calculateur!X176*VLOOKUP('Données projet'!$B$9,Paramètres!$A$1:$I$89,3,0)*0.475*44/12</f>
        <v>2.4057276964408203</v>
      </c>
      <c r="AB176" s="21">
        <f>EXP(-LN(2)/2)*AB175+(1-EXP(-LN(2)/2))/(LN(2)/2)*V176*Y176*VLOOKUP('Données projet'!$B$9,Paramètres!$A$1:$I$89,3,0)*0.475*44/12</f>
        <v>1.8964830837647514E-16</v>
      </c>
      <c r="AC176" s="22">
        <f t="shared" si="163"/>
        <v>19.951423025711513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3.4106051316484809E-13</v>
      </c>
      <c r="AJ176" s="13">
        <f>AI176*VLOOKUP('Données projet'!$B$10,Paramètres!$A$1:$I$89,3,0)*VLOOKUP('Données projet'!$B$10,Paramètres!$A$1:$I$89,5,0)</f>
        <v>1.5961632016114892E-13</v>
      </c>
      <c r="AK176" s="13">
        <f t="shared" si="164"/>
        <v>2.2708641912150958E-12</v>
      </c>
      <c r="AL176" s="20">
        <f t="shared" si="165"/>
        <v>4.2330868906469593E-12</v>
      </c>
      <c r="AM176" s="59">
        <f t="shared" si="113"/>
        <v>293.33333333333752</v>
      </c>
      <c r="AN176" s="59">
        <f ca="1">AVERAGE(OFFSET($AM$3,0,0,'Données projet'!$E$10+1,1))-AVERAGE(OFFSET($H$3,0,0,'Données projet'!$E$10+1,1))</f>
        <v>187.82209112143374</v>
      </c>
      <c r="AO176" s="59">
        <f t="shared" si="144"/>
        <v>158.99136654880203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36.944291841210486</v>
      </c>
      <c r="AV176" s="21">
        <f>EXP(-LN(2)/25)*AV175+(1-EXP(-LN(2)/25))/(LN(2)/25)*Calculateur!AQ176*Calculateur!AS176*VLOOKUP('Données projet'!$B$10,Paramètres!$A$1:$I$89,3,0)*0.475*44/12</f>
        <v>7.102403437111005</v>
      </c>
      <c r="AW176" s="21">
        <f>EXP(-LN(2)/2)*AW175+(1-EXP(-LN(2)/2))/(LN(2)/2)*AQ176*AT176*VLOOKUP('Données projet'!$B$10,Paramètres!$A$1:$I$89,3,0)*0.475*44/12</f>
        <v>7.3313477958628773E-9</v>
      </c>
      <c r="AX176" s="21">
        <f t="shared" si="166"/>
        <v>44.046695285652838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140.32771978791288</v>
      </c>
      <c r="BJ176" s="59">
        <f t="shared" si="146"/>
        <v>135.76866977947634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2.0898621016705423</v>
      </c>
      <c r="BQ176" s="21">
        <f>EXP(-LN(2)/25)*BQ175+(1-EXP(-LN(2)/25))/(LN(2)/25)*Calculateur!BL176*Calculateur!BN176*VLOOKUP('Données projet'!$B$11,Paramètres!$A$1:$I$89,3,0)*0.475*44/12</f>
        <v>6.3948341749506783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8.4846962766212215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7.688333333333337</v>
      </c>
      <c r="BY176" s="12">
        <f>IF('Données projet'!$A$114&gt;35,BY175+BX176-CG175,IF(A176&lt;'Données projet'!$A$114,$BV$205^A176,IF(A176='Données projet'!$A$114,'Données projet'!$B$114,BY175+BX176-CG175)))</f>
        <v>402.72166666666635</v>
      </c>
      <c r="BZ176" s="13">
        <f>BY176*VLOOKUP('Données projet'!$B$12,Paramètres!$A$1:$I$89,3,0)*VLOOKUP('Données projet'!$B$12,Paramètres!$A$1:$I$89,5,0)</f>
        <v>408.35976999999968</v>
      </c>
      <c r="CA176" s="13">
        <f t="shared" si="170"/>
        <v>93.469434670776693</v>
      </c>
      <c r="CB176" s="20">
        <f t="shared" si="171"/>
        <v>874.01919813493544</v>
      </c>
      <c r="CC176" s="59">
        <f t="shared" si="119"/>
        <v>1167.3525314682688</v>
      </c>
      <c r="CD176" s="59">
        <f ca="1">AVERAGE(OFFSET($CC$3,0,0,'Données projet'!$E$12+1,1))-AVERAGE(OFFSET($H$3,0,0,'Données projet'!$E$12+1,1))</f>
        <v>372.05986520199804</v>
      </c>
      <c r="CE176" s="59">
        <f t="shared" si="148"/>
        <v>184.37981929432044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45.623839149524819</v>
      </c>
      <c r="CL176" s="21">
        <f>EXP(-LN(2)/25)*CL175+(1-EXP(-LN(2)/25))/(LN(2)/25)*Calculateur!CG176*Calculateur!CI176*VLOOKUP('Données projet'!$B$12,Paramètres!$A$1:$I$89,3,0)*0.475*44/12</f>
        <v>20.235345456594313</v>
      </c>
      <c r="CM176" s="21">
        <f>EXP(-LN(2)/2)*CM175+(1-EXP(-LN(2)/2))/(LN(2)/2)*CG176*CJ176*VLOOKUP('Données projet'!$B$12,Paramètres!$A$1:$I$89,3,0)*0.475*44/12</f>
        <v>2.5490802692404473E-4</v>
      </c>
      <c r="CN176" s="22">
        <f t="shared" si="172"/>
        <v>65.859439514146047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9.6220000000000034</v>
      </c>
      <c r="CT176" s="12">
        <f>IF('Données projet'!$A$140&gt;35,CT175+CS176-DB175,IF(A176&lt;'Données projet'!$A$140,$CQ$205^A176,IF(A176='Données projet'!$A$140,'Données projet'!$B$140,CT175+CS176-DB175)))</f>
        <v>600.89800000000093</v>
      </c>
      <c r="CU176" s="17">
        <f>CT176*VLOOKUP('Données projet'!$B$13,Paramètres!$A$1:$I$89,3,0)*VLOOKUP('Données projet'!$B$13,Paramètres!$A$1:$I$89,5,0)</f>
        <v>543.69251040000086</v>
      </c>
      <c r="CV176" s="13">
        <f t="shared" si="173"/>
        <v>120.36778959614513</v>
      </c>
      <c r="CW176" s="20">
        <f t="shared" si="174"/>
        <v>1156.5716891599543</v>
      </c>
      <c r="CX176" s="59">
        <f t="shared" si="122"/>
        <v>1449.9050224932876</v>
      </c>
      <c r="CY176" s="59">
        <f ca="1">AVERAGE(OFFSET($CX$3,0,0,'Données projet'!$E$13+1,1))-AVERAGE(OFFSET($H$3,0,0,'Données projet'!$E$13+1,1))</f>
        <v>479.84731392413374</v>
      </c>
      <c r="CZ176" s="59">
        <f t="shared" si="150"/>
        <v>203.57601099841213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49.044071795746838</v>
      </c>
      <c r="DG176" s="21">
        <f>EXP(-LN(2)/25)*DG175+(1-EXP(-LN(2)/25))/(LN(2)/25)*Calculateur!DB176*Calculateur!DD176*VLOOKUP('Données projet'!$B$13,Paramètres!$A$1:$I$89,3,0)*0.475*44/12</f>
        <v>17.927075730788168</v>
      </c>
      <c r="DH176" s="21">
        <f>EXP(-LN(2)/2)*DH175+(1-EXP(-LN(2)/2))/(LN(2)/2)*DB176*DE176*VLOOKUP('Données projet'!$B$13,Paramètres!$A$1:$I$89,3,0)*0.475*44/12</f>
        <v>2.1520097978525428E-7</v>
      </c>
      <c r="DI176" s="22">
        <f t="shared" si="175"/>
        <v>66.97114774173599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293.3333333333353</v>
      </c>
      <c r="S177" s="59">
        <f ca="1">AVERAGE(OFFSET($R$3,0,0,'Données projet'!$E$9+1,1))-AVERAGE(OFFSET($H$3,0,0,'Données projet'!$E$9+1,1))</f>
        <v>322.7909000321435</v>
      </c>
      <c r="T177" s="59">
        <f t="shared" si="142"/>
        <v>403.23516981532316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17.201634945681128</v>
      </c>
      <c r="AA177" s="21">
        <f>EXP(-LN(2)/25)*AA176+(1-EXP(-LN(2)/25))/(LN(2)/25)*Calculateur!V177*Calculateur!X177*VLOOKUP('Données projet'!$B$9,Paramètres!$A$1:$I$89,3,0)*0.475*44/12</f>
        <v>2.3399429460699248</v>
      </c>
      <c r="AB177" s="21">
        <f>EXP(-LN(2)/2)*AB176+(1-EXP(-LN(2)/2))/(LN(2)/2)*V177*Y177*VLOOKUP('Données projet'!$B$9,Paramètres!$A$1:$I$89,3,0)*0.475*44/12</f>
        <v>1.341016048935631E-16</v>
      </c>
      <c r="AC177" s="22">
        <f t="shared" si="163"/>
        <v>19.541577891751054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3.4106051316484809E-13</v>
      </c>
      <c r="AJ177" s="13">
        <f>AI177*VLOOKUP('Données projet'!$B$10,Paramètres!$A$1:$I$89,3,0)*VLOOKUP('Données projet'!$B$10,Paramètres!$A$1:$I$89,5,0)</f>
        <v>1.5961632016114892E-13</v>
      </c>
      <c r="AK177" s="13">
        <f t="shared" si="164"/>
        <v>2.2708641912150958E-12</v>
      </c>
      <c r="AL177" s="20">
        <f t="shared" si="165"/>
        <v>4.2330868906469593E-12</v>
      </c>
      <c r="AM177" s="59">
        <f t="shared" si="113"/>
        <v>293.33333333333752</v>
      </c>
      <c r="AN177" s="59">
        <f ca="1">AVERAGE(OFFSET($AM$3,0,0,'Données projet'!$E$10+1,1))-AVERAGE(OFFSET($H$3,0,0,'Données projet'!$E$10+1,1))</f>
        <v>187.82209112143374</v>
      </c>
      <c r="AO177" s="59">
        <f t="shared" si="144"/>
        <v>158.99136654880203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36.219836811997347</v>
      </c>
      <c r="AV177" s="21">
        <f>EXP(-LN(2)/25)*AV176+(1-EXP(-LN(2)/25))/(LN(2)/25)*Calculateur!AQ177*Calculateur!AS177*VLOOKUP('Données projet'!$B$10,Paramètres!$A$1:$I$89,3,0)*0.475*44/12</f>
        <v>6.9081878416240405</v>
      </c>
      <c r="AW177" s="21">
        <f>EXP(-LN(2)/2)*AW176+(1-EXP(-LN(2)/2))/(LN(2)/2)*AQ177*AT177*VLOOKUP('Données projet'!$B$10,Paramètres!$A$1:$I$89,3,0)*0.475*44/12</f>
        <v>5.1840457416916896E-9</v>
      </c>
      <c r="AX177" s="21">
        <f t="shared" si="166"/>
        <v>43.128024658805437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140.32771978791288</v>
      </c>
      <c r="BJ177" s="59">
        <f t="shared" si="146"/>
        <v>135.76866977947634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2.0488811805467999</v>
      </c>
      <c r="BQ177" s="21">
        <f>EXP(-LN(2)/25)*BQ176+(1-EXP(-LN(2)/25))/(LN(2)/25)*Calculateur!BL177*Calculateur!BN177*VLOOKUP('Données projet'!$B$11,Paramètres!$A$1:$I$89,3,0)*0.475*44/12</f>
        <v>6.2199670981469382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8.2688482786937385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7.688333333333337</v>
      </c>
      <c r="BY177" s="12">
        <f>IF('Données projet'!$A$114&gt;35,BY176+BX177-CG176,IF(A177&lt;'Données projet'!$A$114,$BV$205^A177,IF(A177='Données projet'!$A$114,'Données projet'!$B$114,BY176+BX177-CG176)))</f>
        <v>410.40999999999968</v>
      </c>
      <c r="BZ177" s="13">
        <f>BY177*VLOOKUP('Données projet'!$B$12,Paramètres!$A$1:$I$89,3,0)*VLOOKUP('Données projet'!$B$12,Paramètres!$A$1:$I$89,5,0)</f>
        <v>416.1557399999997</v>
      </c>
      <c r="CA177" s="13">
        <f t="shared" si="170"/>
        <v>95.044407695945651</v>
      </c>
      <c r="CB177" s="20">
        <f t="shared" si="171"/>
        <v>890.34025723710477</v>
      </c>
      <c r="CC177" s="59">
        <f t="shared" si="119"/>
        <v>1183.6735905704381</v>
      </c>
      <c r="CD177" s="59">
        <f ca="1">AVERAGE(OFFSET($CC$3,0,0,'Données projet'!$E$12+1,1))-AVERAGE(OFFSET($H$3,0,0,'Données projet'!$E$12+1,1))</f>
        <v>372.05986520199804</v>
      </c>
      <c r="CE177" s="59">
        <f t="shared" si="148"/>
        <v>184.37981929432044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44.72918349159675</v>
      </c>
      <c r="CL177" s="21">
        <f>EXP(-LN(2)/25)*CL176+(1-EXP(-LN(2)/25))/(LN(2)/25)*Calculateur!CG177*Calculateur!CI177*VLOOKUP('Données projet'!$B$12,Paramètres!$A$1:$I$89,3,0)*0.475*44/12</f>
        <v>19.682008870953172</v>
      </c>
      <c r="CM177" s="21">
        <f>EXP(-LN(2)/2)*CM176+(1-EXP(-LN(2)/2))/(LN(2)/2)*CG177*CJ177*VLOOKUP('Données projet'!$B$12,Paramètres!$A$1:$I$89,3,0)*0.475*44/12</f>
        <v>1.8024719441687507E-4</v>
      </c>
      <c r="CN177" s="22">
        <f t="shared" si="172"/>
        <v>64.411372609744348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610.52</v>
      </c>
      <c r="CR177" s="12">
        <f>VLOOKUP(A177,'Données projet'!$A$139:$I$159,9,0)</f>
        <v>9.6220000000000034</v>
      </c>
      <c r="CS177" s="12">
        <f t="array" ref="CS177">INDEX(CR:CR,MIN(IF(ISNUMBER(CR177:CR373),ROW(CR177:CR373),"")))</f>
        <v>9.6220000000000034</v>
      </c>
      <c r="CT177" s="12">
        <f>IF('Données projet'!$A$140&gt;35,CT176+CS177-DB176,IF(A177&lt;'Données projet'!$A$140,$CQ$205^A177,IF(A177='Données projet'!$A$140,'Données projet'!$B$140,CT176+CS177-DB176)))</f>
        <v>610.52000000000089</v>
      </c>
      <c r="CU177" s="17">
        <f>CT177*VLOOKUP('Données projet'!$B$13,Paramètres!$A$1:$I$89,3,0)*VLOOKUP('Données projet'!$B$13,Paramètres!$A$1:$I$89,5,0)</f>
        <v>552.3984960000007</v>
      </c>
      <c r="CV177" s="13">
        <f t="shared" si="173"/>
        <v>122.06927432492597</v>
      </c>
      <c r="CW177" s="20">
        <f t="shared" si="174"/>
        <v>1174.698033315914</v>
      </c>
      <c r="CX177" s="59">
        <f t="shared" si="122"/>
        <v>1468.0313666492473</v>
      </c>
      <c r="CY177" s="59">
        <f ca="1">AVERAGE(OFFSET($CX$3,0,0,'Données projet'!$E$13+1,1))-AVERAGE(OFFSET($H$3,0,0,'Données projet'!$E$13+1,1))</f>
        <v>479.84731392413374</v>
      </c>
      <c r="CZ177" s="59">
        <f t="shared" si="150"/>
        <v>203.57601099841213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240</v>
      </c>
      <c r="DC177" s="16">
        <f>IF(ISNA(VLOOKUP(A177,'Données projet'!$A$139:$I$159,5,0)),0%,VLOOKUP(A177,'Données projet'!$A$139:$I$159,5,0)*VLOOKUP('Données projet'!$B$13,Paramètres!$A$1:$I$89,7,0))</f>
        <v>0.19350000000000001</v>
      </c>
      <c r="DD177" s="16">
        <f>IF(ISNA(VLOOKUP(A177,'Données projet'!$A$139:$I$159,6,0)),0%,VLOOKUP(A177,'Données projet'!$A$139:$I$159,6,0)*VLOOKUP('Données projet'!$B$13,Paramètres!$A$1:$I$89,7,0))</f>
        <v>2.1500000000000002E-2</v>
      </c>
      <c r="DE177" s="16">
        <f>IF(ISNA(VLOOKUP(A177,'Données projet'!$A$139:$I$159,7,0)),0%,VLOOKUP(A177,'Données projet'!$A$139:$I$159,7,0))</f>
        <v>0.05</v>
      </c>
      <c r="DF177" s="21">
        <f>EXP(-LN(2)/35)*DF176+(1-EXP(-LN(2)/35))/(LN(2)/35)*DB177*DC177*VLOOKUP('Données projet'!$B$13,Paramètres!$A$1:$I$89,3,0)*0.475*44/12</f>
        <v>94.533010057963907</v>
      </c>
      <c r="DG177" s="21">
        <f>EXP(-LN(2)/25)*DG176+(1-EXP(-LN(2)/25))/(LN(2)/25)*Calculateur!DB177*Calculateur!DD177*VLOOKUP('Données projet'!$B$13,Paramètres!$A$1:$I$89,3,0)*0.475*44/12</f>
        <v>22.577722084238086</v>
      </c>
      <c r="DH177" s="21">
        <f>EXP(-LN(2)/2)*DH176+(1-EXP(-LN(2)/2))/(LN(2)/2)*DB177*DE177*VLOOKUP('Données projet'!$B$13,Paramètres!$A$1:$I$89,3,0)*0.475*44/12</f>
        <v>10.244437980189536</v>
      </c>
      <c r="DI177" s="22">
        <f t="shared" si="175"/>
        <v>127.35517012239153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293.3333333333353</v>
      </c>
      <c r="S178" s="59">
        <f ca="1">AVERAGE(OFFSET($R$3,0,0,'Données projet'!$E$9+1,1))-AVERAGE(OFFSET($H$3,0,0,'Données projet'!$E$9+1,1))</f>
        <v>322.7909000321435</v>
      </c>
      <c r="T178" s="59">
        <f t="shared" si="142"/>
        <v>403.23516981532316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16.864321376357644</v>
      </c>
      <c r="AA178" s="21">
        <f>EXP(-LN(2)/25)*AA177+(1-EXP(-LN(2)/25))/(LN(2)/25)*Calculateur!V178*Calculateur!X178*VLOOKUP('Données projet'!$B$9,Paramètres!$A$1:$I$89,3,0)*0.475*44/12</f>
        <v>2.2759570831573912</v>
      </c>
      <c r="AB178" s="21">
        <f>EXP(-LN(2)/2)*AB177+(1-EXP(-LN(2)/2))/(LN(2)/2)*V178*Y178*VLOOKUP('Données projet'!$B$9,Paramètres!$A$1:$I$89,3,0)*0.475*44/12</f>
        <v>9.4824154188237572E-17</v>
      </c>
      <c r="AC178" s="22">
        <f t="shared" si="163"/>
        <v>19.140278459515034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3.4106051316484809E-13</v>
      </c>
      <c r="AJ178" s="13">
        <f>AI178*VLOOKUP('Données projet'!$B$10,Paramètres!$A$1:$I$89,3,0)*VLOOKUP('Données projet'!$B$10,Paramètres!$A$1:$I$89,5,0)</f>
        <v>1.5961632016114892E-13</v>
      </c>
      <c r="AK178" s="13">
        <f t="shared" si="164"/>
        <v>2.2708641912150958E-12</v>
      </c>
      <c r="AL178" s="20">
        <f t="shared" si="165"/>
        <v>4.2330868906469593E-12</v>
      </c>
      <c r="AM178" s="59">
        <f t="shared" si="113"/>
        <v>293.33333333333752</v>
      </c>
      <c r="AN178" s="59">
        <f ca="1">AVERAGE(OFFSET($AM$3,0,0,'Données projet'!$E$10+1,1))-AVERAGE(OFFSET($H$3,0,0,'Données projet'!$E$10+1,1))</f>
        <v>187.82209112143374</v>
      </c>
      <c r="AO178" s="59">
        <f t="shared" si="144"/>
        <v>158.99136654880203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35.50958790403314</v>
      </c>
      <c r="AV178" s="21">
        <f>EXP(-LN(2)/25)*AV177+(1-EXP(-LN(2)/25))/(LN(2)/25)*Calculateur!AQ178*Calculateur!AS178*VLOOKUP('Données projet'!$B$10,Paramètres!$A$1:$I$89,3,0)*0.475*44/12</f>
        <v>6.7192830818090217</v>
      </c>
      <c r="AW178" s="21">
        <f>EXP(-LN(2)/2)*AW177+(1-EXP(-LN(2)/2))/(LN(2)/2)*AQ178*AT178*VLOOKUP('Données projet'!$B$10,Paramètres!$A$1:$I$89,3,0)*0.475*44/12</f>
        <v>3.6656738979314391E-9</v>
      </c>
      <c r="AX178" s="21">
        <f t="shared" si="166"/>
        <v>42.22887098950784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140.32771978791288</v>
      </c>
      <c r="BJ178" s="59">
        <f t="shared" si="146"/>
        <v>135.76866977947634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2.0087038702904003</v>
      </c>
      <c r="BQ178" s="21">
        <f>EXP(-LN(2)/25)*BQ177+(1-EXP(-LN(2)/25))/(LN(2)/25)*Calculateur!BL178*Calculateur!BN178*VLOOKUP('Données projet'!$B$11,Paramètres!$A$1:$I$89,3,0)*0.475*44/12</f>
        <v>6.049881770754256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8.0585856410446564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7.688333333333337</v>
      </c>
      <c r="BY178" s="12">
        <f>IF('Données projet'!$A$114&gt;35,BY177+BX178-CG177,IF(A178&lt;'Données projet'!$A$114,$BV$205^A178,IF(A178='Données projet'!$A$114,'Données projet'!$B$114,BY177+BX178-CG177)))</f>
        <v>418.09833333333302</v>
      </c>
      <c r="BZ178" s="13">
        <f>BY178*VLOOKUP('Données projet'!$B$12,Paramètres!$A$1:$I$89,3,0)*VLOOKUP('Données projet'!$B$12,Paramètres!$A$1:$I$89,5,0)</f>
        <v>423.95170999999976</v>
      </c>
      <c r="CA178" s="13">
        <f t="shared" si="170"/>
        <v>96.615949933698687</v>
      </c>
      <c r="CB178" s="20">
        <f t="shared" si="171"/>
        <v>906.65534105119139</v>
      </c>
      <c r="CC178" s="59">
        <f t="shared" si="119"/>
        <v>1199.9886743845248</v>
      </c>
      <c r="CD178" s="59">
        <f ca="1">AVERAGE(OFFSET($CC$3,0,0,'Données projet'!$E$12+1,1))-AVERAGE(OFFSET($H$3,0,0,'Données projet'!$E$12+1,1))</f>
        <v>372.05986520199804</v>
      </c>
      <c r="CE178" s="59">
        <f t="shared" si="148"/>
        <v>184.37981929432044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43.852071485434585</v>
      </c>
      <c r="CL178" s="21">
        <f>EXP(-LN(2)/25)*CL177+(1-EXP(-LN(2)/25))/(LN(2)/25)*Calculateur!CG178*Calculateur!CI178*VLOOKUP('Données projet'!$B$12,Paramètres!$A$1:$I$89,3,0)*0.475*44/12</f>
        <v>19.143803303345095</v>
      </c>
      <c r="CM178" s="21">
        <f>EXP(-LN(2)/2)*CM177+(1-EXP(-LN(2)/2))/(LN(2)/2)*CG178*CJ178*VLOOKUP('Données projet'!$B$12,Paramètres!$A$1:$I$89,3,0)*0.475*44/12</f>
        <v>1.2745401346202237E-4</v>
      </c>
      <c r="CN178" s="22">
        <f t="shared" si="172"/>
        <v>62.996002242793139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6.140000000000005</v>
      </c>
      <c r="CT178" s="12">
        <f>IF('Données projet'!$A$140&gt;35,CT177+CS178-DB177,IF(A178&lt;'Données projet'!$A$140,$CQ$205^A178,IF(A178='Données projet'!$A$140,'Données projet'!$B$140,CT177+CS178-DB177)))</f>
        <v>376.66000000000088</v>
      </c>
      <c r="CU178" s="17">
        <f>CT178*VLOOKUP('Données projet'!$B$13,Paramètres!$A$1:$I$89,3,0)*VLOOKUP('Données projet'!$B$13,Paramètres!$A$1:$I$89,5,0)</f>
        <v>340.80196800000078</v>
      </c>
      <c r="CV178" s="13">
        <f t="shared" si="173"/>
        <v>79.665615362245418</v>
      </c>
      <c r="CW178" s="20">
        <f t="shared" si="174"/>
        <v>732.31437435591215</v>
      </c>
      <c r="CX178" s="59">
        <f t="shared" si="122"/>
        <v>1025.6477076892454</v>
      </c>
      <c r="CY178" s="59">
        <f ca="1">AVERAGE(OFFSET($CX$3,0,0,'Données projet'!$E$13+1,1))-AVERAGE(OFFSET($H$3,0,0,'Données projet'!$E$13+1,1))</f>
        <v>479.84731392413374</v>
      </c>
      <c r="CZ178" s="59">
        <f t="shared" si="150"/>
        <v>203.57601099841213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92.679275390169977</v>
      </c>
      <c r="DG178" s="21">
        <f>EXP(-LN(2)/25)*DG177+(1-EXP(-LN(2)/25))/(LN(2)/25)*Calculateur!DB178*Calculateur!DD178*VLOOKUP('Données projet'!$B$13,Paramètres!$A$1:$I$89,3,0)*0.475*44/12</f>
        <v>21.960333086533794</v>
      </c>
      <c r="DH178" s="21">
        <f>EXP(-LN(2)/2)*DH177+(1-EXP(-LN(2)/2))/(LN(2)/2)*DB178*DE178*VLOOKUP('Données projet'!$B$13,Paramètres!$A$1:$I$89,3,0)*0.475*44/12</f>
        <v>7.2439115652370401</v>
      </c>
      <c r="DI178" s="22">
        <f t="shared" si="175"/>
        <v>121.88352004194081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293.3333333333353</v>
      </c>
      <c r="S179" s="59">
        <f ca="1">AVERAGE(OFFSET($R$3,0,0,'Données projet'!$E$9+1,1))-AVERAGE(OFFSET($H$3,0,0,'Données projet'!$E$9+1,1))</f>
        <v>322.7909000321435</v>
      </c>
      <c r="T179" s="59">
        <f t="shared" si="142"/>
        <v>403.23516981532316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16.533622320387629</v>
      </c>
      <c r="AA179" s="21">
        <f>EXP(-LN(2)/25)*AA178+(1-EXP(-LN(2)/25))/(LN(2)/25)*Calculateur!V179*Calculateur!X179*VLOOKUP('Données projet'!$B$9,Paramètres!$A$1:$I$89,3,0)*0.475*44/12</f>
        <v>2.213720917031071</v>
      </c>
      <c r="AB179" s="21">
        <f>EXP(-LN(2)/2)*AB178+(1-EXP(-LN(2)/2))/(LN(2)/2)*V179*Y179*VLOOKUP('Données projet'!$B$9,Paramètres!$A$1:$I$89,3,0)*0.475*44/12</f>
        <v>6.7050802446781548E-17</v>
      </c>
      <c r="AC179" s="22">
        <f t="shared" si="163"/>
        <v>18.747343237418701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3.4106051316484809E-13</v>
      </c>
      <c r="AJ179" s="13">
        <f>AI179*VLOOKUP('Données projet'!$B$10,Paramètres!$A$1:$I$89,3,0)*VLOOKUP('Données projet'!$B$10,Paramètres!$A$1:$I$89,5,0)</f>
        <v>1.5961632016114892E-13</v>
      </c>
      <c r="AK179" s="13">
        <f t="shared" si="164"/>
        <v>2.2708641912150958E-12</v>
      </c>
      <c r="AL179" s="20">
        <f t="shared" si="165"/>
        <v>4.2330868906469593E-12</v>
      </c>
      <c r="AM179" s="59">
        <f t="shared" si="113"/>
        <v>293.33333333333752</v>
      </c>
      <c r="AN179" s="59">
        <f ca="1">AVERAGE(OFFSET($AM$3,0,0,'Données projet'!$E$10+1,1))-AVERAGE(OFFSET($H$3,0,0,'Données projet'!$E$10+1,1))</f>
        <v>187.82209112143374</v>
      </c>
      <c r="AO179" s="59">
        <f t="shared" si="144"/>
        <v>158.99136654880203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34.813266543945055</v>
      </c>
      <c r="AV179" s="21">
        <f>EXP(-LN(2)/25)*AV178+(1-EXP(-LN(2)/25))/(LN(2)/25)*Calculateur!AQ179*Calculateur!AS179*VLOOKUP('Données projet'!$B$10,Paramètres!$A$1:$I$89,3,0)*0.475*44/12</f>
        <v>6.535543932585214</v>
      </c>
      <c r="AW179" s="21">
        <f>EXP(-LN(2)/2)*AW178+(1-EXP(-LN(2)/2))/(LN(2)/2)*AQ179*AT179*VLOOKUP('Données projet'!$B$10,Paramètres!$A$1:$I$89,3,0)*0.475*44/12</f>
        <v>2.5920228708458452E-9</v>
      </c>
      <c r="AX179" s="21">
        <f t="shared" si="166"/>
        <v>41.348810479122292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140.32771978791288</v>
      </c>
      <c r="BJ179" s="59">
        <f t="shared" si="146"/>
        <v>135.76866977947634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1.9693144125823892</v>
      </c>
      <c r="BQ179" s="21">
        <f>EXP(-LN(2)/25)*BQ178+(1-EXP(-LN(2)/25))/(LN(2)/25)*Calculateur!BL179*Calculateur!BN179*VLOOKUP('Données projet'!$B$11,Paramètres!$A$1:$I$89,3,0)*0.475*44/12</f>
        <v>5.8844474355835255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7.8537618481659148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7.688333333333337</v>
      </c>
      <c r="BY179" s="12">
        <f>IF('Données projet'!$A$114&gt;35,BY178+BX179-CG178,IF(A179&lt;'Données projet'!$A$114,$BV$205^A179,IF(A179='Données projet'!$A$114,'Données projet'!$B$114,BY178+BX179-CG178)))</f>
        <v>425.78666666666635</v>
      </c>
      <c r="BZ179" s="13">
        <f>BY179*VLOOKUP('Données projet'!$B$12,Paramètres!$A$1:$I$89,3,0)*VLOOKUP('Données projet'!$B$12,Paramètres!$A$1:$I$89,5,0)</f>
        <v>431.74767999999972</v>
      </c>
      <c r="CA179" s="13">
        <f t="shared" si="170"/>
        <v>98.184131748284557</v>
      </c>
      <c r="CB179" s="20">
        <f t="shared" si="171"/>
        <v>922.96457212826181</v>
      </c>
      <c r="CC179" s="59">
        <f t="shared" si="119"/>
        <v>1216.2979054615951</v>
      </c>
      <c r="CD179" s="59">
        <f ca="1">AVERAGE(OFFSET($CC$3,0,0,'Données projet'!$E$12+1,1))-AVERAGE(OFFSET($H$3,0,0,'Données projet'!$E$12+1,1))</f>
        <v>372.05986520199804</v>
      </c>
      <c r="CE179" s="59">
        <f t="shared" si="148"/>
        <v>184.37981929432044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42.992159110727762</v>
      </c>
      <c r="CL179" s="21">
        <f>EXP(-LN(2)/25)*CL178+(1-EXP(-LN(2)/25))/(LN(2)/25)*Calculateur!CG179*Calculateur!CI179*VLOOKUP('Données projet'!$B$12,Paramètres!$A$1:$I$89,3,0)*0.475*44/12</f>
        <v>18.620314995286261</v>
      </c>
      <c r="CM179" s="21">
        <f>EXP(-LN(2)/2)*CM178+(1-EXP(-LN(2)/2))/(LN(2)/2)*CG179*CJ179*VLOOKUP('Données projet'!$B$12,Paramètres!$A$1:$I$89,3,0)*0.475*44/12</f>
        <v>9.0123597208437533E-5</v>
      </c>
      <c r="CN179" s="22">
        <f t="shared" si="172"/>
        <v>61.61256422961123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6.140000000000005</v>
      </c>
      <c r="CT179" s="12">
        <f>IF('Données projet'!$A$140&gt;35,CT178+CS179-DB178,IF(A179&lt;'Données projet'!$A$140,$CQ$205^A179,IF(A179='Données projet'!$A$140,'Données projet'!$B$140,CT178+CS179-DB178)))</f>
        <v>382.80000000000086</v>
      </c>
      <c r="CU179" s="17">
        <f>CT179*VLOOKUP('Données projet'!$B$13,Paramètres!$A$1:$I$89,3,0)*VLOOKUP('Données projet'!$B$13,Paramètres!$A$1:$I$89,5,0)</f>
        <v>346.35744000000079</v>
      </c>
      <c r="CV179" s="13">
        <f t="shared" si="173"/>
        <v>80.812014230904367</v>
      </c>
      <c r="CW179" s="20">
        <f t="shared" si="174"/>
        <v>743.98679945215974</v>
      </c>
      <c r="CX179" s="59">
        <f t="shared" si="122"/>
        <v>1037.3201327854931</v>
      </c>
      <c r="CY179" s="59">
        <f ca="1">AVERAGE(OFFSET($CX$3,0,0,'Données projet'!$E$13+1,1))-AVERAGE(OFFSET($H$3,0,0,'Données projet'!$E$13+1,1))</f>
        <v>479.84731392413374</v>
      </c>
      <c r="CZ179" s="59">
        <f t="shared" si="150"/>
        <v>203.57601099841213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90.861891328544985</v>
      </c>
      <c r="DG179" s="21">
        <f>EXP(-LN(2)/25)*DG178+(1-EXP(-LN(2)/25))/(LN(2)/25)*Calculateur!DB179*Calculateur!DD179*VLOOKUP('Données projet'!$B$13,Paramètres!$A$1:$I$89,3,0)*0.475*44/12</f>
        <v>21.359826623438803</v>
      </c>
      <c r="DH179" s="21">
        <f>EXP(-LN(2)/2)*DH178+(1-EXP(-LN(2)/2))/(LN(2)/2)*DB179*DE179*VLOOKUP('Données projet'!$B$13,Paramètres!$A$1:$I$89,3,0)*0.475*44/12</f>
        <v>5.122218990094769</v>
      </c>
      <c r="DI179" s="22">
        <f t="shared" si="175"/>
        <v>117.34393694207856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293.3333333333353</v>
      </c>
      <c r="S180" s="59">
        <f ca="1">AVERAGE(OFFSET($R$3,0,0,'Données projet'!$E$9+1,1))-AVERAGE(OFFSET($H$3,0,0,'Données projet'!$E$9+1,1))</f>
        <v>322.7909000321435</v>
      </c>
      <c r="T180" s="59">
        <f t="shared" si="142"/>
        <v>403.23516981532316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16.209408071198681</v>
      </c>
      <c r="AA180" s="21">
        <f>EXP(-LN(2)/25)*AA179+(1-EXP(-LN(2)/25))/(LN(2)/25)*Calculateur!V180*Calculateur!X180*VLOOKUP('Données projet'!$B$9,Paramètres!$A$1:$I$89,3,0)*0.475*44/12</f>
        <v>2.153186602140333</v>
      </c>
      <c r="AB180" s="21">
        <f>EXP(-LN(2)/2)*AB179+(1-EXP(-LN(2)/2))/(LN(2)/2)*V180*Y180*VLOOKUP('Données projet'!$B$9,Paramètres!$A$1:$I$89,3,0)*0.475*44/12</f>
        <v>4.7412077094118786E-17</v>
      </c>
      <c r="AC180" s="22">
        <f t="shared" si="163"/>
        <v>18.362594673339014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3.4106051316484809E-13</v>
      </c>
      <c r="AJ180" s="13">
        <f>AI180*VLOOKUP('Données projet'!$B$10,Paramètres!$A$1:$I$89,3,0)*VLOOKUP('Données projet'!$B$10,Paramètres!$A$1:$I$89,5,0)</f>
        <v>1.5961632016114892E-13</v>
      </c>
      <c r="AK180" s="13">
        <f t="shared" si="164"/>
        <v>2.2708641912150958E-12</v>
      </c>
      <c r="AL180" s="20">
        <f t="shared" si="165"/>
        <v>4.2330868906469593E-12</v>
      </c>
      <c r="AM180" s="59">
        <f t="shared" si="113"/>
        <v>293.33333333333752</v>
      </c>
      <c r="AN180" s="59">
        <f ca="1">AVERAGE(OFFSET($AM$3,0,0,'Données projet'!$E$10+1,1))-AVERAGE(OFFSET($H$3,0,0,'Données projet'!$E$10+1,1))</f>
        <v>187.82209112143374</v>
      </c>
      <c r="AO180" s="59">
        <f t="shared" si="144"/>
        <v>158.99136654880203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34.130599621014198</v>
      </c>
      <c r="AV180" s="21">
        <f>EXP(-LN(2)/25)*AV179+(1-EXP(-LN(2)/25))/(LN(2)/25)*Calculateur!AQ180*Calculateur!AS180*VLOOKUP('Données projet'!$B$10,Paramètres!$A$1:$I$89,3,0)*0.475*44/12</f>
        <v>6.3568291400593528</v>
      </c>
      <c r="AW180" s="21">
        <f>EXP(-LN(2)/2)*AW179+(1-EXP(-LN(2)/2))/(LN(2)/2)*AQ180*AT180*VLOOKUP('Données projet'!$B$10,Paramètres!$A$1:$I$89,3,0)*0.475*44/12</f>
        <v>1.8328369489657199E-9</v>
      </c>
      <c r="AX180" s="21">
        <f t="shared" si="166"/>
        <v>40.48742876290639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140.32771978791288</v>
      </c>
      <c r="BJ180" s="59">
        <f t="shared" si="146"/>
        <v>135.76866977947634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1.9306973581148352</v>
      </c>
      <c r="BQ180" s="21">
        <f>EXP(-LN(2)/25)*BQ179+(1-EXP(-LN(2)/25))/(LN(2)/25)*Calculateur!BL180*Calculateur!BN180*VLOOKUP('Données projet'!$B$11,Paramètres!$A$1:$I$89,3,0)*0.475*44/12</f>
        <v>5.7235369110078524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7.6542342691226875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7.688333333333337</v>
      </c>
      <c r="BY180" s="12">
        <f>IF('Données projet'!$A$114&gt;35,BY179+BX180-CG179,IF(A180&lt;'Données projet'!$A$114,$BV$205^A180,IF(A180='Données projet'!$A$114,'Données projet'!$B$114,BY179+BX180-CG179)))</f>
        <v>433.47499999999968</v>
      </c>
      <c r="BZ180" s="13">
        <f>BY180*VLOOKUP('Données projet'!$B$12,Paramètres!$A$1:$I$89,3,0)*VLOOKUP('Données projet'!$B$12,Paramètres!$A$1:$I$89,5,0)</f>
        <v>439.54364999999967</v>
      </c>
      <c r="CA180" s="13">
        <f t="shared" si="170"/>
        <v>99.749020817344601</v>
      </c>
      <c r="CB180" s="20">
        <f t="shared" si="171"/>
        <v>939.26806834020806</v>
      </c>
      <c r="CC180" s="59">
        <f t="shared" si="119"/>
        <v>1232.6014016735414</v>
      </c>
      <c r="CD180" s="59">
        <f ca="1">AVERAGE(OFFSET($CC$3,0,0,'Données projet'!$E$12+1,1))-AVERAGE(OFFSET($H$3,0,0,'Données projet'!$E$12+1,1))</f>
        <v>372.05986520199804</v>
      </c>
      <c r="CE180" s="59">
        <f t="shared" si="148"/>
        <v>184.37981929432044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42.149109093194177</v>
      </c>
      <c r="CL180" s="21">
        <f>EXP(-LN(2)/25)*CL179+(1-EXP(-LN(2)/25))/(LN(2)/25)*Calculateur!CG180*Calculateur!CI180*VLOOKUP('Données projet'!$B$12,Paramètres!$A$1:$I$89,3,0)*0.475*44/12</f>
        <v>18.111141502540349</v>
      </c>
      <c r="CM180" s="21">
        <f>EXP(-LN(2)/2)*CM179+(1-EXP(-LN(2)/2))/(LN(2)/2)*CG180*CJ180*VLOOKUP('Données projet'!$B$12,Paramètres!$A$1:$I$89,3,0)*0.475*44/12</f>
        <v>6.3727006731011183E-5</v>
      </c>
      <c r="CN180" s="22">
        <f t="shared" si="172"/>
        <v>60.260314322741259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388.94</v>
      </c>
      <c r="CR180" s="12">
        <f>VLOOKUP(A180,'Données projet'!$A$139:$I$159,9,0)</f>
        <v>6.140000000000005</v>
      </c>
      <c r="CS180" s="12">
        <f t="array" ref="CS180">INDEX(CR:CR,MIN(IF(ISNUMBER(CR180:CR376),ROW(CR180:CR376),"")))</f>
        <v>6.140000000000005</v>
      </c>
      <c r="CT180" s="12">
        <f>IF('Données projet'!$A$140&gt;35,CT179+CS180-DB179,IF(A180&lt;'Données projet'!$A$140,$CQ$205^A180,IF(A180='Données projet'!$A$140,'Données projet'!$B$140,CT179+CS180-DB179)))</f>
        <v>388.94000000000085</v>
      </c>
      <c r="CU180" s="17">
        <f>CT180*VLOOKUP('Données projet'!$B$13,Paramètres!$A$1:$I$89,3,0)*VLOOKUP('Données projet'!$B$13,Paramètres!$A$1:$I$89,5,0)</f>
        <v>351.91291200000074</v>
      </c>
      <c r="CV180" s="13">
        <f t="shared" si="173"/>
        <v>81.956274647572329</v>
      </c>
      <c r="CW180" s="20">
        <f t="shared" si="174"/>
        <v>755.65550007785635</v>
      </c>
      <c r="CX180" s="59">
        <f t="shared" si="122"/>
        <v>1048.9888334111897</v>
      </c>
      <c r="CY180" s="59">
        <f ca="1">AVERAGE(OFFSET($CX$3,0,0,'Données projet'!$E$13+1,1))-AVERAGE(OFFSET($H$3,0,0,'Données projet'!$E$13+1,1))</f>
        <v>479.84731392413374</v>
      </c>
      <c r="CZ180" s="59">
        <f t="shared" si="150"/>
        <v>203.57601099841213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128.66000000000003</v>
      </c>
      <c r="DC180" s="16">
        <f>IF(ISNA(VLOOKUP(A180,'Données projet'!$A$139:$I$159,5,0)),0%,VLOOKUP(A180,'Données projet'!$A$139:$I$159,5,0)*VLOOKUP('Données projet'!$B$13,Paramètres!$A$1:$I$89,7,0))</f>
        <v>0.19350000000000001</v>
      </c>
      <c r="DD180" s="16">
        <f>IF(ISNA(VLOOKUP(A180,'Données projet'!$A$139:$I$159,6,0)),0%,VLOOKUP(A180,'Données projet'!$A$139:$I$159,6,0)*VLOOKUP('Données projet'!$B$13,Paramètres!$A$1:$I$89,7,0))</f>
        <v>2.1500000000000002E-2</v>
      </c>
      <c r="DE180" s="16">
        <f>IF(ISNA(VLOOKUP(A180,'Données projet'!$A$139:$I$159,7,0)),0%,VLOOKUP(A180,'Données projet'!$A$139:$I$159,7,0))</f>
        <v>0.05</v>
      </c>
      <c r="DF180" s="21">
        <f>EXP(-LN(2)/35)*DF179+(1-EXP(-LN(2)/35))/(LN(2)/35)*DB180*DC180*VLOOKUP('Données projet'!$B$13,Paramètres!$A$1:$I$89,3,0)*0.475*44/12</f>
        <v>113.98157109998739</v>
      </c>
      <c r="DG180" s="21">
        <f>EXP(-LN(2)/25)*DG179+(1-EXP(-LN(2)/25))/(LN(2)/25)*Calculateur!DB180*Calculateur!DD180*VLOOKUP('Données projet'!$B$13,Paramètres!$A$1:$I$89,3,0)*0.475*44/12</f>
        <v>23.531672112001587</v>
      </c>
      <c r="DH180" s="21">
        <f>EXP(-LN(2)/2)*DH179+(1-EXP(-LN(2)/2))/(LN(2)/2)*DB180*DE180*VLOOKUP('Données projet'!$B$13,Paramètres!$A$1:$I$89,3,0)*0.475*44/12</f>
        <v>9.1138281615892875</v>
      </c>
      <c r="DI180" s="22">
        <f t="shared" si="175"/>
        <v>146.62707137357827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293.3333333333353</v>
      </c>
      <c r="S181" s="59">
        <f ca="1">AVERAGE(OFFSET($R$3,0,0,'Données projet'!$E$9+1,1))-AVERAGE(OFFSET($H$3,0,0,'Données projet'!$E$9+1,1))</f>
        <v>322.7909000321435</v>
      </c>
      <c r="T181" s="59">
        <f t="shared" si="142"/>
        <v>403.23516981532316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15.891551465685161</v>
      </c>
      <c r="AA181" s="21">
        <f>EXP(-LN(2)/25)*AA180+(1-EXP(-LN(2)/25))/(LN(2)/25)*Calculateur!V181*Calculateur!X181*VLOOKUP('Données projet'!$B$9,Paramètres!$A$1:$I$89,3,0)*0.475*44/12</f>
        <v>2.0943076012736435</v>
      </c>
      <c r="AB181" s="21">
        <f>EXP(-LN(2)/2)*AB180+(1-EXP(-LN(2)/2))/(LN(2)/2)*V181*Y181*VLOOKUP('Données projet'!$B$9,Paramètres!$A$1:$I$89,3,0)*0.475*44/12</f>
        <v>3.3525401223390774E-17</v>
      </c>
      <c r="AC181" s="22">
        <f t="shared" si="163"/>
        <v>17.985859066958806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3.4106051316484809E-13</v>
      </c>
      <c r="AJ181" s="13">
        <f>AI181*VLOOKUP('Données projet'!$B$10,Paramètres!$A$1:$I$89,3,0)*VLOOKUP('Données projet'!$B$10,Paramètres!$A$1:$I$89,5,0)</f>
        <v>1.5961632016114892E-13</v>
      </c>
      <c r="AK181" s="13">
        <f t="shared" si="164"/>
        <v>2.2708641912150958E-12</v>
      </c>
      <c r="AL181" s="20">
        <f t="shared" si="165"/>
        <v>4.2330868906469593E-12</v>
      </c>
      <c r="AM181" s="59">
        <f t="shared" si="113"/>
        <v>293.33333333333752</v>
      </c>
      <c r="AN181" s="59">
        <f ca="1">AVERAGE(OFFSET($AM$3,0,0,'Données projet'!$E$10+1,1))-AVERAGE(OFFSET($H$3,0,0,'Données projet'!$E$10+1,1))</f>
        <v>187.82209112143374</v>
      </c>
      <c r="AO181" s="59">
        <f t="shared" si="144"/>
        <v>158.99136654880203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33.46131938005631</v>
      </c>
      <c r="AV181" s="21">
        <f>EXP(-LN(2)/25)*AV180+(1-EXP(-LN(2)/25))/(LN(2)/25)*Calculateur!AQ181*Calculateur!AS181*VLOOKUP('Données projet'!$B$10,Paramètres!$A$1:$I$89,3,0)*0.475*44/12</f>
        <v>6.1830013129333139</v>
      </c>
      <c r="AW181" s="21">
        <f>EXP(-LN(2)/2)*AW180+(1-EXP(-LN(2)/2))/(LN(2)/2)*AQ181*AT181*VLOOKUP('Données projet'!$B$10,Paramètres!$A$1:$I$89,3,0)*0.475*44/12</f>
        <v>1.2960114354229228E-9</v>
      </c>
      <c r="AX181" s="21">
        <f t="shared" si="166"/>
        <v>39.644320694285632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140.32771978791288</v>
      </c>
      <c r="BJ181" s="59">
        <f t="shared" si="146"/>
        <v>135.76866977947634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1.8928375605313126</v>
      </c>
      <c r="BQ181" s="21">
        <f>EXP(-LN(2)/25)*BQ180+(1-EXP(-LN(2)/25))/(LN(2)/25)*Calculateur!BL181*Calculateur!BN181*VLOOKUP('Données projet'!$B$11,Paramètres!$A$1:$I$89,3,0)*0.475*44/12</f>
        <v>5.5670264931886182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7.4598640537199312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7.688333333333337</v>
      </c>
      <c r="BY181" s="12">
        <f>IF('Données projet'!$A$114&gt;35,BY180+BX181-CG180,IF(A181&lt;'Données projet'!$A$114,$BV$205^A181,IF(A181='Données projet'!$A$114,'Données projet'!$B$114,BY180+BX181-CG180)))</f>
        <v>441.16333333333301</v>
      </c>
      <c r="BZ181" s="13">
        <f>BY181*VLOOKUP('Données projet'!$B$12,Paramètres!$A$1:$I$89,3,0)*VLOOKUP('Données projet'!$B$12,Paramètres!$A$1:$I$89,5,0)</f>
        <v>447.33961999999968</v>
      </c>
      <c r="CA181" s="13">
        <f t="shared" si="170"/>
        <v>101.31068228028938</v>
      </c>
      <c r="CB181" s="20">
        <f t="shared" si="171"/>
        <v>955.56594313817016</v>
      </c>
      <c r="CC181" s="59">
        <f t="shared" si="119"/>
        <v>1248.8992764715035</v>
      </c>
      <c r="CD181" s="59">
        <f ca="1">AVERAGE(OFFSET($CC$3,0,0,'Données projet'!$E$12+1,1))-AVERAGE(OFFSET($H$3,0,0,'Données projet'!$E$12+1,1))</f>
        <v>372.05986520199804</v>
      </c>
      <c r="CE181" s="59">
        <f t="shared" si="148"/>
        <v>184.37981929432044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41.322590772294689</v>
      </c>
      <c r="CL181" s="21">
        <f>EXP(-LN(2)/25)*CL180+(1-EXP(-LN(2)/25))/(LN(2)/25)*Calculateur!CG181*Calculateur!CI181*VLOOKUP('Données projet'!$B$12,Paramètres!$A$1:$I$89,3,0)*0.475*44/12</f>
        <v>17.615891385729846</v>
      </c>
      <c r="CM181" s="21">
        <f>EXP(-LN(2)/2)*CM180+(1-EXP(-LN(2)/2))/(LN(2)/2)*CG181*CJ181*VLOOKUP('Données projet'!$B$12,Paramètres!$A$1:$I$89,3,0)*0.475*44/12</f>
        <v>4.5061798604218766E-5</v>
      </c>
      <c r="CN181" s="22">
        <f t="shared" si="172"/>
        <v>58.938527219823136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3.76000000000001</v>
      </c>
      <c r="CT181" s="12">
        <f>IF('Données projet'!$A$140&gt;35,CT180+CS181-DB180,IF(A181&lt;'Données projet'!$A$140,$CQ$205^A181,IF(A181='Données projet'!$A$140,'Données projet'!$B$140,CT180+CS181-DB180)))</f>
        <v>264.04000000000082</v>
      </c>
      <c r="CU181" s="17">
        <f>CT181*VLOOKUP('Données projet'!$B$13,Paramètres!$A$1:$I$89,3,0)*VLOOKUP('Données projet'!$B$13,Paramètres!$A$1:$I$89,5,0)</f>
        <v>238.90339200000074</v>
      </c>
      <c r="CV181" s="13">
        <f t="shared" si="173"/>
        <v>58.203527078995975</v>
      </c>
      <c r="CW181" s="20">
        <f t="shared" si="174"/>
        <v>517.46121739591933</v>
      </c>
      <c r="CX181" s="59">
        <f t="shared" si="122"/>
        <v>810.79455072925271</v>
      </c>
      <c r="CY181" s="59">
        <f ca="1">AVERAGE(OFFSET($CX$3,0,0,'Données projet'!$E$13+1,1))-AVERAGE(OFFSET($H$3,0,0,'Données projet'!$E$13+1,1))</f>
        <v>479.84731392413374</v>
      </c>
      <c r="CZ181" s="59">
        <f t="shared" si="150"/>
        <v>203.57601099841213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111.74646201261029</v>
      </c>
      <c r="DG181" s="21">
        <f>EXP(-LN(2)/25)*DG180+(1-EXP(-LN(2)/25))/(LN(2)/25)*Calculateur!DB181*Calculateur!DD181*VLOOKUP('Données projet'!$B$13,Paramètres!$A$1:$I$89,3,0)*0.475*44/12</f>
        <v>22.88819730062205</v>
      </c>
      <c r="DH181" s="21">
        <f>EXP(-LN(2)/2)*DH180+(1-EXP(-LN(2)/2))/(LN(2)/2)*DB181*DE181*VLOOKUP('Données projet'!$B$13,Paramètres!$A$1:$I$89,3,0)*0.475*44/12</f>
        <v>6.4444496956287116</v>
      </c>
      <c r="DI181" s="22">
        <f t="shared" si="175"/>
        <v>141.07910900886105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293.3333333333353</v>
      </c>
      <c r="S182" s="59">
        <f ca="1">AVERAGE(OFFSET($R$3,0,0,'Données projet'!$E$9+1,1))-AVERAGE(OFFSET($H$3,0,0,'Données projet'!$E$9+1,1))</f>
        <v>322.7909000321435</v>
      </c>
      <c r="T182" s="59">
        <f t="shared" si="142"/>
        <v>403.23516981532316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15.579927834332375</v>
      </c>
      <c r="AA182" s="21">
        <f>EXP(-LN(2)/25)*AA181+(1-EXP(-LN(2)/25))/(LN(2)/25)*Calculateur!V182*Calculateur!X182*VLOOKUP('Données projet'!$B$9,Paramètres!$A$1:$I$89,3,0)*0.475*44/12</f>
        <v>2.0370386497819655</v>
      </c>
      <c r="AB182" s="21">
        <f>EXP(-LN(2)/2)*AB181+(1-EXP(-LN(2)/2))/(LN(2)/2)*V182*Y182*VLOOKUP('Données projet'!$B$9,Paramètres!$A$1:$I$89,3,0)*0.475*44/12</f>
        <v>2.3706038547059393E-17</v>
      </c>
      <c r="AC182" s="22">
        <f t="shared" si="163"/>
        <v>17.616966484114339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3.4106051316484809E-13</v>
      </c>
      <c r="AJ182" s="13">
        <f>AI182*VLOOKUP('Données projet'!$B$10,Paramètres!$A$1:$I$89,3,0)*VLOOKUP('Données projet'!$B$10,Paramètres!$A$1:$I$89,5,0)</f>
        <v>1.5961632016114892E-13</v>
      </c>
      <c r="AK182" s="13">
        <f t="shared" si="164"/>
        <v>2.2708641912150958E-12</v>
      </c>
      <c r="AL182" s="20">
        <f t="shared" si="165"/>
        <v>4.2330868906469593E-12</v>
      </c>
      <c r="AM182" s="59">
        <f t="shared" si="113"/>
        <v>293.33333333333752</v>
      </c>
      <c r="AN182" s="59">
        <f ca="1">AVERAGE(OFFSET($AM$3,0,0,'Données projet'!$E$10+1,1))-AVERAGE(OFFSET($H$3,0,0,'Données projet'!$E$10+1,1))</f>
        <v>187.82209112143374</v>
      </c>
      <c r="AO182" s="59">
        <f t="shared" si="144"/>
        <v>158.99136654880203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32.805163316402968</v>
      </c>
      <c r="AV182" s="21">
        <f>EXP(-LN(2)/25)*AV181+(1-EXP(-LN(2)/25))/(LN(2)/25)*Calculateur!AQ182*Calculateur!AS182*VLOOKUP('Données projet'!$B$10,Paramètres!$A$1:$I$89,3,0)*0.475*44/12</f>
        <v>6.013926816881245</v>
      </c>
      <c r="AW182" s="21">
        <f>EXP(-LN(2)/2)*AW181+(1-EXP(-LN(2)/2))/(LN(2)/2)*AQ182*AT182*VLOOKUP('Données projet'!$B$10,Paramètres!$A$1:$I$89,3,0)*0.475*44/12</f>
        <v>9.1641847448286008E-10</v>
      </c>
      <c r="AX182" s="21">
        <f t="shared" si="166"/>
        <v>38.819090134200628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140.32771978791288</v>
      </c>
      <c r="BJ182" s="59">
        <f t="shared" si="146"/>
        <v>135.76866977947634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1.8557201704862063</v>
      </c>
      <c r="BQ182" s="21">
        <f>EXP(-LN(2)/25)*BQ181+(1-EXP(-LN(2)/25))/(LN(2)/25)*Calculateur!BL182*Calculateur!BN182*VLOOKUP('Données projet'!$B$11,Paramètres!$A$1:$I$89,3,0)*0.475*44/12</f>
        <v>5.4147958609751754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7.2705160314613817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7.688333333333337</v>
      </c>
      <c r="BY182" s="12">
        <f>IF('Données projet'!$A$114&gt;35,BY181+BX182-CG181,IF(A182&lt;'Données projet'!$A$114,$BV$205^A182,IF(A182='Données projet'!$A$114,'Données projet'!$B$114,BY181+BX182-CG181)))</f>
        <v>448.85166666666635</v>
      </c>
      <c r="BZ182" s="13">
        <f>BY182*VLOOKUP('Données projet'!$B$12,Paramètres!$A$1:$I$89,3,0)*VLOOKUP('Données projet'!$B$12,Paramètres!$A$1:$I$89,5,0)</f>
        <v>455.13558999999975</v>
      </c>
      <c r="CA182" s="13">
        <f t="shared" si="170"/>
        <v>102.86917887604061</v>
      </c>
      <c r="CB182" s="20">
        <f t="shared" si="171"/>
        <v>971.85830579243668</v>
      </c>
      <c r="CC182" s="59">
        <f t="shared" si="119"/>
        <v>1265.1916391257701</v>
      </c>
      <c r="CD182" s="59">
        <f ca="1">AVERAGE(OFFSET($CC$3,0,0,'Données projet'!$E$12+1,1))-AVERAGE(OFFSET($H$3,0,0,'Données projet'!$E$12+1,1))</f>
        <v>372.05986520199804</v>
      </c>
      <c r="CE182" s="59">
        <f t="shared" si="148"/>
        <v>184.37981929432044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40.512279971541645</v>
      </c>
      <c r="CL182" s="21">
        <f>EXP(-LN(2)/25)*CL181+(1-EXP(-LN(2)/25))/(LN(2)/25)*Calculateur!CG182*Calculateur!CI182*VLOOKUP('Données projet'!$B$12,Paramètres!$A$1:$I$89,3,0)*0.475*44/12</f>
        <v>17.134183909407597</v>
      </c>
      <c r="CM182" s="21">
        <f>EXP(-LN(2)/2)*CM181+(1-EXP(-LN(2)/2))/(LN(2)/2)*CG182*CJ182*VLOOKUP('Données projet'!$B$12,Paramètres!$A$1:$I$89,3,0)*0.475*44/12</f>
        <v>3.1863503365505592E-5</v>
      </c>
      <c r="CN182" s="22">
        <f t="shared" si="172"/>
        <v>57.646495744452608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3.76000000000001</v>
      </c>
      <c r="CT182" s="12">
        <f>IF('Données projet'!$A$140&gt;35,CT181+CS182-DB181,IF(A182&lt;'Données projet'!$A$140,$CQ$205^A182,IF(A182='Données projet'!$A$140,'Données projet'!$B$140,CT181+CS182-DB181)))</f>
        <v>267.80000000000081</v>
      </c>
      <c r="CU182" s="17">
        <f>CT182*VLOOKUP('Données projet'!$B$13,Paramètres!$A$1:$I$89,3,0)*VLOOKUP('Données projet'!$B$13,Paramètres!$A$1:$I$89,5,0)</f>
        <v>242.30544000000074</v>
      </c>
      <c r="CV182" s="13">
        <f t="shared" si="173"/>
        <v>58.935280802002858</v>
      </c>
      <c r="CW182" s="20">
        <f t="shared" si="174"/>
        <v>524.66092206348958</v>
      </c>
      <c r="CX182" s="59">
        <f t="shared" si="122"/>
        <v>817.99425539682284</v>
      </c>
      <c r="CY182" s="59">
        <f ca="1">AVERAGE(OFFSET($CX$3,0,0,'Données projet'!$E$13+1,1))-AVERAGE(OFFSET($H$3,0,0,'Données projet'!$E$13+1,1))</f>
        <v>479.84731392413374</v>
      </c>
      <c r="CZ182" s="59">
        <f t="shared" si="150"/>
        <v>203.57601099841213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109.55518205115473</v>
      </c>
      <c r="DG182" s="21">
        <f>EXP(-LN(2)/25)*DG181+(1-EXP(-LN(2)/25))/(LN(2)/25)*Calculateur!DB182*Calculateur!DD182*VLOOKUP('Données projet'!$B$13,Paramètres!$A$1:$I$89,3,0)*0.475*44/12</f>
        <v>22.262318341798554</v>
      </c>
      <c r="DH182" s="21">
        <f>EXP(-LN(2)/2)*DH181+(1-EXP(-LN(2)/2))/(LN(2)/2)*DB182*DE182*VLOOKUP('Données projet'!$B$13,Paramètres!$A$1:$I$89,3,0)*0.475*44/12</f>
        <v>4.5569140807946447</v>
      </c>
      <c r="DI182" s="22">
        <f t="shared" si="175"/>
        <v>136.37441447374795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293.3333333333353</v>
      </c>
      <c r="S183" s="59">
        <f ca="1">AVERAGE(OFFSET($R$3,0,0,'Données projet'!$E$9+1,1))-AVERAGE(OFFSET($H$3,0,0,'Données projet'!$E$9+1,1))</f>
        <v>322.7909000321435</v>
      </c>
      <c r="T183" s="59">
        <f t="shared" si="142"/>
        <v>403.23516981532316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15.274414952318772</v>
      </c>
      <c r="AA183" s="21">
        <f>EXP(-LN(2)/25)*AA182+(1-EXP(-LN(2)/25))/(LN(2)/25)*Calculateur!V183*Calculateur!X183*VLOOKUP('Données projet'!$B$9,Paramètres!$A$1:$I$89,3,0)*0.475*44/12</f>
        <v>1.9813357207804707</v>
      </c>
      <c r="AB183" s="21">
        <f>EXP(-LN(2)/2)*AB182+(1-EXP(-LN(2)/2))/(LN(2)/2)*V183*Y183*VLOOKUP('Données projet'!$B$9,Paramètres!$A$1:$I$89,3,0)*0.475*44/12</f>
        <v>1.6762700611695387E-17</v>
      </c>
      <c r="AC183" s="22">
        <f t="shared" si="163"/>
        <v>17.255750673099243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3.4106051316484809E-13</v>
      </c>
      <c r="AJ183" s="13">
        <f>AI183*VLOOKUP('Données projet'!$B$10,Paramètres!$A$1:$I$89,3,0)*VLOOKUP('Données projet'!$B$10,Paramètres!$A$1:$I$89,5,0)</f>
        <v>1.5961632016114892E-13</v>
      </c>
      <c r="AK183" s="13">
        <f t="shared" si="164"/>
        <v>2.2708641912150958E-12</v>
      </c>
      <c r="AL183" s="20">
        <f t="shared" si="165"/>
        <v>4.2330868906469593E-12</v>
      </c>
      <c r="AM183" s="59">
        <f t="shared" si="113"/>
        <v>293.33333333333752</v>
      </c>
      <c r="AN183" s="59">
        <f ca="1">AVERAGE(OFFSET($AM$3,0,0,'Données projet'!$E$10+1,1))-AVERAGE(OFFSET($H$3,0,0,'Données projet'!$E$10+1,1))</f>
        <v>187.82209112143374</v>
      </c>
      <c r="AO183" s="59">
        <f t="shared" si="144"/>
        <v>158.99136654880203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32.16187407294219</v>
      </c>
      <c r="AV183" s="21">
        <f>EXP(-LN(2)/25)*AV182+(1-EXP(-LN(2)/25))/(LN(2)/25)*Calculateur!AQ183*Calculateur!AS183*VLOOKUP('Données projet'!$B$10,Paramètres!$A$1:$I$89,3,0)*0.475*44/12</f>
        <v>5.849475671814961</v>
      </c>
      <c r="AW183" s="21">
        <f>EXP(-LN(2)/2)*AW182+(1-EXP(-LN(2)/2))/(LN(2)/2)*AQ183*AT183*VLOOKUP('Données projet'!$B$10,Paramètres!$A$1:$I$89,3,0)*0.475*44/12</f>
        <v>6.480057177114615E-10</v>
      </c>
      <c r="AX183" s="21">
        <f t="shared" si="166"/>
        <v>38.011349745405163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140.32771978791288</v>
      </c>
      <c r="BJ183" s="59">
        <f t="shared" si="146"/>
        <v>135.76866977947634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1.8193306298205121</v>
      </c>
      <c r="BQ183" s="21">
        <f>EXP(-LN(2)/25)*BQ182+(1-EXP(-LN(2)/25))/(LN(2)/25)*Calculateur!BL183*Calculateur!BN183*VLOOKUP('Données projet'!$B$11,Paramètres!$A$1:$I$89,3,0)*0.475*44/12</f>
        <v>5.2667279834050706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7.0860586132255827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456.54</v>
      </c>
      <c r="BW183" s="12">
        <f>VLOOKUP(A183,'Données projet'!$A$113:$I$133,9,0)</f>
        <v>7.688333333333337</v>
      </c>
      <c r="BX183" s="12">
        <f t="array" ref="BX183">INDEX(BW:BW,MIN(IF(ISNUMBER(BW183:BW379),ROW(BW183:BW379),"")))</f>
        <v>7.688333333333337</v>
      </c>
      <c r="BY183" s="12">
        <f>IF('Données projet'!$A$114&gt;35,BY182+BX183-CG182,IF(A183&lt;'Données projet'!$A$114,$BV$205^A183,IF(A183='Données projet'!$A$114,'Données projet'!$B$114,BY182+BX183-CG182)))</f>
        <v>456.53999999999968</v>
      </c>
      <c r="BZ183" s="13">
        <f>BY183*VLOOKUP('Données projet'!$B$12,Paramètres!$A$1:$I$89,3,0)*VLOOKUP('Données projet'!$B$12,Paramètres!$A$1:$I$89,5,0)</f>
        <v>462.93155999999971</v>
      </c>
      <c r="CA183" s="13">
        <f t="shared" si="170"/>
        <v>104.42457107106746</v>
      </c>
      <c r="CB183" s="20">
        <f t="shared" si="171"/>
        <v>988.145261615442</v>
      </c>
      <c r="CC183" s="59">
        <f t="shared" si="119"/>
        <v>1281.4785949487753</v>
      </c>
      <c r="CD183" s="59">
        <f ca="1">AVERAGE(OFFSET($CC$3,0,0,'Données projet'!$E$12+1,1))-AVERAGE(OFFSET($H$3,0,0,'Données projet'!$E$12+1,1))</f>
        <v>372.05986520199804</v>
      </c>
      <c r="CE183" s="59">
        <f t="shared" si="148"/>
        <v>184.37981929432044</v>
      </c>
      <c r="CF183" s="15">
        <f>IF(ISNA(VLOOKUP(A183,'Données projet'!$A$113:$I$133,3,0)),0,VLOOKUP(A183,'Données projet'!$A$113:$I$133,3,0))</f>
        <v>13</v>
      </c>
      <c r="CG183" s="15">
        <f>IF(ISNA(VLOOKUP(A183,'Données projet'!$A$113:$I$133,4,0)),0,VLOOKUP(A183,'Données projet'!$A$113:$I$133,4,0))</f>
        <v>175.59000000000003</v>
      </c>
      <c r="CH183" s="16">
        <f>IF(ISNA(VLOOKUP(A183,'Données projet'!$A$113:$I$133,5,0)),0%,VLOOKUP(A183,'Données projet'!$A$113:$I$133,5,0)*VLOOKUP('Données projet'!$B$12,Paramètres!$A$1:$I$89,7,0))</f>
        <v>0.215</v>
      </c>
      <c r="CI183" s="16">
        <f>IF(ISNA(VLOOKUP(A183,'Données projet'!$A$113:$I$133,6,0)),0%,VLOOKUP(A183,'Données projet'!$A$113:$I$133,6,0)*VLOOKUP('Données projet'!$B$12,Paramètres!$A$1:$I$89,7,0))</f>
        <v>8.6000000000000007E-2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82.035680546187592</v>
      </c>
      <c r="CL183" s="21">
        <f>EXP(-LN(2)/25)*CL182+(1-EXP(-LN(2)/25))/(LN(2)/25)*Calculateur!CG183*Calculateur!CI183*VLOOKUP('Données projet'!$B$12,Paramètres!$A$1:$I$89,3,0)*0.475*44/12</f>
        <v>33.526128863976865</v>
      </c>
      <c r="CM183" s="21">
        <f>EXP(-LN(2)/2)*CM182+(1-EXP(-LN(2)/2))/(LN(2)/2)*CG183*CJ183*VLOOKUP('Données projet'!$B$12,Paramètres!$A$1:$I$89,3,0)*0.475*44/12</f>
        <v>2.2530899302109383E-5</v>
      </c>
      <c r="CN183" s="22">
        <f t="shared" si="172"/>
        <v>115.56183194106376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271.56</v>
      </c>
      <c r="CR183" s="12">
        <f>VLOOKUP(A183,'Données projet'!$A$139:$I$159,9,0)</f>
        <v>3.76000000000001</v>
      </c>
      <c r="CS183" s="12">
        <f t="array" ref="CS183">INDEX(CR:CR,MIN(IF(ISNUMBER(CR183:CR379),ROW(CR183:CR379),"")))</f>
        <v>3.76000000000001</v>
      </c>
      <c r="CT183" s="12">
        <f>IF('Données projet'!$A$140&gt;35,CT182+CS183-DB182,IF(A183&lt;'Données projet'!$A$140,$CQ$205^A183,IF(A183='Données projet'!$A$140,'Données projet'!$B$140,CT182+CS183-DB182)))</f>
        <v>271.5600000000008</v>
      </c>
      <c r="CU183" s="17">
        <f>CT183*VLOOKUP('Données projet'!$B$13,Paramètres!$A$1:$I$89,3,0)*VLOOKUP('Données projet'!$B$13,Paramètres!$A$1:$I$89,5,0)</f>
        <v>245.70748800000069</v>
      </c>
      <c r="CV183" s="13">
        <f t="shared" si="173"/>
        <v>59.665839559289225</v>
      </c>
      <c r="CW183" s="20">
        <f t="shared" si="174"/>
        <v>531.85854549909652</v>
      </c>
      <c r="CX183" s="59">
        <f t="shared" si="122"/>
        <v>825.19187883242989</v>
      </c>
      <c r="CY183" s="59">
        <f ca="1">AVERAGE(OFFSET($CX$3,0,0,'Données projet'!$E$13+1,1))-AVERAGE(OFFSET($H$3,0,0,'Données projet'!$E$13+1,1))</f>
        <v>479.84731392413374</v>
      </c>
      <c r="CZ183" s="59">
        <f t="shared" si="150"/>
        <v>203.57601099841213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86.97</v>
      </c>
      <c r="DC183" s="16">
        <f>IF(ISNA(VLOOKUP(A183,'Données projet'!$A$139:$I$159,5,0)),0%,VLOOKUP(A183,'Données projet'!$A$139:$I$159,5,0)*VLOOKUP('Données projet'!$B$13,Paramètres!$A$1:$I$89,7,0))</f>
        <v>0.19350000000000001</v>
      </c>
      <c r="DD183" s="16">
        <f>IF(ISNA(VLOOKUP(A183,'Données projet'!$A$139:$I$159,6,0)),0%,VLOOKUP(A183,'Données projet'!$A$139:$I$159,6,0)*VLOOKUP('Données projet'!$B$13,Paramètres!$A$1:$I$89,7,0))</f>
        <v>2.1500000000000002E-2</v>
      </c>
      <c r="DE183" s="16">
        <f>IF(ISNA(VLOOKUP(A183,'Données projet'!$A$139:$I$159,7,0)),0%,VLOOKUP(A183,'Données projet'!$A$139:$I$159,7,0))</f>
        <v>0.05</v>
      </c>
      <c r="DF183" s="21">
        <f>EXP(-LN(2)/35)*DF182+(1-EXP(-LN(2)/35))/(LN(2)/35)*DB183*DC183*VLOOKUP('Données projet'!$B$13,Paramètres!$A$1:$I$89,3,0)*0.475*44/12</f>
        <v>124.23943061149308</v>
      </c>
      <c r="DG183" s="21">
        <f>EXP(-LN(2)/25)*DG182+(1-EXP(-LN(2)/25))/(LN(2)/25)*Calculateur!DB183*Calculateur!DD183*VLOOKUP('Données projet'!$B$13,Paramètres!$A$1:$I$89,3,0)*0.475*44/12</f>
        <v>23.516474371613818</v>
      </c>
      <c r="DH183" s="21">
        <f>EXP(-LN(2)/2)*DH182+(1-EXP(-LN(2)/2))/(LN(2)/2)*DB183*DE183*VLOOKUP('Données projet'!$B$13,Paramètres!$A$1:$I$89,3,0)*0.475*44/12</f>
        <v>6.9345530057429094</v>
      </c>
      <c r="DI183" s="22">
        <f t="shared" si="175"/>
        <v>154.6904579888498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293.3333333333353</v>
      </c>
      <c r="S184" s="59">
        <f ca="1">AVERAGE(OFFSET($R$3,0,0,'Données projet'!$E$9+1,1))-AVERAGE(OFFSET($H$3,0,0,'Données projet'!$E$9+1,1))</f>
        <v>322.7909000321435</v>
      </c>
      <c r="T184" s="59">
        <f t="shared" si="142"/>
        <v>403.23516981532316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14.974892991576995</v>
      </c>
      <c r="AA184" s="21">
        <f>EXP(-LN(2)/25)*AA183+(1-EXP(-LN(2)/25))/(LN(2)/25)*Calculateur!V184*Calculateur!X184*VLOOKUP('Données projet'!$B$9,Paramètres!$A$1:$I$89,3,0)*0.475*44/12</f>
        <v>1.9271559913018115</v>
      </c>
      <c r="AB184" s="21">
        <f>EXP(-LN(2)/2)*AB183+(1-EXP(-LN(2)/2))/(LN(2)/2)*V184*Y184*VLOOKUP('Données projet'!$B$9,Paramètres!$A$1:$I$89,3,0)*0.475*44/12</f>
        <v>1.1853019273529697E-17</v>
      </c>
      <c r="AC184" s="22">
        <f t="shared" si="163"/>
        <v>16.902048982878807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3.4106051316484809E-13</v>
      </c>
      <c r="AJ184" s="13">
        <f>AI184*VLOOKUP('Données projet'!$B$10,Paramètres!$A$1:$I$89,3,0)*VLOOKUP('Données projet'!$B$10,Paramètres!$A$1:$I$89,5,0)</f>
        <v>1.5961632016114892E-13</v>
      </c>
      <c r="AK184" s="13">
        <f t="shared" si="164"/>
        <v>2.2708641912150958E-12</v>
      </c>
      <c r="AL184" s="20">
        <f t="shared" si="165"/>
        <v>4.2330868906469593E-12</v>
      </c>
      <c r="AM184" s="59">
        <f t="shared" si="113"/>
        <v>293.33333333333752</v>
      </c>
      <c r="AN184" s="59">
        <f ca="1">AVERAGE(OFFSET($AM$3,0,0,'Données projet'!$E$10+1,1))-AVERAGE(OFFSET($H$3,0,0,'Données projet'!$E$10+1,1))</f>
        <v>187.82209112143374</v>
      </c>
      <c r="AO184" s="59">
        <f t="shared" si="144"/>
        <v>158.99136654880203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31.531199339177981</v>
      </c>
      <c r="AV184" s="21">
        <f>EXP(-LN(2)/25)*AV183+(1-EXP(-LN(2)/25))/(LN(2)/25)*Calculateur!AQ184*Calculateur!AS184*VLOOKUP('Données projet'!$B$10,Paramètres!$A$1:$I$89,3,0)*0.475*44/12</f>
        <v>5.6895214519586244</v>
      </c>
      <c r="AW184" s="21">
        <f>EXP(-LN(2)/2)*AW183+(1-EXP(-LN(2)/2))/(LN(2)/2)*AQ184*AT184*VLOOKUP('Données projet'!$B$10,Paramètres!$A$1:$I$89,3,0)*0.475*44/12</f>
        <v>4.5820923724143014E-10</v>
      </c>
      <c r="AX184" s="21">
        <f t="shared" si="166"/>
        <v>37.220720791594815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140.32771978791288</v>
      </c>
      <c r="BJ184" s="59">
        <f t="shared" si="146"/>
        <v>135.76866977947634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1.783654665851844</v>
      </c>
      <c r="BQ184" s="21">
        <f>EXP(-LN(2)/25)*BQ183+(1-EXP(-LN(2)/25))/(LN(2)/25)*Calculateur!BL184*Calculateur!BN184*VLOOKUP('Données projet'!$B$11,Paramètres!$A$1:$I$89,3,0)*0.475*44/12</f>
        <v>5.1227090297336719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6.9063636955855161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4.7974999999999994</v>
      </c>
      <c r="BY184" s="12">
        <f>IF('Données projet'!$A$114&gt;35,BY183+BX184-CG183,IF(A184&lt;'Données projet'!$A$114,$BV$205^A184,IF(A184='Données projet'!$A$114,'Données projet'!$B$114,BY183+BX184-CG183)))</f>
        <v>285.74749999999966</v>
      </c>
      <c r="BZ184" s="13">
        <f>BY184*VLOOKUP('Données projet'!$B$12,Paramètres!$A$1:$I$89,3,0)*VLOOKUP('Données projet'!$B$12,Paramètres!$A$1:$I$89,5,0)</f>
        <v>289.74796499999968</v>
      </c>
      <c r="CA184" s="13">
        <f t="shared" si="170"/>
        <v>69.022913217160536</v>
      </c>
      <c r="CB184" s="20">
        <f t="shared" si="171"/>
        <v>624.85927956155399</v>
      </c>
      <c r="CC184" s="59">
        <f t="shared" si="119"/>
        <v>918.19261289488736</v>
      </c>
      <c r="CD184" s="59">
        <f ca="1">AVERAGE(OFFSET($CC$3,0,0,'Données projet'!$E$12+1,1))-AVERAGE(OFFSET($H$3,0,0,'Données projet'!$E$12+1,1))</f>
        <v>372.05986520199804</v>
      </c>
      <c r="CE184" s="59">
        <f t="shared" si="148"/>
        <v>184.37981929432044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80.427010887501254</v>
      </c>
      <c r="CL184" s="21">
        <f>EXP(-LN(2)/25)*CL183+(1-EXP(-LN(2)/25))/(LN(2)/25)*Calculateur!CG184*Calculateur!CI184*VLOOKUP('Données projet'!$B$12,Paramètres!$A$1:$I$89,3,0)*0.475*44/12</f>
        <v>32.609355107128927</v>
      </c>
      <c r="CM184" s="21">
        <f>EXP(-LN(2)/2)*CM183+(1-EXP(-LN(2)/2))/(LN(2)/2)*CG184*CJ184*VLOOKUP('Données projet'!$B$12,Paramètres!$A$1:$I$89,3,0)*0.475*44/12</f>
        <v>1.5931751682752796E-5</v>
      </c>
      <c r="CN184" s="22">
        <f t="shared" si="172"/>
        <v>113.03638192638186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2.2933333333333317</v>
      </c>
      <c r="CT184" s="12">
        <f>IF('Données projet'!$A$140&gt;35,CT183+CS184-DB183,IF(A184&lt;'Données projet'!$A$140,$CQ$205^A184,IF(A184='Données projet'!$A$140,'Données projet'!$B$140,CT183+CS184-DB183)))</f>
        <v>186.88333333333415</v>
      </c>
      <c r="CU184" s="17">
        <f>CT184*VLOOKUP('Données projet'!$B$13,Paramètres!$A$1:$I$89,3,0)*VLOOKUP('Données projet'!$B$13,Paramètres!$A$1:$I$89,5,0)</f>
        <v>169.09204000000074</v>
      </c>
      <c r="CV184" s="13">
        <f t="shared" si="173"/>
        <v>42.886607412438856</v>
      </c>
      <c r="CW184" s="20">
        <f t="shared" si="174"/>
        <v>369.1961442433323</v>
      </c>
      <c r="CX184" s="59">
        <f t="shared" si="122"/>
        <v>662.52947757666561</v>
      </c>
      <c r="CY184" s="59">
        <f ca="1">AVERAGE(OFFSET($CX$3,0,0,'Données projet'!$E$13+1,1))-AVERAGE(OFFSET($H$3,0,0,'Données projet'!$E$13+1,1))</f>
        <v>479.84731392413374</v>
      </c>
      <c r="CZ184" s="59">
        <f t="shared" si="150"/>
        <v>203.57601099841213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121.80317115577186</v>
      </c>
      <c r="DG184" s="21">
        <f>EXP(-LN(2)/25)*DG183+(1-EXP(-LN(2)/25))/(LN(2)/25)*Calculateur!DB184*Calculateur!DD184*VLOOKUP('Données projet'!$B$13,Paramètres!$A$1:$I$89,3,0)*0.475*44/12</f>
        <v>22.873415143244397</v>
      </c>
      <c r="DH184" s="21">
        <f>EXP(-LN(2)/2)*DH183+(1-EXP(-LN(2)/2))/(LN(2)/2)*DB184*DE184*VLOOKUP('Données projet'!$B$13,Paramètres!$A$1:$I$89,3,0)*0.475*44/12</f>
        <v>4.9034694548583673</v>
      </c>
      <c r="DI184" s="22">
        <f t="shared" si="175"/>
        <v>149.58005575387463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293.3333333333353</v>
      </c>
      <c r="S185" s="59">
        <f ca="1">AVERAGE(OFFSET($R$3,0,0,'Données projet'!$E$9+1,1))-AVERAGE(OFFSET($H$3,0,0,'Données projet'!$E$9+1,1))</f>
        <v>322.7909000321435</v>
      </c>
      <c r="T185" s="59">
        <f t="shared" si="142"/>
        <v>403.23516981532316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14.68124447379501</v>
      </c>
      <c r="AA185" s="21">
        <f>EXP(-LN(2)/25)*AA184+(1-EXP(-LN(2)/25))/(LN(2)/25)*Calculateur!V185*Calculateur!X185*VLOOKUP('Données projet'!$B$9,Paramètres!$A$1:$I$89,3,0)*0.475*44/12</f>
        <v>1.8744578093749344</v>
      </c>
      <c r="AB185" s="21">
        <f>EXP(-LN(2)/2)*AB184+(1-EXP(-LN(2)/2))/(LN(2)/2)*V185*Y185*VLOOKUP('Données projet'!$B$9,Paramètres!$A$1:$I$89,3,0)*0.475*44/12</f>
        <v>8.3813503058476936E-18</v>
      </c>
      <c r="AC185" s="22">
        <f t="shared" si="163"/>
        <v>16.555702283169943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3.4106051316484809E-13</v>
      </c>
      <c r="AJ185" s="13">
        <f>AI185*VLOOKUP('Données projet'!$B$10,Paramètres!$A$1:$I$89,3,0)*VLOOKUP('Données projet'!$B$10,Paramètres!$A$1:$I$89,5,0)</f>
        <v>1.5961632016114892E-13</v>
      </c>
      <c r="AK185" s="13">
        <f t="shared" si="164"/>
        <v>2.2708641912150958E-12</v>
      </c>
      <c r="AL185" s="20">
        <f t="shared" si="165"/>
        <v>4.2330868906469593E-12</v>
      </c>
      <c r="AM185" s="59">
        <f t="shared" si="113"/>
        <v>293.33333333333752</v>
      </c>
      <c r="AN185" s="59">
        <f ca="1">AVERAGE(OFFSET($AM$3,0,0,'Données projet'!$E$10+1,1))-AVERAGE(OFFSET($H$3,0,0,'Données projet'!$E$10+1,1))</f>
        <v>187.82209112143374</v>
      </c>
      <c r="AO185" s="59">
        <f t="shared" si="144"/>
        <v>158.99136654880203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30.912891752269282</v>
      </c>
      <c r="AV185" s="21">
        <f>EXP(-LN(2)/25)*AV184+(1-EXP(-LN(2)/25))/(LN(2)/25)*Calculateur!AQ185*Calculateur!AS185*VLOOKUP('Données projet'!$B$10,Paramètres!$A$1:$I$89,3,0)*0.475*44/12</f>
        <v>5.533941188655886</v>
      </c>
      <c r="AW185" s="21">
        <f>EXP(-LN(2)/2)*AW184+(1-EXP(-LN(2)/2))/(LN(2)/2)*AQ185*AT185*VLOOKUP('Données projet'!$B$10,Paramètres!$A$1:$I$89,3,0)*0.475*44/12</f>
        <v>3.240028588557308E-10</v>
      </c>
      <c r="AX185" s="21">
        <f t="shared" si="166"/>
        <v>36.44683294124917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140.32771978791288</v>
      </c>
      <c r="BJ185" s="59">
        <f t="shared" si="146"/>
        <v>135.76866977947634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1.748678285776412</v>
      </c>
      <c r="BQ185" s="21">
        <f>EXP(-LN(2)/25)*BQ184+(1-EXP(-LN(2)/25))/(LN(2)/25)*Calculateur!BL185*Calculateur!BN185*VLOOKUP('Données projet'!$B$11,Paramètres!$A$1:$I$89,3,0)*0.475*44/12</f>
        <v>4.9826282819240451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6.7313065677004573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4.7974999999999994</v>
      </c>
      <c r="BY185" s="12">
        <f>IF('Données projet'!$A$114&gt;35,BY184+BX185-CG184,IF(A185&lt;'Données projet'!$A$114,$BV$205^A185,IF(A185='Données projet'!$A$114,'Données projet'!$B$114,BY184+BX185-CG184)))</f>
        <v>290.54499999999967</v>
      </c>
      <c r="BZ185" s="13">
        <f>BY185*VLOOKUP('Données projet'!$B$12,Paramètres!$A$1:$I$89,3,0)*VLOOKUP('Données projet'!$B$12,Paramètres!$A$1:$I$89,5,0)</f>
        <v>294.61262999999968</v>
      </c>
      <c r="CA185" s="13">
        <f t="shared" si="170"/>
        <v>70.045875436649951</v>
      </c>
      <c r="CB185" s="20">
        <f t="shared" si="171"/>
        <v>635.11356363549817</v>
      </c>
      <c r="CC185" s="59">
        <f t="shared" si="119"/>
        <v>928.44689696883142</v>
      </c>
      <c r="CD185" s="59">
        <f ca="1">AVERAGE(OFFSET($CC$3,0,0,'Données projet'!$E$12+1,1))-AVERAGE(OFFSET($H$3,0,0,'Données projet'!$E$12+1,1))</f>
        <v>372.05986520199804</v>
      </c>
      <c r="CE185" s="59">
        <f t="shared" si="148"/>
        <v>184.37981929432044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78.849886259630154</v>
      </c>
      <c r="CL185" s="21">
        <f>EXP(-LN(2)/25)*CL184+(1-EXP(-LN(2)/25))/(LN(2)/25)*Calculateur!CG185*Calculateur!CI185*VLOOKUP('Données projet'!$B$12,Paramètres!$A$1:$I$89,3,0)*0.475*44/12</f>
        <v>31.71765057687303</v>
      </c>
      <c r="CM185" s="21">
        <f>EXP(-LN(2)/2)*CM184+(1-EXP(-LN(2)/2))/(LN(2)/2)*CG185*CJ185*VLOOKUP('Données projet'!$B$12,Paramètres!$A$1:$I$89,3,0)*0.475*44/12</f>
        <v>1.1265449651054692E-5</v>
      </c>
      <c r="CN185" s="22">
        <f t="shared" si="172"/>
        <v>110.56754810195284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2.2933333333333317</v>
      </c>
      <c r="CT185" s="12">
        <f>IF('Données projet'!$A$140&gt;35,CT184+CS185-DB184,IF(A185&lt;'Données projet'!$A$140,$CQ$205^A185,IF(A185='Données projet'!$A$140,'Données projet'!$B$140,CT184+CS185-DB184)))</f>
        <v>189.17666666666747</v>
      </c>
      <c r="CU185" s="17">
        <f>CT185*VLOOKUP('Données projet'!$B$13,Paramètres!$A$1:$I$89,3,0)*VLOOKUP('Données projet'!$B$13,Paramètres!$A$1:$I$89,5,0)</f>
        <v>171.16704800000073</v>
      </c>
      <c r="CV185" s="13">
        <f t="shared" si="173"/>
        <v>43.351299348190551</v>
      </c>
      <c r="CW185" s="20">
        <f t="shared" si="174"/>
        <v>373.61945496476648</v>
      </c>
      <c r="CX185" s="59">
        <f t="shared" si="122"/>
        <v>666.95278829809979</v>
      </c>
      <c r="CY185" s="59">
        <f ca="1">AVERAGE(OFFSET($CX$3,0,0,'Données projet'!$E$13+1,1))-AVERAGE(OFFSET($H$3,0,0,'Données projet'!$E$13+1,1))</f>
        <v>479.84731392413374</v>
      </c>
      <c r="CZ185" s="59">
        <f t="shared" si="150"/>
        <v>203.57601099841213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119.4146852620058</v>
      </c>
      <c r="DG185" s="21">
        <f>EXP(-LN(2)/25)*DG184+(1-EXP(-LN(2)/25))/(LN(2)/25)*Calculateur!DB185*Calculateur!DD185*VLOOKUP('Données projet'!$B$13,Paramètres!$A$1:$I$89,3,0)*0.475*44/12</f>
        <v>22.247940403291754</v>
      </c>
      <c r="DH185" s="21">
        <f>EXP(-LN(2)/2)*DH184+(1-EXP(-LN(2)/2))/(LN(2)/2)*DB185*DE185*VLOOKUP('Données projet'!$B$13,Paramètres!$A$1:$I$89,3,0)*0.475*44/12</f>
        <v>3.4672765028714552</v>
      </c>
      <c r="DI185" s="22">
        <f t="shared" si="175"/>
        <v>145.129902168169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293.3333333333353</v>
      </c>
      <c r="S186" s="59">
        <f ca="1">AVERAGE(OFFSET($R$3,0,0,'Données projet'!$E$9+1,1))-AVERAGE(OFFSET($H$3,0,0,'Données projet'!$E$9+1,1))</f>
        <v>322.7909000321435</v>
      </c>
      <c r="T186" s="59">
        <f t="shared" si="142"/>
        <v>403.23516981532316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14.393354224338818</v>
      </c>
      <c r="AA186" s="21">
        <f>EXP(-LN(2)/25)*AA185+(1-EXP(-LN(2)/25))/(LN(2)/25)*Calculateur!V186*Calculateur!X186*VLOOKUP('Données projet'!$B$9,Paramètres!$A$1:$I$89,3,0)*0.475*44/12</f>
        <v>1.8232006620041248</v>
      </c>
      <c r="AB186" s="21">
        <f>EXP(-LN(2)/2)*AB185+(1-EXP(-LN(2)/2))/(LN(2)/2)*V186*Y186*VLOOKUP('Données projet'!$B$9,Paramètres!$A$1:$I$89,3,0)*0.475*44/12</f>
        <v>5.9265096367648483E-18</v>
      </c>
      <c r="AC186" s="22">
        <f t="shared" si="163"/>
        <v>16.216554886342944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3.4106051316484809E-13</v>
      </c>
      <c r="AJ186" s="13">
        <f>AI186*VLOOKUP('Données projet'!$B$10,Paramètres!$A$1:$I$89,3,0)*VLOOKUP('Données projet'!$B$10,Paramètres!$A$1:$I$89,5,0)</f>
        <v>1.5961632016114892E-13</v>
      </c>
      <c r="AK186" s="13">
        <f t="shared" si="164"/>
        <v>2.2708641912150958E-12</v>
      </c>
      <c r="AL186" s="20">
        <f t="shared" si="165"/>
        <v>4.2330868906469593E-12</v>
      </c>
      <c r="AM186" s="59">
        <f t="shared" si="113"/>
        <v>293.33333333333752</v>
      </c>
      <c r="AN186" s="59">
        <f ca="1">AVERAGE(OFFSET($AM$3,0,0,'Données projet'!$E$10+1,1))-AVERAGE(OFFSET($H$3,0,0,'Données projet'!$E$10+1,1))</f>
        <v>187.82209112143374</v>
      </c>
      <c r="AO186" s="59">
        <f t="shared" si="144"/>
        <v>158.99136654880203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30.306708800009474</v>
      </c>
      <c r="AV186" s="21">
        <f>EXP(-LN(2)/25)*AV185+(1-EXP(-LN(2)/25))/(LN(2)/25)*Calculateur!AQ186*Calculateur!AS186*VLOOKUP('Données projet'!$B$10,Paramètres!$A$1:$I$89,3,0)*0.475*44/12</f>
        <v>5.3826152758347714</v>
      </c>
      <c r="AW186" s="21">
        <f>EXP(-LN(2)/2)*AW185+(1-EXP(-LN(2)/2))/(LN(2)/2)*AQ186*AT186*VLOOKUP('Données projet'!$B$10,Paramètres!$A$1:$I$89,3,0)*0.475*44/12</f>
        <v>2.291046186207151E-10</v>
      </c>
      <c r="AX186" s="21">
        <f t="shared" si="166"/>
        <v>35.689324076073355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140.32771978791288</v>
      </c>
      <c r="BJ186" s="59">
        <f t="shared" si="146"/>
        <v>135.76866977947634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1.714387771180774</v>
      </c>
      <c r="BQ186" s="21">
        <f>EXP(-LN(2)/25)*BQ185+(1-EXP(-LN(2)/25))/(LN(2)/25)*Calculateur!BL186*Calculateur!BN186*VLOOKUP('Données projet'!$B$11,Paramètres!$A$1:$I$89,3,0)*0.475*44/12</f>
        <v>4.8463780495297986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6.5607658207105723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4.7974999999999994</v>
      </c>
      <c r="BY186" s="12">
        <f>IF('Données projet'!$A$114&gt;35,BY185+BX186-CG185,IF(A186&lt;'Données projet'!$A$114,$BV$205^A186,IF(A186='Données projet'!$A$114,'Données projet'!$B$114,BY185+BX186-CG185)))</f>
        <v>295.34249999999969</v>
      </c>
      <c r="BZ186" s="13">
        <f>BY186*VLOOKUP('Données projet'!$B$12,Paramètres!$A$1:$I$89,3,0)*VLOOKUP('Données projet'!$B$12,Paramètres!$A$1:$I$89,5,0)</f>
        <v>299.47729499999969</v>
      </c>
      <c r="CA186" s="13">
        <f t="shared" si="170"/>
        <v>71.066873311318389</v>
      </c>
      <c r="CB186" s="20">
        <f t="shared" si="171"/>
        <v>645.36442647554566</v>
      </c>
      <c r="CC186" s="59">
        <f t="shared" si="119"/>
        <v>938.69775980887903</v>
      </c>
      <c r="CD186" s="59">
        <f ca="1">AVERAGE(OFFSET($CC$3,0,0,'Données projet'!$E$12+1,1))-AVERAGE(OFFSET($H$3,0,0,'Données projet'!$E$12+1,1))</f>
        <v>372.05986520199804</v>
      </c>
      <c r="CE186" s="59">
        <f t="shared" si="148"/>
        <v>184.37981929432044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77.303688083760562</v>
      </c>
      <c r="CL186" s="21">
        <f>EXP(-LN(2)/25)*CL185+(1-EXP(-LN(2)/25))/(LN(2)/25)*Calculateur!CG186*Calculateur!CI186*VLOOKUP('Données projet'!$B$12,Paramètres!$A$1:$I$89,3,0)*0.475*44/12</f>
        <v>30.850329753889685</v>
      </c>
      <c r="CM186" s="21">
        <f>EXP(-LN(2)/2)*CM185+(1-EXP(-LN(2)/2))/(LN(2)/2)*CG186*CJ186*VLOOKUP('Données projet'!$B$12,Paramètres!$A$1:$I$89,3,0)*0.475*44/12</f>
        <v>7.9658758413763979E-6</v>
      </c>
      <c r="CN186" s="22">
        <f t="shared" si="172"/>
        <v>108.15402580352608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191.47</v>
      </c>
      <c r="CR186" s="12">
        <f>VLOOKUP(A186,'Données projet'!$A$139:$I$159,9,0)</f>
        <v>2.2933333333333317</v>
      </c>
      <c r="CS186" s="12">
        <f t="array" ref="CS186">INDEX(CR:CR,MIN(IF(ISNUMBER(CR186:CR382),ROW(CR186:CR382),"")))</f>
        <v>2.2933333333333317</v>
      </c>
      <c r="CT186" s="12">
        <f>IF('Données projet'!$A$140&gt;35,CT185+CS186-DB185,IF(A186&lt;'Données projet'!$A$140,$CQ$205^A186,IF(A186='Données projet'!$A$140,'Données projet'!$B$140,CT185+CS186-DB185)))</f>
        <v>191.47000000000079</v>
      </c>
      <c r="CU186" s="17">
        <f>CT186*VLOOKUP('Données projet'!$B$13,Paramètres!$A$1:$I$89,3,0)*VLOOKUP('Données projet'!$B$13,Paramètres!$A$1:$I$89,5,0)</f>
        <v>173.2420560000007</v>
      </c>
      <c r="CV186" s="13">
        <f t="shared" si="173"/>
        <v>43.815336010445158</v>
      </c>
      <c r="CW186" s="20">
        <f t="shared" si="174"/>
        <v>378.04162441819318</v>
      </c>
      <c r="CX186" s="59">
        <f t="shared" si="122"/>
        <v>671.37495775152649</v>
      </c>
      <c r="CY186" s="59">
        <f ca="1">AVERAGE(OFFSET($CX$3,0,0,'Données projet'!$E$13+1,1))-AVERAGE(OFFSET($H$3,0,0,'Données projet'!$E$13+1,1))</f>
        <v>479.84731392413374</v>
      </c>
      <c r="CZ186" s="59">
        <f t="shared" si="150"/>
        <v>203.57601099841213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191.47</v>
      </c>
      <c r="DC186" s="16">
        <f>IF(ISNA(VLOOKUP(A186,'Données projet'!$A$139:$I$159,5,0)),0%,VLOOKUP(A186,'Données projet'!$A$139:$I$159,5,0)*VLOOKUP('Données projet'!$B$13,Paramètres!$A$1:$I$89,7,0))</f>
        <v>0.19350000000000001</v>
      </c>
      <c r="DD186" s="16">
        <f>IF(ISNA(VLOOKUP(A186,'Données projet'!$A$139:$I$159,6,0)),0%,VLOOKUP(A186,'Données projet'!$A$139:$I$159,6,0)*VLOOKUP('Données projet'!$B$13,Paramètres!$A$1:$I$89,7,0))</f>
        <v>2.1500000000000002E-2</v>
      </c>
      <c r="DE186" s="16">
        <f>IF(ISNA(VLOOKUP(A186,'Données projet'!$A$139:$I$159,7,0)),0%,VLOOKUP(A186,'Données projet'!$A$139:$I$159,7,0))</f>
        <v>0.05</v>
      </c>
      <c r="DF186" s="21">
        <f>EXP(-LN(2)/35)*DF185+(1-EXP(-LN(2)/35))/(LN(2)/35)*DB186*DC186*VLOOKUP('Données projet'!$B$13,Paramètres!$A$1:$I$89,3,0)*0.475*44/12</f>
        <v>154.13098765017864</v>
      </c>
      <c r="DG186" s="21">
        <f>EXP(-LN(2)/25)*DG185+(1-EXP(-LN(2)/25))/(LN(2)/25)*Calculateur!DB186*Calculateur!DD186*VLOOKUP('Données projet'!$B$13,Paramètres!$A$1:$I$89,3,0)*0.475*44/12</f>
        <v>25.740907109110182</v>
      </c>
      <c r="DH186" s="21">
        <f>EXP(-LN(2)/2)*DH185+(1-EXP(-LN(2)/2))/(LN(2)/2)*DB186*DE186*VLOOKUP('Données projet'!$B$13,Paramètres!$A$1:$I$89,3,0)*0.475*44/12</f>
        <v>10.624661856307879</v>
      </c>
      <c r="DI186" s="22">
        <f t="shared" si="175"/>
        <v>190.49655661559669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293.3333333333353</v>
      </c>
      <c r="S187" s="59">
        <f ca="1">AVERAGE(OFFSET($R$3,0,0,'Données projet'!$E$9+1,1))-AVERAGE(OFFSET($H$3,0,0,'Données projet'!$E$9+1,1))</f>
        <v>322.7909000321435</v>
      </c>
      <c r="T187" s="59">
        <f t="shared" si="142"/>
        <v>403.23516981532316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14.111109327078749</v>
      </c>
      <c r="AA187" s="21">
        <f>EXP(-LN(2)/25)*AA186+(1-EXP(-LN(2)/25))/(LN(2)/25)*Calculateur!V187*Calculateur!X187*VLOOKUP('Données projet'!$B$9,Paramètres!$A$1:$I$89,3,0)*0.475*44/12</f>
        <v>1.7733451440236661</v>
      </c>
      <c r="AB187" s="21">
        <f>EXP(-LN(2)/2)*AB186+(1-EXP(-LN(2)/2))/(LN(2)/2)*V187*Y187*VLOOKUP('Données projet'!$B$9,Paramètres!$A$1:$I$89,3,0)*0.475*44/12</f>
        <v>4.1906751529238468E-18</v>
      </c>
      <c r="AC187" s="22">
        <f t="shared" si="163"/>
        <v>15.884454471102416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3.4106051316484809E-13</v>
      </c>
      <c r="AJ187" s="13">
        <f>AI187*VLOOKUP('Données projet'!$B$10,Paramètres!$A$1:$I$89,3,0)*VLOOKUP('Données projet'!$B$10,Paramètres!$A$1:$I$89,5,0)</f>
        <v>1.5961632016114892E-13</v>
      </c>
      <c r="AK187" s="13">
        <f t="shared" si="164"/>
        <v>2.2708641912150958E-12</v>
      </c>
      <c r="AL187" s="20">
        <f t="shared" si="165"/>
        <v>4.2330868906469593E-12</v>
      </c>
      <c r="AM187" s="59">
        <f t="shared" si="113"/>
        <v>293.33333333333752</v>
      </c>
      <c r="AN187" s="59">
        <f ca="1">AVERAGE(OFFSET($AM$3,0,0,'Données projet'!$E$10+1,1))-AVERAGE(OFFSET($H$3,0,0,'Données projet'!$E$10+1,1))</f>
        <v>187.82209112143374</v>
      </c>
      <c r="AO187" s="59">
        <f t="shared" si="144"/>
        <v>158.99136654880203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29.712412725708386</v>
      </c>
      <c r="AV187" s="21">
        <f>EXP(-LN(2)/25)*AV186+(1-EXP(-LN(2)/25))/(LN(2)/25)*Calculateur!AQ187*Calculateur!AS187*VLOOKUP('Données projet'!$B$10,Paramètres!$A$1:$I$89,3,0)*0.475*44/12</f>
        <v>5.2354273780576346</v>
      </c>
      <c r="AW187" s="21">
        <f>EXP(-LN(2)/2)*AW186+(1-EXP(-LN(2)/2))/(LN(2)/2)*AQ187*AT187*VLOOKUP('Données projet'!$B$10,Paramètres!$A$1:$I$89,3,0)*0.475*44/12</f>
        <v>1.6200142942786543E-10</v>
      </c>
      <c r="AX187" s="21">
        <f t="shared" si="166"/>
        <v>34.947840103928023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140.32771978791288</v>
      </c>
      <c r="BJ187" s="59">
        <f t="shared" si="146"/>
        <v>135.76866977947634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1.6807696726612078</v>
      </c>
      <c r="BQ187" s="21">
        <f>EXP(-LN(2)/25)*BQ186+(1-EXP(-LN(2)/25))/(LN(2)/25)*Calculateur!BL187*Calculateur!BN187*VLOOKUP('Données projet'!$B$11,Paramètres!$A$1:$I$89,3,0)*0.475*44/12</f>
        <v>4.7138535869054614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6.3946232595666697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>
        <f>VLOOKUP(A187,'Données projet'!$A$113:$I$133,2,0)</f>
        <v>300.14</v>
      </c>
      <c r="BW187" s="12">
        <f>VLOOKUP(A187,'Données projet'!$A$113:$I$133,9,0)</f>
        <v>4.7974999999999994</v>
      </c>
      <c r="BX187" s="12">
        <f t="array" ref="BX187">INDEX(BW:BW,MIN(IF(ISNUMBER(BW187:BW383),ROW(BW187:BW383),"")))</f>
        <v>4.7974999999999994</v>
      </c>
      <c r="BY187" s="12">
        <f>IF('Données projet'!$A$114&gt;35,BY186+BX187-CG186,IF(A187&lt;'Données projet'!$A$114,$BV$205^A187,IF(A187='Données projet'!$A$114,'Données projet'!$B$114,BY186+BX187-CG186)))</f>
        <v>300.1399999999997</v>
      </c>
      <c r="BZ187" s="13">
        <f>BY187*VLOOKUP('Données projet'!$B$12,Paramètres!$A$1:$I$89,3,0)*VLOOKUP('Données projet'!$B$12,Paramètres!$A$1:$I$89,5,0)</f>
        <v>304.34195999999969</v>
      </c>
      <c r="CA187" s="13">
        <f t="shared" si="170"/>
        <v>72.085942433343163</v>
      </c>
      <c r="CB187" s="20">
        <f t="shared" si="171"/>
        <v>655.61193007140548</v>
      </c>
      <c r="CC187" s="59">
        <f t="shared" si="119"/>
        <v>948.94526340473885</v>
      </c>
      <c r="CD187" s="59">
        <f ca="1">AVERAGE(OFFSET($CC$3,0,0,'Données projet'!$E$12+1,1))-AVERAGE(OFFSET($H$3,0,0,'Données projet'!$E$12+1,1))</f>
        <v>372.05986520199804</v>
      </c>
      <c r="CE187" s="59">
        <f t="shared" si="148"/>
        <v>184.37981929432044</v>
      </c>
      <c r="CF187" s="15">
        <f>IF(ISNA(VLOOKUP(A187,'Données projet'!$A$113:$I$133,3,0)),0,VLOOKUP(A187,'Données projet'!$A$113:$I$133,3,0))</f>
        <v>14</v>
      </c>
      <c r="CG187" s="15">
        <f>IF(ISNA(VLOOKUP(A187,'Données projet'!$A$113:$I$133,4,0)),0,VLOOKUP(A187,'Données projet'!$A$113:$I$133,4,0))</f>
        <v>101.19999999999999</v>
      </c>
      <c r="CH187" s="16">
        <f>IF(ISNA(VLOOKUP(A187,'Données projet'!$A$113:$I$133,5,0)),0%,VLOOKUP(A187,'Données projet'!$A$113:$I$133,5,0)*VLOOKUP('Données projet'!$B$12,Paramètres!$A$1:$I$89,7,0))</f>
        <v>0.215</v>
      </c>
      <c r="CI187" s="16">
        <f>IF(ISNA(VLOOKUP(A187,'Données projet'!$A$113:$I$133,6,0)),0%,VLOOKUP(A187,'Données projet'!$A$113:$I$133,6,0)*VLOOKUP('Données projet'!$B$12,Paramètres!$A$1:$I$89,7,0))</f>
        <v>8.6000000000000007E-2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100.17737397216023</v>
      </c>
      <c r="CL187" s="21">
        <f>EXP(-LN(2)/25)*CL186+(1-EXP(-LN(2)/25))/(LN(2)/25)*Calculateur!CG187*Calculateur!CI187*VLOOKUP('Données projet'!$B$12,Paramètres!$A$1:$I$89,3,0)*0.475*44/12</f>
        <v>39.724139086128069</v>
      </c>
      <c r="CM187" s="21">
        <f>EXP(-LN(2)/2)*CM186+(1-EXP(-LN(2)/2))/(LN(2)/2)*CG187*CJ187*VLOOKUP('Données projet'!$B$12,Paramètres!$A$1:$I$89,3,0)*0.475*44/12</f>
        <v>5.6327248255273458E-6</v>
      </c>
      <c r="CN187" s="22">
        <f t="shared" si="172"/>
        <v>139.90151869101311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7.9580786405131221E-13</v>
      </c>
      <c r="CU187" s="17">
        <f>CT187*VLOOKUP('Données projet'!$B$13,Paramètres!$A$1:$I$89,3,0)*VLOOKUP('Données projet'!$B$13,Paramètres!$A$1:$I$89,5,0)</f>
        <v>7.2004695539362725E-13</v>
      </c>
      <c r="CV187" s="13">
        <f t="shared" si="173"/>
        <v>8.5963894794935589E-12</v>
      </c>
      <c r="CW187" s="20">
        <f t="shared" si="174"/>
        <v>1.6226126790761848E-11</v>
      </c>
      <c r="CX187" s="59">
        <f t="shared" si="122"/>
        <v>293.33333333334951</v>
      </c>
      <c r="CY187" s="59">
        <f ca="1">AVERAGE(OFFSET($CX$3,0,0,'Données projet'!$E$13+1,1))-AVERAGE(OFFSET($H$3,0,0,'Données projet'!$E$13+1,1))</f>
        <v>479.84731392413374</v>
      </c>
      <c r="CZ187" s="59">
        <f t="shared" si="150"/>
        <v>203.57601099841213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151.10857299297834</v>
      </c>
      <c r="DG187" s="21">
        <f>EXP(-LN(2)/25)*DG186+(1-EXP(-LN(2)/25))/(LN(2)/25)*Calculateur!DB187*Calculateur!DD187*VLOOKUP('Données projet'!$B$13,Paramètres!$A$1:$I$89,3,0)*0.475*44/12</f>
        <v>25.037020650556091</v>
      </c>
      <c r="DH187" s="21">
        <f>EXP(-LN(2)/2)*DH186+(1-EXP(-LN(2)/2))/(LN(2)/2)*DB187*DE187*VLOOKUP('Données projet'!$B$13,Paramètres!$A$1:$I$89,3,0)*0.475*44/12</f>
        <v>7.5127704464093537</v>
      </c>
      <c r="DI187" s="22">
        <f t="shared" si="175"/>
        <v>183.65836408994377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293.3333333333353</v>
      </c>
      <c r="S188" s="59">
        <f ca="1">AVERAGE(OFFSET($R$3,0,0,'Données projet'!$E$9+1,1))-AVERAGE(OFFSET($H$3,0,0,'Données projet'!$E$9+1,1))</f>
        <v>322.7909000321435</v>
      </c>
      <c r="T188" s="59">
        <f t="shared" si="142"/>
        <v>403.23516981532316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13.83439908010156</v>
      </c>
      <c r="AA188" s="21">
        <f>EXP(-LN(2)/25)*AA187+(1-EXP(-LN(2)/25))/(LN(2)/25)*Calculateur!V188*Calculateur!X188*VLOOKUP('Données projet'!$B$9,Paramètres!$A$1:$I$89,3,0)*0.475*44/12</f>
        <v>1.7248529278041709</v>
      </c>
      <c r="AB188" s="21">
        <f>EXP(-LN(2)/2)*AB187+(1-EXP(-LN(2)/2))/(LN(2)/2)*V188*Y188*VLOOKUP('Données projet'!$B$9,Paramètres!$A$1:$I$89,3,0)*0.475*44/12</f>
        <v>2.9632548183824241E-18</v>
      </c>
      <c r="AC188" s="22">
        <f t="shared" si="163"/>
        <v>15.559252007905732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3.4106051316484809E-13</v>
      </c>
      <c r="AJ188" s="13">
        <f>AI188*VLOOKUP('Données projet'!$B$10,Paramètres!$A$1:$I$89,3,0)*VLOOKUP('Données projet'!$B$10,Paramètres!$A$1:$I$89,5,0)</f>
        <v>1.5961632016114892E-13</v>
      </c>
      <c r="AK188" s="13">
        <f t="shared" si="164"/>
        <v>2.2708641912150958E-12</v>
      </c>
      <c r="AL188" s="20">
        <f t="shared" si="165"/>
        <v>4.2330868906469593E-12</v>
      </c>
      <c r="AM188" s="59">
        <f t="shared" si="113"/>
        <v>293.33333333333752</v>
      </c>
      <c r="AN188" s="59">
        <f ca="1">AVERAGE(OFFSET($AM$3,0,0,'Données projet'!$E$10+1,1))-AVERAGE(OFFSET($H$3,0,0,'Données projet'!$E$10+1,1))</f>
        <v>187.82209112143374</v>
      </c>
      <c r="AO188" s="59">
        <f t="shared" si="144"/>
        <v>158.99136654880203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29.12977043493953</v>
      </c>
      <c r="AV188" s="21">
        <f>EXP(-LN(2)/25)*AV187+(1-EXP(-LN(2)/25))/(LN(2)/25)*Calculateur!AQ188*Calculateur!AS188*VLOOKUP('Données projet'!$B$10,Paramètres!$A$1:$I$89,3,0)*0.475*44/12</f>
        <v>5.0922643410854889</v>
      </c>
      <c r="AW188" s="21">
        <f>EXP(-LN(2)/2)*AW187+(1-EXP(-LN(2)/2))/(LN(2)/2)*AQ188*AT188*VLOOKUP('Données projet'!$B$10,Paramètres!$A$1:$I$89,3,0)*0.475*44/12</f>
        <v>1.1455230931035757E-10</v>
      </c>
      <c r="AX188" s="21">
        <f t="shared" si="166"/>
        <v>34.222034776139573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140.32771978791288</v>
      </c>
      <c r="BJ188" s="59">
        <f t="shared" si="146"/>
        <v>135.76866977947634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1.6478108045485949</v>
      </c>
      <c r="BQ188" s="21">
        <f>EXP(-LN(2)/25)*BQ187+(1-EXP(-LN(2)/25))/(LN(2)/25)*Calculateur!BL188*Calculateur!BN188*VLOOKUP('Données projet'!$B$11,Paramètres!$A$1:$I$89,3,0)*0.475*44/12</f>
        <v>4.584953012680745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6.2327638172293396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3.0825000000000031</v>
      </c>
      <c r="BY188" s="12">
        <f>IF('Données projet'!$A$114&gt;35,BY187+BX188-CG187,IF(A188&lt;'Données projet'!$A$114,$BV$205^A188,IF(A188='Données projet'!$A$114,'Données projet'!$B$114,BY187+BX188-CG187)))</f>
        <v>202.0224999999997</v>
      </c>
      <c r="BZ188" s="13">
        <f>BY188*VLOOKUP('Données projet'!$B$12,Paramètres!$A$1:$I$89,3,0)*VLOOKUP('Données projet'!$B$12,Paramètres!$A$1:$I$89,5,0)</f>
        <v>204.8508149999997</v>
      </c>
      <c r="CA188" s="13">
        <f t="shared" si="170"/>
        <v>50.808738613533862</v>
      </c>
      <c r="CB188" s="20">
        <f t="shared" si="171"/>
        <v>445.27372254357095</v>
      </c>
      <c r="CC188" s="59">
        <f t="shared" si="119"/>
        <v>738.60705587690427</v>
      </c>
      <c r="CD188" s="59">
        <f ca="1">AVERAGE(OFFSET($CC$3,0,0,'Données projet'!$E$12+1,1))-AVERAGE(OFFSET($H$3,0,0,'Données projet'!$E$12+1,1))</f>
        <v>372.05986520199804</v>
      </c>
      <c r="CE188" s="59">
        <f t="shared" si="148"/>
        <v>184.37981929432044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98.212956770730955</v>
      </c>
      <c r="CL188" s="21">
        <f>EXP(-LN(2)/25)*CL187+(1-EXP(-LN(2)/25))/(LN(2)/25)*Calculateur!CG188*Calculateur!CI188*VLOOKUP('Données projet'!$B$12,Paramètres!$A$1:$I$89,3,0)*0.475*44/12</f>
        <v>38.637880413816212</v>
      </c>
      <c r="CM188" s="21">
        <f>EXP(-LN(2)/2)*CM187+(1-EXP(-LN(2)/2))/(LN(2)/2)*CG188*CJ188*VLOOKUP('Données projet'!$B$12,Paramètres!$A$1:$I$89,3,0)*0.475*44/12</f>
        <v>3.982937920688199E-6</v>
      </c>
      <c r="CN188" s="22">
        <f t="shared" si="172"/>
        <v>136.8508411674851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7.9580786405131221E-13</v>
      </c>
      <c r="CU188" s="17">
        <f>CT188*VLOOKUP('Données projet'!$B$13,Paramètres!$A$1:$I$89,3,0)*VLOOKUP('Données projet'!$B$13,Paramètres!$A$1:$I$89,5,0)</f>
        <v>7.2004695539362725E-13</v>
      </c>
      <c r="CV188" s="13">
        <f t="shared" si="173"/>
        <v>8.5963894794935589E-12</v>
      </c>
      <c r="CW188" s="20">
        <f t="shared" si="174"/>
        <v>1.6226126790761848E-11</v>
      </c>
      <c r="CX188" s="59">
        <f t="shared" si="122"/>
        <v>293.33333333334951</v>
      </c>
      <c r="CY188" s="59">
        <f ca="1">AVERAGE(OFFSET($CX$3,0,0,'Données projet'!$E$13+1,1))-AVERAGE(OFFSET($H$3,0,0,'Données projet'!$E$13+1,1))</f>
        <v>479.84731392413374</v>
      </c>
      <c r="CZ188" s="59">
        <f t="shared" si="150"/>
        <v>203.57601099841213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148.14542604371482</v>
      </c>
      <c r="DG188" s="21">
        <f>EXP(-LN(2)/25)*DG187+(1-EXP(-LN(2)/25))/(LN(2)/25)*Calculateur!DB188*Calculateur!DD188*VLOOKUP('Données projet'!$B$13,Paramètres!$A$1:$I$89,3,0)*0.475*44/12</f>
        <v>24.352382004226943</v>
      </c>
      <c r="DH188" s="21">
        <f>EXP(-LN(2)/2)*DH187+(1-EXP(-LN(2)/2))/(LN(2)/2)*DB188*DE188*VLOOKUP('Données projet'!$B$13,Paramètres!$A$1:$I$89,3,0)*0.475*44/12</f>
        <v>5.3123309281539406</v>
      </c>
      <c r="DI188" s="22">
        <f t="shared" si="175"/>
        <v>177.81013897609569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293.3333333333353</v>
      </c>
      <c r="S189" s="59">
        <f ca="1">AVERAGE(OFFSET($R$3,0,0,'Données projet'!$E$9+1,1))-AVERAGE(OFFSET($H$3,0,0,'Données projet'!$E$9+1,1))</f>
        <v>322.7909000321435</v>
      </c>
      <c r="T189" s="59">
        <f t="shared" si="142"/>
        <v>403.23516981532316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13.563114952291009</v>
      </c>
      <c r="AA189" s="21">
        <f>EXP(-LN(2)/25)*AA188+(1-EXP(-LN(2)/25))/(LN(2)/25)*Calculateur!V189*Calculateur!X189*VLOOKUP('Données projet'!$B$9,Paramètres!$A$1:$I$89,3,0)*0.475*44/12</f>
        <v>1.6776867337872925</v>
      </c>
      <c r="AB189" s="21">
        <f>EXP(-LN(2)/2)*AB188+(1-EXP(-LN(2)/2))/(LN(2)/2)*V189*Y189*VLOOKUP('Données projet'!$B$9,Paramètres!$A$1:$I$89,3,0)*0.475*44/12</f>
        <v>2.0953375764619234E-18</v>
      </c>
      <c r="AC189" s="22">
        <f t="shared" si="163"/>
        <v>15.240801686078301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3.4106051316484809E-13</v>
      </c>
      <c r="AJ189" s="13">
        <f>AI189*VLOOKUP('Données projet'!$B$10,Paramètres!$A$1:$I$89,3,0)*VLOOKUP('Données projet'!$B$10,Paramètres!$A$1:$I$89,5,0)</f>
        <v>1.5961632016114892E-13</v>
      </c>
      <c r="AK189" s="13">
        <f t="shared" si="164"/>
        <v>2.2708641912150958E-12</v>
      </c>
      <c r="AL189" s="20">
        <f t="shared" si="165"/>
        <v>4.2330868906469593E-12</v>
      </c>
      <c r="AM189" s="59">
        <f t="shared" si="113"/>
        <v>293.33333333333752</v>
      </c>
      <c r="AN189" s="59">
        <f ca="1">AVERAGE(OFFSET($AM$3,0,0,'Données projet'!$E$10+1,1))-AVERAGE(OFFSET($H$3,0,0,'Données projet'!$E$10+1,1))</f>
        <v>187.82209112143374</v>
      </c>
      <c r="AO189" s="59">
        <f t="shared" si="144"/>
        <v>158.99136654880203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28.558553404115944</v>
      </c>
      <c r="AV189" s="21">
        <f>EXP(-LN(2)/25)*AV188+(1-EXP(-LN(2)/25))/(LN(2)/25)*Calculateur!AQ189*Calculateur!AS189*VLOOKUP('Données projet'!$B$10,Paramètres!$A$1:$I$89,3,0)*0.475*44/12</f>
        <v>4.9530161048879631</v>
      </c>
      <c r="AW189" s="21">
        <f>EXP(-LN(2)/2)*AW188+(1-EXP(-LN(2)/2))/(LN(2)/2)*AQ189*AT189*VLOOKUP('Données projet'!$B$10,Paramètres!$A$1:$I$89,3,0)*0.475*44/12</f>
        <v>8.1000714713932727E-11</v>
      </c>
      <c r="AX189" s="21">
        <f t="shared" si="166"/>
        <v>33.511569509084907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140.32771978791288</v>
      </c>
      <c r="BJ189" s="59">
        <f t="shared" si="146"/>
        <v>135.76866977947634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1.6154982397367457</v>
      </c>
      <c r="BQ189" s="21">
        <f>EXP(-LN(2)/25)*BQ188+(1-EXP(-LN(2)/25))/(LN(2)/25)*Calculateur!BL189*Calculateur!BN189*VLOOKUP('Données projet'!$B$11,Paramètres!$A$1:$I$89,3,0)*0.475*44/12</f>
        <v>4.4595772314367901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6.0750754711735357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3.0825000000000031</v>
      </c>
      <c r="BY189" s="12">
        <f>IF('Données projet'!$A$114&gt;35,BY188+BX189-CG188,IF(A189&lt;'Données projet'!$A$114,$BV$205^A189,IF(A189='Données projet'!$A$114,'Données projet'!$B$114,BY188+BX189-CG188)))</f>
        <v>205.10499999999971</v>
      </c>
      <c r="BZ189" s="13">
        <f>BY189*VLOOKUP('Données projet'!$B$12,Paramètres!$A$1:$I$89,3,0)*VLOOKUP('Données projet'!$B$12,Paramètres!$A$1:$I$89,5,0)</f>
        <v>207.97646999999969</v>
      </c>
      <c r="CA189" s="13">
        <f t="shared" si="170"/>
        <v>51.493144603798712</v>
      </c>
      <c r="CB189" s="20">
        <f t="shared" si="171"/>
        <v>451.90957876828219</v>
      </c>
      <c r="CC189" s="59">
        <f t="shared" si="119"/>
        <v>745.2429121016155</v>
      </c>
      <c r="CD189" s="59">
        <f ca="1">AVERAGE(OFFSET($CC$3,0,0,'Données projet'!$E$12+1,1))-AVERAGE(OFFSET($H$3,0,0,'Données projet'!$E$12+1,1))</f>
        <v>372.05986520199804</v>
      </c>
      <c r="CE189" s="59">
        <f t="shared" si="148"/>
        <v>184.37981929432044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96.287060592445528</v>
      </c>
      <c r="CL189" s="21">
        <f>EXP(-LN(2)/25)*CL188+(1-EXP(-LN(2)/25))/(LN(2)/25)*Calculateur!CG189*Calculateur!CI189*VLOOKUP('Données projet'!$B$12,Paramètres!$A$1:$I$89,3,0)*0.475*44/12</f>
        <v>37.581325542022583</v>
      </c>
      <c r="CM189" s="21">
        <f>EXP(-LN(2)/2)*CM188+(1-EXP(-LN(2)/2))/(LN(2)/2)*CG189*CJ189*VLOOKUP('Données projet'!$B$12,Paramètres!$A$1:$I$89,3,0)*0.475*44/12</f>
        <v>2.8163624127636729E-6</v>
      </c>
      <c r="CN189" s="22">
        <f t="shared" si="172"/>
        <v>133.86838895083051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7.9580786405131221E-13</v>
      </c>
      <c r="CU189" s="17">
        <f>CT189*VLOOKUP('Données projet'!$B$13,Paramètres!$A$1:$I$89,3,0)*VLOOKUP('Données projet'!$B$13,Paramètres!$A$1:$I$89,5,0)</f>
        <v>7.2004695539362725E-13</v>
      </c>
      <c r="CV189" s="13">
        <f t="shared" si="173"/>
        <v>8.5963894794935589E-12</v>
      </c>
      <c r="CW189" s="20">
        <f t="shared" si="174"/>
        <v>1.6226126790761848E-11</v>
      </c>
      <c r="CX189" s="59">
        <f t="shared" si="122"/>
        <v>293.33333333334951</v>
      </c>
      <c r="CY189" s="59">
        <f ca="1">AVERAGE(OFFSET($CX$3,0,0,'Données projet'!$E$13+1,1))-AVERAGE(OFFSET($H$3,0,0,'Données projet'!$E$13+1,1))</f>
        <v>479.84731392413374</v>
      </c>
      <c r="CZ189" s="59">
        <f t="shared" si="150"/>
        <v>203.57601099841213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145.24038459878517</v>
      </c>
      <c r="DG189" s="21">
        <f>EXP(-LN(2)/25)*DG188+(1-EXP(-LN(2)/25))/(LN(2)/25)*Calculateur!DB189*Calculateur!DD189*VLOOKUP('Données projet'!$B$13,Paramètres!$A$1:$I$89,3,0)*0.475*44/12</f>
        <v>23.686464837685246</v>
      </c>
      <c r="DH189" s="21">
        <f>EXP(-LN(2)/2)*DH188+(1-EXP(-LN(2)/2))/(LN(2)/2)*DB189*DE189*VLOOKUP('Données projet'!$B$13,Paramètres!$A$1:$I$89,3,0)*0.475*44/12</f>
        <v>3.7563852232046777</v>
      </c>
      <c r="DI189" s="22">
        <f t="shared" si="175"/>
        <v>172.68323465967509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293.3333333333353</v>
      </c>
      <c r="S190" s="59">
        <f ca="1">AVERAGE(OFFSET($R$3,0,0,'Données projet'!$E$9+1,1))-AVERAGE(OFFSET($H$3,0,0,'Données projet'!$E$9+1,1))</f>
        <v>322.7909000321435</v>
      </c>
      <c r="T190" s="59">
        <f t="shared" si="142"/>
        <v>403.23516981532316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13.297150540759844</v>
      </c>
      <c r="AA190" s="21">
        <f>EXP(-LN(2)/25)*AA189+(1-EXP(-LN(2)/25))/(LN(2)/25)*Calculateur!V190*Calculateur!X190*VLOOKUP('Données projet'!$B$9,Paramètres!$A$1:$I$89,3,0)*0.475*44/12</f>
        <v>1.631810301826168</v>
      </c>
      <c r="AB190" s="21">
        <f>EXP(-LN(2)/2)*AB189+(1-EXP(-LN(2)/2))/(LN(2)/2)*V190*Y190*VLOOKUP('Données projet'!$B$9,Paramètres!$A$1:$I$89,3,0)*0.475*44/12</f>
        <v>1.4816274091912121E-18</v>
      </c>
      <c r="AC190" s="22">
        <f t="shared" si="163"/>
        <v>14.928960842586012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3.4106051316484809E-13</v>
      </c>
      <c r="AJ190" s="13">
        <f>AI190*VLOOKUP('Données projet'!$B$10,Paramètres!$A$1:$I$89,3,0)*VLOOKUP('Données projet'!$B$10,Paramètres!$A$1:$I$89,5,0)</f>
        <v>1.5961632016114892E-13</v>
      </c>
      <c r="AK190" s="13">
        <f t="shared" si="164"/>
        <v>2.2708641912150958E-12</v>
      </c>
      <c r="AL190" s="20">
        <f t="shared" si="165"/>
        <v>4.2330868906469593E-12</v>
      </c>
      <c r="AM190" s="59">
        <f t="shared" si="113"/>
        <v>293.33333333333752</v>
      </c>
      <c r="AN190" s="59">
        <f ca="1">AVERAGE(OFFSET($AM$3,0,0,'Données projet'!$E$10+1,1))-AVERAGE(OFFSET($H$3,0,0,'Données projet'!$E$10+1,1))</f>
        <v>187.82209112143374</v>
      </c>
      <c r="AO190" s="59">
        <f t="shared" si="144"/>
        <v>158.99136654880203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27.998537590858824</v>
      </c>
      <c r="AV190" s="21">
        <f>EXP(-LN(2)/25)*AV189+(1-EXP(-LN(2)/25))/(LN(2)/25)*Calculateur!AQ190*Calculateur!AS190*VLOOKUP('Données projet'!$B$10,Paramètres!$A$1:$I$89,3,0)*0.475*44/12</f>
        <v>4.8175756190320049</v>
      </c>
      <c r="AW190" s="21">
        <f>EXP(-LN(2)/2)*AW189+(1-EXP(-LN(2)/2))/(LN(2)/2)*AQ190*AT190*VLOOKUP('Données projet'!$B$10,Paramètres!$A$1:$I$89,3,0)*0.475*44/12</f>
        <v>5.7276154655178794E-11</v>
      </c>
      <c r="AX190" s="21">
        <f t="shared" si="166"/>
        <v>32.816113209948107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140.32771978791288</v>
      </c>
      <c r="BJ190" s="59">
        <f t="shared" si="146"/>
        <v>135.76866977947634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1.5838193046121385</v>
      </c>
      <c r="BQ190" s="21">
        <f>EXP(-LN(2)/25)*BQ189+(1-EXP(-LN(2)/25))/(LN(2)/25)*Calculateur!BL190*Calculateur!BN190*VLOOKUP('Données projet'!$B$11,Paramètres!$A$1:$I$89,3,0)*0.475*44/12</f>
        <v>4.3376298575241767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5.921449162136315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3.0825000000000031</v>
      </c>
      <c r="BY190" s="12">
        <f>IF('Données projet'!$A$114&gt;35,BY189+BX190-CG189,IF(A190&lt;'Données projet'!$A$114,$BV$205^A190,IF(A190='Données projet'!$A$114,'Données projet'!$B$114,BY189+BX190-CG189)))</f>
        <v>208.18749999999972</v>
      </c>
      <c r="BZ190" s="13">
        <f>BY190*VLOOKUP('Données projet'!$B$12,Paramètres!$A$1:$I$89,3,0)*VLOOKUP('Données projet'!$B$12,Paramètres!$A$1:$I$89,5,0)</f>
        <v>211.10212499999972</v>
      </c>
      <c r="CA190" s="13">
        <f t="shared" si="170"/>
        <v>52.176354318882368</v>
      </c>
      <c r="CB190" s="20">
        <f t="shared" si="171"/>
        <v>458.54335148038626</v>
      </c>
      <c r="CC190" s="59">
        <f t="shared" si="119"/>
        <v>751.87668481371952</v>
      </c>
      <c r="CD190" s="59">
        <f ca="1">AVERAGE(OFFSET($CC$3,0,0,'Données projet'!$E$12+1,1))-AVERAGE(OFFSET($H$3,0,0,'Données projet'!$E$12+1,1))</f>
        <v>372.05986520199804</v>
      </c>
      <c r="CE190" s="59">
        <f t="shared" si="148"/>
        <v>184.37981929432044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94.398930063535602</v>
      </c>
      <c r="CL190" s="21">
        <f>EXP(-LN(2)/25)*CL189+(1-EXP(-LN(2)/25))/(LN(2)/25)*Calculateur!CG190*Calculateur!CI190*VLOOKUP('Données projet'!$B$12,Paramètres!$A$1:$I$89,3,0)*0.475*44/12</f>
        <v>36.55366221875996</v>
      </c>
      <c r="CM190" s="21">
        <f>EXP(-LN(2)/2)*CM189+(1-EXP(-LN(2)/2))/(LN(2)/2)*CG190*CJ190*VLOOKUP('Données projet'!$B$12,Paramètres!$A$1:$I$89,3,0)*0.475*44/12</f>
        <v>1.9914689603440995E-6</v>
      </c>
      <c r="CN190" s="22">
        <f t="shared" si="172"/>
        <v>130.95259427376453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7.9580786405131221E-13</v>
      </c>
      <c r="CU190" s="17">
        <f>CT190*VLOOKUP('Données projet'!$B$13,Paramètres!$A$1:$I$89,3,0)*VLOOKUP('Données projet'!$B$13,Paramètres!$A$1:$I$89,5,0)</f>
        <v>7.2004695539362725E-13</v>
      </c>
      <c r="CV190" s="13">
        <f t="shared" si="173"/>
        <v>8.5963894794935589E-12</v>
      </c>
      <c r="CW190" s="20">
        <f t="shared" si="174"/>
        <v>1.6226126790761848E-11</v>
      </c>
      <c r="CX190" s="59">
        <f t="shared" si="122"/>
        <v>293.33333333334951</v>
      </c>
      <c r="CY190" s="59">
        <f ca="1">AVERAGE(OFFSET($CX$3,0,0,'Données projet'!$E$13+1,1))-AVERAGE(OFFSET($H$3,0,0,'Données projet'!$E$13+1,1))</f>
        <v>479.84731392413374</v>
      </c>
      <c r="CZ190" s="59">
        <f t="shared" si="150"/>
        <v>203.57601099841213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142.39230924469027</v>
      </c>
      <c r="DG190" s="21">
        <f>EXP(-LN(2)/25)*DG189+(1-EXP(-LN(2)/25))/(LN(2)/25)*Calculateur!DB190*Calculateur!DD190*VLOOKUP('Données projet'!$B$13,Paramètres!$A$1:$I$89,3,0)*0.475*44/12</f>
        <v>23.038757211081695</v>
      </c>
      <c r="DH190" s="21">
        <f>EXP(-LN(2)/2)*DH189+(1-EXP(-LN(2)/2))/(LN(2)/2)*DB190*DE190*VLOOKUP('Données projet'!$B$13,Paramètres!$A$1:$I$89,3,0)*0.475*44/12</f>
        <v>2.6561654640769707</v>
      </c>
      <c r="DI190" s="22">
        <f t="shared" si="175"/>
        <v>168.08723191984893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293.3333333333353</v>
      </c>
      <c r="S191" s="59">
        <f ca="1">AVERAGE(OFFSET($R$3,0,0,'Données projet'!$E$9+1,1))-AVERAGE(OFFSET($H$3,0,0,'Données projet'!$E$9+1,1))</f>
        <v>322.7909000321435</v>
      </c>
      <c r="T191" s="59">
        <f t="shared" si="142"/>
        <v>403.23516981532316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13.036401529116532</v>
      </c>
      <c r="AA191" s="21">
        <f>EXP(-LN(2)/25)*AA190+(1-EXP(-LN(2)/25))/(LN(2)/25)*Calculateur!V191*Calculateur!X191*VLOOKUP('Données projet'!$B$9,Paramètres!$A$1:$I$89,3,0)*0.475*44/12</f>
        <v>1.5871883633095571</v>
      </c>
      <c r="AB191" s="21">
        <f>EXP(-LN(2)/2)*AB190+(1-EXP(-LN(2)/2))/(LN(2)/2)*V191*Y191*VLOOKUP('Données projet'!$B$9,Paramètres!$A$1:$I$89,3,0)*0.475*44/12</f>
        <v>1.0476687882309617E-18</v>
      </c>
      <c r="AC191" s="22">
        <f t="shared" si="163"/>
        <v>14.623589892426089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3.4106051316484809E-13</v>
      </c>
      <c r="AJ191" s="13">
        <f>AI191*VLOOKUP('Données projet'!$B$10,Paramètres!$A$1:$I$89,3,0)*VLOOKUP('Données projet'!$B$10,Paramètres!$A$1:$I$89,5,0)</f>
        <v>1.5961632016114892E-13</v>
      </c>
      <c r="AK191" s="13">
        <f t="shared" si="164"/>
        <v>2.2708641912150958E-12</v>
      </c>
      <c r="AL191" s="20">
        <f t="shared" si="165"/>
        <v>4.2330868906469593E-12</v>
      </c>
      <c r="AM191" s="59">
        <f t="shared" si="113"/>
        <v>293.33333333333752</v>
      </c>
      <c r="AN191" s="59">
        <f ca="1">AVERAGE(OFFSET($AM$3,0,0,'Données projet'!$E$10+1,1))-AVERAGE(OFFSET($H$3,0,0,'Données projet'!$E$10+1,1))</f>
        <v>187.82209112143374</v>
      </c>
      <c r="AO191" s="59">
        <f t="shared" si="144"/>
        <v>158.99136654880203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27.449503346123759</v>
      </c>
      <c r="AV191" s="21">
        <f>EXP(-LN(2)/25)*AV190+(1-EXP(-LN(2)/25))/(LN(2)/25)*Calculateur!AQ191*Calculateur!AS191*VLOOKUP('Données projet'!$B$10,Paramètres!$A$1:$I$89,3,0)*0.475*44/12</f>
        <v>4.6858387603842839</v>
      </c>
      <c r="AW191" s="21">
        <f>EXP(-LN(2)/2)*AW190+(1-EXP(-LN(2)/2))/(LN(2)/2)*AQ191*AT191*VLOOKUP('Données projet'!$B$10,Paramètres!$A$1:$I$89,3,0)*0.475*44/12</f>
        <v>4.050035735696637E-11</v>
      </c>
      <c r="AX191" s="21">
        <f t="shared" si="166"/>
        <v>32.135342106548542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140.32771978791288</v>
      </c>
      <c r="BJ191" s="59">
        <f t="shared" si="146"/>
        <v>135.76866977947634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1.5527615740830822</v>
      </c>
      <c r="BQ191" s="21">
        <f>EXP(-LN(2)/25)*BQ190+(1-EXP(-LN(2)/25))/(LN(2)/25)*Calculateur!BL191*Calculateur!BN191*VLOOKUP('Données projet'!$B$11,Paramètres!$A$1:$I$89,3,0)*0.475*44/12</f>
        <v>4.2190171409641373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5.7717787150472191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>
        <f>VLOOKUP(A191,'Données projet'!$A$113:$I$133,2,0)</f>
        <v>211.27</v>
      </c>
      <c r="BW191" s="12">
        <f>VLOOKUP(A191,'Données projet'!$A$113:$I$133,9,0)</f>
        <v>3.0825000000000031</v>
      </c>
      <c r="BX191" s="12">
        <f t="array" ref="BX191">INDEX(BW:BW,MIN(IF(ISNUMBER(BW191:BW387),ROW(BW191:BW387),"")))</f>
        <v>3.0825000000000031</v>
      </c>
      <c r="BY191" s="12">
        <f>IF('Données projet'!$A$114&gt;35,BY190+BX191-CG190,IF(A191&lt;'Données projet'!$A$114,$BV$205^A191,IF(A191='Données projet'!$A$114,'Données projet'!$B$114,BY190+BX191-CG190)))</f>
        <v>211.26999999999973</v>
      </c>
      <c r="BZ191" s="13">
        <f>BY191*VLOOKUP('Données projet'!$B$12,Paramètres!$A$1:$I$89,3,0)*VLOOKUP('Données projet'!$B$12,Paramètres!$A$1:$I$89,5,0)</f>
        <v>214.22777999999974</v>
      </c>
      <c r="CA191" s="13">
        <f t="shared" si="170"/>
        <v>52.858387517427865</v>
      </c>
      <c r="CB191" s="20">
        <f t="shared" si="171"/>
        <v>465.17507509285309</v>
      </c>
      <c r="CC191" s="59">
        <f t="shared" si="119"/>
        <v>758.50840842618641</v>
      </c>
      <c r="CD191" s="59">
        <f ca="1">AVERAGE(OFFSET($CC$3,0,0,'Données projet'!$E$12+1,1))-AVERAGE(OFFSET($H$3,0,0,'Données projet'!$E$12+1,1))</f>
        <v>372.05986520199804</v>
      </c>
      <c r="CE191" s="59">
        <f t="shared" si="148"/>
        <v>184.37981929432044</v>
      </c>
      <c r="CF191" s="15">
        <f>IF(ISNA(VLOOKUP(A191,'Données projet'!$A$113:$I$133,3,0)),0,VLOOKUP(A191,'Données projet'!$A$113:$I$133,3,0))</f>
        <v>15</v>
      </c>
      <c r="CG191" s="15">
        <f>IF(ISNA(VLOOKUP(A191,'Données projet'!$A$113:$I$133,4,0)),0,VLOOKUP(A191,'Données projet'!$A$113:$I$133,4,0))</f>
        <v>72.180000000000007</v>
      </c>
      <c r="CH191" s="16">
        <f>IF(ISNA(VLOOKUP(A191,'Données projet'!$A$113:$I$133,5,0)),0%,VLOOKUP(A191,'Données projet'!$A$113:$I$133,5,0)*VLOOKUP('Données projet'!$B$12,Paramètres!$A$1:$I$89,7,0))</f>
        <v>0.215</v>
      </c>
      <c r="CI191" s="16">
        <f>IF(ISNA(VLOOKUP(A191,'Données projet'!$A$113:$I$133,6,0)),0%,VLOOKUP(A191,'Données projet'!$A$113:$I$133,6,0)*VLOOKUP('Données projet'!$B$12,Paramètres!$A$1:$I$89,7,0))</f>
        <v>8.6000000000000007E-2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109.94346428601369</v>
      </c>
      <c r="CL191" s="21">
        <f>EXP(-LN(2)/25)*CL190+(1-EXP(-LN(2)/25))/(LN(2)/25)*Calculateur!CG191*Calculateur!CI191*VLOOKUP('Données projet'!$B$12,Paramètres!$A$1:$I$89,3,0)*0.475*44/12</f>
        <v>42.484958963814016</v>
      </c>
      <c r="CM191" s="21">
        <f>EXP(-LN(2)/2)*CM190+(1-EXP(-LN(2)/2))/(LN(2)/2)*CG191*CJ191*VLOOKUP('Données projet'!$B$12,Paramètres!$A$1:$I$89,3,0)*0.475*44/12</f>
        <v>1.4081812063818365E-6</v>
      </c>
      <c r="CN191" s="22">
        <f t="shared" si="172"/>
        <v>152.42842465800894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7.9580786405131221E-13</v>
      </c>
      <c r="CU191" s="17">
        <f>CT191*VLOOKUP('Données projet'!$B$13,Paramètres!$A$1:$I$89,3,0)*VLOOKUP('Données projet'!$B$13,Paramètres!$A$1:$I$89,5,0)</f>
        <v>7.2004695539362725E-13</v>
      </c>
      <c r="CV191" s="13">
        <f t="shared" si="173"/>
        <v>8.5963894794935589E-12</v>
      </c>
      <c r="CW191" s="20">
        <f t="shared" si="174"/>
        <v>1.6226126790761848E-11</v>
      </c>
      <c r="CX191" s="59">
        <f t="shared" si="122"/>
        <v>293.33333333334951</v>
      </c>
      <c r="CY191" s="59">
        <f ca="1">AVERAGE(OFFSET($CX$3,0,0,'Données projet'!$E$13+1,1))-AVERAGE(OFFSET($H$3,0,0,'Données projet'!$E$13+1,1))</f>
        <v>479.84731392413374</v>
      </c>
      <c r="CZ191" s="59">
        <f t="shared" si="150"/>
        <v>203.57601099841213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139.60008291113473</v>
      </c>
      <c r="DG191" s="21">
        <f>EXP(-LN(2)/25)*DG190+(1-EXP(-LN(2)/25))/(LN(2)/25)*Calculateur!DB191*Calculateur!DD191*VLOOKUP('Données projet'!$B$13,Paramètres!$A$1:$I$89,3,0)*0.475*44/12</f>
        <v>22.408761183589078</v>
      </c>
      <c r="DH191" s="21">
        <f>EXP(-LN(2)/2)*DH190+(1-EXP(-LN(2)/2))/(LN(2)/2)*DB191*DE191*VLOOKUP('Données projet'!$B$13,Paramètres!$A$1:$I$89,3,0)*0.475*44/12</f>
        <v>1.8781926116023391</v>
      </c>
      <c r="DI191" s="22">
        <f t="shared" si="175"/>
        <v>163.88703670632617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293.3333333333353</v>
      </c>
      <c r="S192" s="59">
        <f ca="1">AVERAGE(OFFSET($R$3,0,0,'Données projet'!$E$9+1,1))-AVERAGE(OFFSET($H$3,0,0,'Données projet'!$E$9+1,1))</f>
        <v>322.7909000321435</v>
      </c>
      <c r="T192" s="59">
        <f t="shared" si="142"/>
        <v>403.23516981532316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12.780765646550352</v>
      </c>
      <c r="AA192" s="21">
        <f>EXP(-LN(2)/25)*AA191+(1-EXP(-LN(2)/25))/(LN(2)/25)*Calculateur!V192*Calculateur!X192*VLOOKUP('Données projet'!$B$9,Paramètres!$A$1:$I$89,3,0)*0.475*44/12</f>
        <v>1.5437866140482488</v>
      </c>
      <c r="AB192" s="21">
        <f>EXP(-LN(2)/2)*AB191+(1-EXP(-LN(2)/2))/(LN(2)/2)*V192*Y192*VLOOKUP('Données projet'!$B$9,Paramètres!$A$1:$I$89,3,0)*0.475*44/12</f>
        <v>7.4081370459560603E-19</v>
      </c>
      <c r="AC192" s="22">
        <f t="shared" si="163"/>
        <v>14.324552260598601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3.4106051316484809E-13</v>
      </c>
      <c r="AJ192" s="13">
        <f>AI192*VLOOKUP('Données projet'!$B$10,Paramètres!$A$1:$I$89,3,0)*VLOOKUP('Données projet'!$B$10,Paramètres!$A$1:$I$89,5,0)</f>
        <v>1.5961632016114892E-13</v>
      </c>
      <c r="AK192" s="13">
        <f t="shared" si="164"/>
        <v>2.2708641912150958E-12</v>
      </c>
      <c r="AL192" s="20">
        <f t="shared" si="165"/>
        <v>4.2330868906469593E-12</v>
      </c>
      <c r="AM192" s="59">
        <f t="shared" si="113"/>
        <v>293.33333333333752</v>
      </c>
      <c r="AN192" s="59">
        <f ca="1">AVERAGE(OFFSET($AM$3,0,0,'Données projet'!$E$10+1,1))-AVERAGE(OFFSET($H$3,0,0,'Données projet'!$E$10+1,1))</f>
        <v>187.82209112143374</v>
      </c>
      <c r="AO192" s="59">
        <f t="shared" si="144"/>
        <v>158.99136654880203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26.911235328050125</v>
      </c>
      <c r="AV192" s="21">
        <f>EXP(-LN(2)/25)*AV191+(1-EXP(-LN(2)/25))/(LN(2)/25)*Calculateur!AQ192*Calculateur!AS192*VLOOKUP('Données projet'!$B$10,Paramètres!$A$1:$I$89,3,0)*0.475*44/12</f>
        <v>4.557704253064025</v>
      </c>
      <c r="AW192" s="21">
        <f>EXP(-LN(2)/2)*AW191+(1-EXP(-LN(2)/2))/(LN(2)/2)*AQ192*AT192*VLOOKUP('Données projet'!$B$10,Paramètres!$A$1:$I$89,3,0)*0.475*44/12</f>
        <v>2.86380773275894E-11</v>
      </c>
      <c r="AX192" s="21">
        <f t="shared" si="166"/>
        <v>31.468939581142788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140.32771978791288</v>
      </c>
      <c r="BJ192" s="59">
        <f t="shared" si="146"/>
        <v>135.76866977947634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1.5223128667063557</v>
      </c>
      <c r="BQ192" s="21">
        <f>EXP(-LN(2)/25)*BQ191+(1-EXP(-LN(2)/25))/(LN(2)/25)*Calculateur!BL192*Calculateur!BN192*VLOOKUP('Données projet'!$B$11,Paramètres!$A$1:$I$89,3,0)*0.475*44/12</f>
        <v>4.1036478953760041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5.62596076208236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1.9733333333333292</v>
      </c>
      <c r="BY192" s="12">
        <f>IF('Données projet'!$A$114&gt;35,BY191+BX192-CG191,IF(A192&lt;'Données projet'!$A$114,$BV$205^A192,IF(A192='Données projet'!$A$114,'Données projet'!$B$114,BY191+BX192-CG191)))</f>
        <v>141.06333333333305</v>
      </c>
      <c r="BZ192" s="13">
        <f>BY192*VLOOKUP('Données projet'!$B$12,Paramètres!$A$1:$I$89,3,0)*VLOOKUP('Données projet'!$B$12,Paramètres!$A$1:$I$89,5,0)</f>
        <v>143.03821999999974</v>
      </c>
      <c r="CA192" s="13">
        <f t="shared" si="170"/>
        <v>36.992146964895987</v>
      </c>
      <c r="CB192" s="20">
        <f t="shared" si="171"/>
        <v>313.55288913052675</v>
      </c>
      <c r="CC192" s="59">
        <f t="shared" si="119"/>
        <v>606.88622246386012</v>
      </c>
      <c r="CD192" s="59">
        <f ca="1">AVERAGE(OFFSET($CC$3,0,0,'Données projet'!$E$12+1,1))-AVERAGE(OFFSET($H$3,0,0,'Données projet'!$E$12+1,1))</f>
        <v>372.05986520199804</v>
      </c>
      <c r="CE192" s="59">
        <f t="shared" si="148"/>
        <v>184.37981929432044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107.78754001025666</v>
      </c>
      <c r="CL192" s="21">
        <f>EXP(-LN(2)/25)*CL191+(1-EXP(-LN(2)/25))/(LN(2)/25)*Calculateur!CG192*Calculateur!CI192*VLOOKUP('Données projet'!$B$12,Paramètres!$A$1:$I$89,3,0)*0.475*44/12</f>
        <v>41.323205526761633</v>
      </c>
      <c r="CM192" s="21">
        <f>EXP(-LN(2)/2)*CM191+(1-EXP(-LN(2)/2))/(LN(2)/2)*CG192*CJ192*VLOOKUP('Données projet'!$B$12,Paramètres!$A$1:$I$89,3,0)*0.475*44/12</f>
        <v>9.9573448017204974E-7</v>
      </c>
      <c r="CN192" s="22">
        <f t="shared" si="172"/>
        <v>149.11074653275276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7.9580786405131221E-13</v>
      </c>
      <c r="CU192" s="17">
        <f>CT192*VLOOKUP('Données projet'!$B$13,Paramètres!$A$1:$I$89,3,0)*VLOOKUP('Données projet'!$B$13,Paramètres!$A$1:$I$89,5,0)</f>
        <v>7.2004695539362725E-13</v>
      </c>
      <c r="CV192" s="13">
        <f t="shared" si="173"/>
        <v>8.5963894794935589E-12</v>
      </c>
      <c r="CW192" s="20">
        <f t="shared" si="174"/>
        <v>1.6226126790761848E-11</v>
      </c>
      <c r="CX192" s="59">
        <f t="shared" si="122"/>
        <v>293.33333333334951</v>
      </c>
      <c r="CY192" s="59">
        <f ca="1">AVERAGE(OFFSET($CX$3,0,0,'Données projet'!$E$13+1,1))-AVERAGE(OFFSET($H$3,0,0,'Données projet'!$E$13+1,1))</f>
        <v>479.84731392413374</v>
      </c>
      <c r="CZ192" s="59">
        <f t="shared" si="150"/>
        <v>203.57601099841213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136.86261043289034</v>
      </c>
      <c r="DG192" s="21">
        <f>EXP(-LN(2)/25)*DG191+(1-EXP(-LN(2)/25))/(LN(2)/25)*Calculateur!DB192*Calculateur!DD192*VLOOKUP('Données projet'!$B$13,Paramètres!$A$1:$I$89,3,0)*0.475*44/12</f>
        <v>21.7959924305983</v>
      </c>
      <c r="DH192" s="21">
        <f>EXP(-LN(2)/2)*DH191+(1-EXP(-LN(2)/2))/(LN(2)/2)*DB192*DE192*VLOOKUP('Données projet'!$B$13,Paramètres!$A$1:$I$89,3,0)*0.475*44/12</f>
        <v>1.3280827320384856</v>
      </c>
      <c r="DI192" s="22">
        <f t="shared" si="175"/>
        <v>159.98668559552712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293.3333333333353</v>
      </c>
      <c r="S193" s="59">
        <f ca="1">AVERAGE(OFFSET($R$3,0,0,'Données projet'!$E$9+1,1))-AVERAGE(OFFSET($H$3,0,0,'Données projet'!$E$9+1,1))</f>
        <v>322.7909000321435</v>
      </c>
      <c r="T193" s="59">
        <f t="shared" si="142"/>
        <v>403.23516981532316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12.530142627718803</v>
      </c>
      <c r="AA193" s="21">
        <f>EXP(-LN(2)/25)*AA192+(1-EXP(-LN(2)/25))/(LN(2)/25)*Calculateur!V193*Calculateur!X193*VLOOKUP('Données projet'!$B$9,Paramètres!$A$1:$I$89,3,0)*0.475*44/12</f>
        <v>1.5015716879028898</v>
      </c>
      <c r="AB193" s="21">
        <f>EXP(-LN(2)/2)*AB192+(1-EXP(-LN(2)/2))/(LN(2)/2)*V193*Y193*VLOOKUP('Données projet'!$B$9,Paramètres!$A$1:$I$89,3,0)*0.475*44/12</f>
        <v>5.2383439411548085E-19</v>
      </c>
      <c r="AC193" s="22">
        <f t="shared" si="163"/>
        <v>14.031714315621693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3.4106051316484809E-13</v>
      </c>
      <c r="AJ193" s="13">
        <f>AI193*VLOOKUP('Données projet'!$B$10,Paramètres!$A$1:$I$89,3,0)*VLOOKUP('Données projet'!$B$10,Paramètres!$A$1:$I$89,5,0)</f>
        <v>1.5961632016114892E-13</v>
      </c>
      <c r="AK193" s="13">
        <f t="shared" si="164"/>
        <v>2.2708641912150958E-12</v>
      </c>
      <c r="AL193" s="20">
        <f t="shared" si="165"/>
        <v>4.2330868906469593E-12</v>
      </c>
      <c r="AM193" s="59">
        <f t="shared" si="113"/>
        <v>293.33333333333752</v>
      </c>
      <c r="AN193" s="59">
        <f ca="1">AVERAGE(OFFSET($AM$3,0,0,'Données projet'!$E$10+1,1))-AVERAGE(OFFSET($H$3,0,0,'Données projet'!$E$10+1,1))</f>
        <v>187.82209112143374</v>
      </c>
      <c r="AO193" s="59">
        <f t="shared" si="144"/>
        <v>158.99136654880203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26.38352241749984</v>
      </c>
      <c r="AV193" s="21">
        <f>EXP(-LN(2)/25)*AV192+(1-EXP(-LN(2)/25))/(LN(2)/25)*Calculateur!AQ193*Calculateur!AS193*VLOOKUP('Données projet'!$B$10,Paramètres!$A$1:$I$89,3,0)*0.475*44/12</f>
        <v>4.4330735905847396</v>
      </c>
      <c r="AW193" s="21">
        <f>EXP(-LN(2)/2)*AW192+(1-EXP(-LN(2)/2))/(LN(2)/2)*AQ193*AT193*VLOOKUP('Données projet'!$B$10,Paramètres!$A$1:$I$89,3,0)*0.475*44/12</f>
        <v>2.0250178678483188E-11</v>
      </c>
      <c r="AX193" s="21">
        <f t="shared" si="166"/>
        <v>30.816596008104831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140.32771978791288</v>
      </c>
      <c r="BJ193" s="59">
        <f t="shared" si="146"/>
        <v>135.76866977947634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1.492461239909409</v>
      </c>
      <c r="BQ193" s="21">
        <f>EXP(-LN(2)/25)*BQ192+(1-EXP(-LN(2)/25))/(LN(2)/25)*Calculateur!BL193*Calculateur!BN193*VLOOKUP('Données projet'!$B$11,Paramètres!$A$1:$I$89,3,0)*0.475*44/12</f>
        <v>3.9914334278754833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5.4838946677848925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1.9733333333333292</v>
      </c>
      <c r="BY193" s="12">
        <f>IF('Données projet'!$A$114&gt;35,BY192+BX193-CG192,IF(A193&lt;'Données projet'!$A$114,$BV$205^A193,IF(A193='Données projet'!$A$114,'Données projet'!$B$114,BY192+BX193-CG192)))</f>
        <v>143.03666666666638</v>
      </c>
      <c r="BZ193" s="13">
        <f>BY193*VLOOKUP('Données projet'!$B$12,Paramètres!$A$1:$I$89,3,0)*VLOOKUP('Données projet'!$B$12,Paramètres!$A$1:$I$89,5,0)</f>
        <v>145.0391799999997</v>
      </c>
      <c r="CA193" s="13">
        <f t="shared" si="170"/>
        <v>37.449024342936362</v>
      </c>
      <c r="CB193" s="20">
        <f t="shared" si="171"/>
        <v>317.8336225639469</v>
      </c>
      <c r="CC193" s="59">
        <f t="shared" si="119"/>
        <v>611.16695589728022</v>
      </c>
      <c r="CD193" s="59">
        <f ca="1">AVERAGE(OFFSET($CC$3,0,0,'Données projet'!$E$12+1,1))-AVERAGE(OFFSET($H$3,0,0,'Données projet'!$E$12+1,1))</f>
        <v>372.05986520199804</v>
      </c>
      <c r="CE193" s="59">
        <f t="shared" si="148"/>
        <v>184.37981929432044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105.67389209456327</v>
      </c>
      <c r="CL193" s="21">
        <f>EXP(-LN(2)/25)*CL192+(1-EXP(-LN(2)/25))/(LN(2)/25)*Calculateur!CG193*Calculateur!CI193*VLOOKUP('Données projet'!$B$12,Paramètres!$A$1:$I$89,3,0)*0.475*44/12</f>
        <v>40.193220298539401</v>
      </c>
      <c r="CM193" s="21">
        <f>EXP(-LN(2)/2)*CM192+(1-EXP(-LN(2)/2))/(LN(2)/2)*CG193*CJ193*VLOOKUP('Données projet'!$B$12,Paramètres!$A$1:$I$89,3,0)*0.475*44/12</f>
        <v>7.0409060319091823E-7</v>
      </c>
      <c r="CN193" s="22">
        <f t="shared" si="172"/>
        <v>145.86711309719328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7.9580786405131221E-13</v>
      </c>
      <c r="CU193" s="17">
        <f>CT193*VLOOKUP('Données projet'!$B$13,Paramètres!$A$1:$I$89,3,0)*VLOOKUP('Données projet'!$B$13,Paramètres!$A$1:$I$89,5,0)</f>
        <v>7.2004695539362725E-13</v>
      </c>
      <c r="CV193" s="13">
        <f t="shared" si="173"/>
        <v>8.5963894794935589E-12</v>
      </c>
      <c r="CW193" s="20">
        <f t="shared" si="174"/>
        <v>1.6226126790761848E-11</v>
      </c>
      <c r="CX193" s="59">
        <f t="shared" si="122"/>
        <v>293.33333333334951</v>
      </c>
      <c r="CY193" s="59">
        <f ca="1">AVERAGE(OFFSET($CX$3,0,0,'Données projet'!$E$13+1,1))-AVERAGE(OFFSET($H$3,0,0,'Données projet'!$E$13+1,1))</f>
        <v>479.84731392413374</v>
      </c>
      <c r="CZ193" s="59">
        <f t="shared" si="150"/>
        <v>203.57601099841213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134.17881812025095</v>
      </c>
      <c r="DG193" s="21">
        <f>EXP(-LN(2)/25)*DG192+(1-EXP(-LN(2)/25))/(LN(2)/25)*Calculateur!DB193*Calculateur!DD193*VLOOKUP('Données projet'!$B$13,Paramètres!$A$1:$I$89,3,0)*0.475*44/12</f>
        <v>21.199979871382162</v>
      </c>
      <c r="DH193" s="21">
        <f>EXP(-LN(2)/2)*DH192+(1-EXP(-LN(2)/2))/(LN(2)/2)*DB193*DE193*VLOOKUP('Données projet'!$B$13,Paramètres!$A$1:$I$89,3,0)*0.475*44/12</f>
        <v>0.93909630580116976</v>
      </c>
      <c r="DI193" s="22">
        <f t="shared" si="175"/>
        <v>156.31789429743429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293.3333333333353</v>
      </c>
      <c r="S194" s="59">
        <f ca="1">AVERAGE(OFFSET($R$3,0,0,'Données projet'!$E$9+1,1))-AVERAGE(OFFSET($H$3,0,0,'Données projet'!$E$9+1,1))</f>
        <v>322.7909000321435</v>
      </c>
      <c r="T194" s="59">
        <f t="shared" si="142"/>
        <v>403.23516981532316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12.284434173421593</v>
      </c>
      <c r="AA194" s="21">
        <f>EXP(-LN(2)/25)*AA193+(1-EXP(-LN(2)/25))/(LN(2)/25)*Calculateur!V194*Calculateur!X194*VLOOKUP('Données projet'!$B$9,Paramètres!$A$1:$I$89,3,0)*0.475*44/12</f>
        <v>1.4605111311329622</v>
      </c>
      <c r="AB194" s="21">
        <f>EXP(-LN(2)/2)*AB193+(1-EXP(-LN(2)/2))/(LN(2)/2)*V194*Y194*VLOOKUP('Données projet'!$B$9,Paramètres!$A$1:$I$89,3,0)*0.475*44/12</f>
        <v>3.7040685229780302E-19</v>
      </c>
      <c r="AC194" s="22">
        <f t="shared" si="163"/>
        <v>13.744945304554555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3.4106051316484809E-13</v>
      </c>
      <c r="AJ194" s="13">
        <f>AI194*VLOOKUP('Données projet'!$B$10,Paramètres!$A$1:$I$89,3,0)*VLOOKUP('Données projet'!$B$10,Paramètres!$A$1:$I$89,5,0)</f>
        <v>1.5961632016114892E-13</v>
      </c>
      <c r="AK194" s="13">
        <f t="shared" si="164"/>
        <v>2.2708641912150958E-12</v>
      </c>
      <c r="AL194" s="20">
        <f t="shared" si="165"/>
        <v>4.2330868906469593E-12</v>
      </c>
      <c r="AM194" s="59">
        <f t="shared" si="113"/>
        <v>293.33333333333752</v>
      </c>
      <c r="AN194" s="59">
        <f ca="1">AVERAGE(OFFSET($AM$3,0,0,'Données projet'!$E$10+1,1))-AVERAGE(OFFSET($H$3,0,0,'Données projet'!$E$10+1,1))</f>
        <v>187.82209112143374</v>
      </c>
      <c r="AO194" s="59">
        <f t="shared" si="144"/>
        <v>158.99136654880203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25.866157635252353</v>
      </c>
      <c r="AV194" s="21">
        <f>EXP(-LN(2)/25)*AV193+(1-EXP(-LN(2)/25))/(LN(2)/25)*Calculateur!AQ194*Calculateur!AS194*VLOOKUP('Données projet'!$B$10,Paramètres!$A$1:$I$89,3,0)*0.475*44/12</f>
        <v>4.3118509601249917</v>
      </c>
      <c r="AW194" s="21">
        <f>EXP(-LN(2)/2)*AW193+(1-EXP(-LN(2)/2))/(LN(2)/2)*AQ194*AT194*VLOOKUP('Données projet'!$B$10,Paramètres!$A$1:$I$89,3,0)*0.475*44/12</f>
        <v>1.4319038663794703E-11</v>
      </c>
      <c r="AX194" s="21">
        <f t="shared" si="166"/>
        <v>30.178008595391663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140.32771978791288</v>
      </c>
      <c r="BJ194" s="59">
        <f t="shared" si="146"/>
        <v>135.76866977947634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1.463194985306256</v>
      </c>
      <c r="BQ194" s="21">
        <f>EXP(-LN(2)/25)*BQ193+(1-EXP(-LN(2)/25))/(LN(2)/25)*Calculateur!BL194*Calculateur!BN194*VLOOKUP('Données projet'!$B$11,Paramètres!$A$1:$I$89,3,0)*0.475*44/12</f>
        <v>3.8822874708898669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5.3454824561961232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>
        <f>VLOOKUP(A194,'Données projet'!$A$113:$I$133,2,0)</f>
        <v>145.01</v>
      </c>
      <c r="BW194" s="12">
        <f>VLOOKUP(A194,'Données projet'!$A$113:$I$133,9,0)</f>
        <v>1.9733333333333292</v>
      </c>
      <c r="BX194" s="12">
        <f t="array" ref="BX194">INDEX(BW:BW,MIN(IF(ISNUMBER(BW194:BW390),ROW(BW194:BW390),"")))</f>
        <v>1.9733333333333292</v>
      </c>
      <c r="BY194" s="12">
        <f>IF('Données projet'!$A$114&gt;35,BY193+BX194-CG193,IF(A194&lt;'Données projet'!$A$114,$BV$205^A194,IF(A194='Données projet'!$A$114,'Données projet'!$B$114,BY193+BX194-CG193)))</f>
        <v>145.00999999999971</v>
      </c>
      <c r="BZ194" s="13">
        <f>BY194*VLOOKUP('Données projet'!$B$12,Paramètres!$A$1:$I$89,3,0)*VLOOKUP('Données projet'!$B$12,Paramètres!$A$1:$I$89,5,0)</f>
        <v>147.04013999999972</v>
      </c>
      <c r="CA194" s="13">
        <f t="shared" si="170"/>
        <v>37.905168606806875</v>
      </c>
      <c r="CB194" s="20">
        <f t="shared" si="171"/>
        <v>322.11307915685478</v>
      </c>
      <c r="CC194" s="59">
        <f t="shared" si="119"/>
        <v>615.4464124901881</v>
      </c>
      <c r="CD194" s="59">
        <f ca="1">AVERAGE(OFFSET($CC$3,0,0,'Données projet'!$E$12+1,1))-AVERAGE(OFFSET($H$3,0,0,'Données projet'!$E$12+1,1))</f>
        <v>372.05986520199804</v>
      </c>
      <c r="CE194" s="59">
        <f t="shared" si="148"/>
        <v>184.37981929432044</v>
      </c>
      <c r="CF194" s="15">
        <f>IF(ISNA(VLOOKUP(A194,'Données projet'!$A$113:$I$133,3,0)),0,VLOOKUP(A194,'Données projet'!$A$113:$I$133,3,0))</f>
        <v>16</v>
      </c>
      <c r="CG194" s="15">
        <f>IF(ISNA(VLOOKUP(A194,'Données projet'!$A$113:$I$133,4,0)),0,VLOOKUP(A194,'Données projet'!$A$113:$I$133,4,0))</f>
        <v>145.01</v>
      </c>
      <c r="CH194" s="16">
        <f>IF(ISNA(VLOOKUP(A194,'Données projet'!$A$113:$I$133,5,0)),0%,VLOOKUP(A194,'Données projet'!$A$113:$I$133,5,0)*VLOOKUP('Données projet'!$B$12,Paramètres!$A$1:$I$89,7,0))</f>
        <v>0.19350000000000001</v>
      </c>
      <c r="CI194" s="16">
        <f>IF(ISNA(VLOOKUP(A194,'Données projet'!$A$113:$I$133,6,0)),0%,VLOOKUP(A194,'Données projet'!$A$113:$I$133,6,0)*VLOOKUP('Données projet'!$B$12,Paramètres!$A$1:$I$89,7,0))</f>
        <v>2.1500000000000002E-2</v>
      </c>
      <c r="CJ194" s="16">
        <f>IF(ISNA(VLOOKUP(A194,'Données projet'!$A$113:$I$133,7,0)),0%,VLOOKUP(A194,'Données projet'!$A$113:$I$133,7,0))</f>
        <v>0.05</v>
      </c>
      <c r="CK194" s="21">
        <f>EXP(-LN(2)/35)*CK193+(1-EXP(-LN(2)/35))/(LN(2)/35)*CG194*CH194*VLOOKUP('Données projet'!$B$12,Paramètres!$A$1:$I$89,3,0)*0.475*44/12</f>
        <v>135.05483002385387</v>
      </c>
      <c r="CL194" s="21">
        <f>EXP(-LN(2)/25)*CL193+(1-EXP(-LN(2)/25))/(LN(2)/25)*Calculateur!CG194*Calculateur!CI194*VLOOKUP('Données projet'!$B$12,Paramètres!$A$1:$I$89,3,0)*0.475*44/12</f>
        <v>42.575167409995252</v>
      </c>
      <c r="CM194" s="21">
        <f>EXP(-LN(2)/2)*CM193+(1-EXP(-LN(2)/2))/(LN(2)/2)*CG194*CJ194*VLOOKUP('Données projet'!$B$12,Paramètres!$A$1:$I$89,3,0)*0.475*44/12</f>
        <v>6.9368169787344574</v>
      </c>
      <c r="CN194" s="22">
        <f t="shared" si="172"/>
        <v>184.5668144125836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7.9580786405131221E-13</v>
      </c>
      <c r="CU194" s="17">
        <f>CT194*VLOOKUP('Données projet'!$B$13,Paramètres!$A$1:$I$89,3,0)*VLOOKUP('Données projet'!$B$13,Paramètres!$A$1:$I$89,5,0)</f>
        <v>7.2004695539362725E-13</v>
      </c>
      <c r="CV194" s="13">
        <f t="shared" si="173"/>
        <v>8.5963894794935589E-12</v>
      </c>
      <c r="CW194" s="20">
        <f t="shared" si="174"/>
        <v>1.6226126790761848E-11</v>
      </c>
      <c r="CX194" s="59">
        <f t="shared" si="122"/>
        <v>293.33333333334951</v>
      </c>
      <c r="CY194" s="59">
        <f ca="1">AVERAGE(OFFSET($CX$3,0,0,'Données projet'!$E$13+1,1))-AVERAGE(OFFSET($H$3,0,0,'Données projet'!$E$13+1,1))</f>
        <v>479.84731392413374</v>
      </c>
      <c r="CZ194" s="59">
        <f t="shared" si="150"/>
        <v>203.57601099841213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131.54765333791076</v>
      </c>
      <c r="DG194" s="21">
        <f>EXP(-LN(2)/25)*DG193+(1-EXP(-LN(2)/25))/(LN(2)/25)*Calculateur!DB194*Calculateur!DD194*VLOOKUP('Données projet'!$B$13,Paramètres!$A$1:$I$89,3,0)*0.475*44/12</f>
        <v>20.620265306940727</v>
      </c>
      <c r="DH194" s="21">
        <f>EXP(-LN(2)/2)*DH193+(1-EXP(-LN(2)/2))/(LN(2)/2)*DB194*DE194*VLOOKUP('Données projet'!$B$13,Paramètres!$A$1:$I$89,3,0)*0.475*44/12</f>
        <v>0.66404136601924291</v>
      </c>
      <c r="DI194" s="22">
        <f t="shared" si="175"/>
        <v>152.83196001087072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293.3333333333353</v>
      </c>
      <c r="S195" s="59">
        <f ca="1">AVERAGE(OFFSET($R$3,0,0,'Données projet'!$E$9+1,1))-AVERAGE(OFFSET($H$3,0,0,'Données projet'!$E$9+1,1))</f>
        <v>322.7909000321435</v>
      </c>
      <c r="T195" s="59">
        <f t="shared" si="142"/>
        <v>403.23516981532316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12.043543912045791</v>
      </c>
      <c r="AA195" s="21">
        <f>EXP(-LN(2)/25)*AA194+(1-EXP(-LN(2)/25))/(LN(2)/25)*Calculateur!V195*Calculateur!X195*VLOOKUP('Données projet'!$B$9,Paramètres!$A$1:$I$89,3,0)*0.475*44/12</f>
        <v>1.4205733774471889</v>
      </c>
      <c r="AB195" s="21">
        <f>EXP(-LN(2)/2)*AB194+(1-EXP(-LN(2)/2))/(LN(2)/2)*V195*Y195*VLOOKUP('Données projet'!$B$9,Paramètres!$A$1:$I$89,3,0)*0.475*44/12</f>
        <v>2.6191719705774042E-19</v>
      </c>
      <c r="AC195" s="22">
        <f t="shared" si="163"/>
        <v>13.464117289492981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3.4106051316484809E-13</v>
      </c>
      <c r="AJ195" s="13">
        <f>AI195*VLOOKUP('Données projet'!$B$10,Paramètres!$A$1:$I$89,3,0)*VLOOKUP('Données projet'!$B$10,Paramètres!$A$1:$I$89,5,0)</f>
        <v>1.5961632016114892E-13</v>
      </c>
      <c r="AK195" s="13">
        <f t="shared" si="164"/>
        <v>2.2708641912150958E-12</v>
      </c>
      <c r="AL195" s="20">
        <f t="shared" si="165"/>
        <v>4.2330868906469593E-12</v>
      </c>
      <c r="AM195" s="59">
        <f t="shared" si="113"/>
        <v>293.33333333333752</v>
      </c>
      <c r="AN195" s="59">
        <f ca="1">AVERAGE(OFFSET($AM$3,0,0,'Données projet'!$E$10+1,1))-AVERAGE(OFFSET($H$3,0,0,'Données projet'!$E$10+1,1))</f>
        <v>187.82209112143374</v>
      </c>
      <c r="AO195" s="59">
        <f t="shared" si="144"/>
        <v>158.99136654880203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25.358938060823384</v>
      </c>
      <c r="AV195" s="21">
        <f>EXP(-LN(2)/25)*AV194+(1-EXP(-LN(2)/25))/(LN(2)/25)*Calculateur!AQ195*Calculateur!AS195*VLOOKUP('Données projet'!$B$10,Paramètres!$A$1:$I$89,3,0)*0.475*44/12</f>
        <v>4.1939431688699864</v>
      </c>
      <c r="AW195" s="21">
        <f>EXP(-LN(2)/2)*AW194+(1-EXP(-LN(2)/2))/(LN(2)/2)*AQ195*AT195*VLOOKUP('Données projet'!$B$10,Paramètres!$A$1:$I$89,3,0)*0.475*44/12</f>
        <v>1.0125089339241596E-11</v>
      </c>
      <c r="AX195" s="21">
        <f t="shared" si="166"/>
        <v>29.552881229703495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140.32771978791288</v>
      </c>
      <c r="BJ195" s="59">
        <f t="shared" si="146"/>
        <v>135.76866977947634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1.4345026241052181</v>
      </c>
      <c r="BQ195" s="21">
        <f>EXP(-LN(2)/25)*BQ194+(1-EXP(-LN(2)/25))/(LN(2)/25)*Calculateur!BL195*Calculateur!BN195*VLOOKUP('Données projet'!$B$11,Paramètres!$A$1:$I$89,3,0)*0.475*44/12</f>
        <v>3.7761261158377586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5.2106287399429769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-2.8819613362429665E-13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372.05986520199804</v>
      </c>
      <c r="CE195" s="59">
        <f t="shared" si="148"/>
        <v>184.37981929432044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132.40648718239851</v>
      </c>
      <c r="CL195" s="21">
        <f>EXP(-LN(2)/25)*CL194+(1-EXP(-LN(2)/25))/(LN(2)/25)*Calculateur!CG195*Calculateur!CI195*VLOOKUP('Données projet'!$B$12,Paramètres!$A$1:$I$89,3,0)*0.475*44/12</f>
        <v>41.410947218238185</v>
      </c>
      <c r="CM195" s="21">
        <f>EXP(-LN(2)/2)*CM194+(1-EXP(-LN(2)/2))/(LN(2)/2)*CG195*CJ195*VLOOKUP('Données projet'!$B$12,Paramètres!$A$1:$I$89,3,0)*0.475*44/12</f>
        <v>4.9050703255131136</v>
      </c>
      <c r="CN195" s="22">
        <f t="shared" si="172"/>
        <v>178.72250472614982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7.9580786405131221E-13</v>
      </c>
      <c r="CU195" s="17">
        <f>CT195*VLOOKUP('Données projet'!$B$13,Paramètres!$A$1:$I$89,3,0)*VLOOKUP('Données projet'!$B$13,Paramètres!$A$1:$I$89,5,0)</f>
        <v>7.2004695539362725E-13</v>
      </c>
      <c r="CV195" s="13">
        <f t="shared" si="173"/>
        <v>8.5963894794935589E-12</v>
      </c>
      <c r="CW195" s="20">
        <f t="shared" si="174"/>
        <v>1.6226126790761848E-11</v>
      </c>
      <c r="CX195" s="59">
        <f t="shared" si="122"/>
        <v>293.33333333334951</v>
      </c>
      <c r="CY195" s="59">
        <f ca="1">AVERAGE(OFFSET($CX$3,0,0,'Données projet'!$E$13+1,1))-AVERAGE(OFFSET($H$3,0,0,'Données projet'!$E$13+1,1))</f>
        <v>479.84731392413374</v>
      </c>
      <c r="CZ195" s="59">
        <f t="shared" si="150"/>
        <v>203.57601099841213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128.96808409210021</v>
      </c>
      <c r="DG195" s="21">
        <f>EXP(-LN(2)/25)*DG194+(1-EXP(-LN(2)/25))/(LN(2)/25)*Calculateur!DB195*Calculateur!DD195*VLOOKUP('Données projet'!$B$13,Paramètres!$A$1:$I$89,3,0)*0.475*44/12</f>
        <v>20.056403067749809</v>
      </c>
      <c r="DH195" s="21">
        <f>EXP(-LN(2)/2)*DH194+(1-EXP(-LN(2)/2))/(LN(2)/2)*DB195*DE195*VLOOKUP('Données projet'!$B$13,Paramètres!$A$1:$I$89,3,0)*0.475*44/12</f>
        <v>0.46954815290058494</v>
      </c>
      <c r="DI195" s="22">
        <f t="shared" si="175"/>
        <v>149.49403531275061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293.3333333333353</v>
      </c>
      <c r="S196" s="59">
        <f ca="1">AVERAGE(OFFSET($R$3,0,0,'Données projet'!$E$9+1,1))-AVERAGE(OFFSET($H$3,0,0,'Données projet'!$E$9+1,1))</f>
        <v>322.7909000321435</v>
      </c>
      <c r="T196" s="59">
        <f t="shared" si="142"/>
        <v>403.23516981532316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11.807377361767019</v>
      </c>
      <c r="AA196" s="21">
        <f>EXP(-LN(2)/25)*AA195+(1-EXP(-LN(2)/25))/(LN(2)/25)*Calculateur!V196*Calculateur!X196*VLOOKUP('Données projet'!$B$9,Paramètres!$A$1:$I$89,3,0)*0.475*44/12</f>
        <v>1.3817277237361885</v>
      </c>
      <c r="AB196" s="21">
        <f>EXP(-LN(2)/2)*AB195+(1-EXP(-LN(2)/2))/(LN(2)/2)*V196*Y196*VLOOKUP('Données projet'!$B$9,Paramètres!$A$1:$I$89,3,0)*0.475*44/12</f>
        <v>1.8520342614890151E-19</v>
      </c>
      <c r="AC196" s="22">
        <f t="shared" si="163"/>
        <v>13.189105085503208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3.4106051316484809E-13</v>
      </c>
      <c r="AJ196" s="13">
        <f>AI196*VLOOKUP('Données projet'!$B$10,Paramètres!$A$1:$I$89,3,0)*VLOOKUP('Données projet'!$B$10,Paramètres!$A$1:$I$89,5,0)</f>
        <v>1.5961632016114892E-13</v>
      </c>
      <c r="AK196" s="13">
        <f t="shared" si="164"/>
        <v>2.2708641912150958E-12</v>
      </c>
      <c r="AL196" s="20">
        <f t="shared" si="165"/>
        <v>4.2330868906469593E-12</v>
      </c>
      <c r="AM196" s="59">
        <f t="shared" ref="AM196:AM203" si="193">AL196+(AD196+AE196)*44/12</f>
        <v>293.33333333333752</v>
      </c>
      <c r="AN196" s="59">
        <f ca="1">AVERAGE(OFFSET($AM$3,0,0,'Données projet'!$E$10+1,1))-AVERAGE(OFFSET($H$3,0,0,'Données projet'!$E$10+1,1))</f>
        <v>187.82209112143374</v>
      </c>
      <c r="AO196" s="59">
        <f t="shared" si="144"/>
        <v>158.99136654880203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24.861664752875573</v>
      </c>
      <c r="AV196" s="21">
        <f>EXP(-LN(2)/25)*AV195+(1-EXP(-LN(2)/25))/(LN(2)/25)*Calculateur!AQ196*Calculateur!AS196*VLOOKUP('Données projet'!$B$10,Paramètres!$A$1:$I$89,3,0)*0.475*44/12</f>
        <v>4.0792595723673504</v>
      </c>
      <c r="AW196" s="21">
        <f>EXP(-LN(2)/2)*AW195+(1-EXP(-LN(2)/2))/(LN(2)/2)*AQ196*AT196*VLOOKUP('Données projet'!$B$10,Paramètres!$A$1:$I$89,3,0)*0.475*44/12</f>
        <v>7.1595193318973524E-12</v>
      </c>
      <c r="AX196" s="21">
        <f t="shared" si="166"/>
        <v>28.940924325250084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140.32771978791288</v>
      </c>
      <c r="BJ196" s="59">
        <f t="shared" si="146"/>
        <v>135.76866977947634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1.4063729026067204</v>
      </c>
      <c r="BQ196" s="21">
        <f>EXP(-LN(2)/25)*BQ195+(1-EXP(-LN(2)/25))/(LN(2)/25)*Calculateur!BL196*Calculateur!BN196*VLOOKUP('Données projet'!$B$11,Paramètres!$A$1:$I$89,3,0)*0.475*44/12</f>
        <v>3.6728677486223331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5.0792406512290533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-2.8819613362429665E-13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372.05986520199804</v>
      </c>
      <c r="CE196" s="59">
        <f t="shared" si="148"/>
        <v>184.37981929432044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129.81007672873446</v>
      </c>
      <c r="CL196" s="21">
        <f>EXP(-LN(2)/25)*CL195+(1-EXP(-LN(2)/25))/(LN(2)/25)*Calculateur!CG196*Calculateur!CI196*VLOOKUP('Données projet'!$B$12,Paramètres!$A$1:$I$89,3,0)*0.475*44/12</f>
        <v>40.278562688848396</v>
      </c>
      <c r="CM196" s="21">
        <f>EXP(-LN(2)/2)*CM195+(1-EXP(-LN(2)/2))/(LN(2)/2)*CG196*CJ196*VLOOKUP('Données projet'!$B$12,Paramètres!$A$1:$I$89,3,0)*0.475*44/12</f>
        <v>3.4684084893672291</v>
      </c>
      <c r="CN196" s="22">
        <f t="shared" si="172"/>
        <v>173.55704790695006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7.9580786405131221E-13</v>
      </c>
      <c r="CU196" s="17">
        <f>CT196*VLOOKUP('Données projet'!$B$13,Paramètres!$A$1:$I$89,3,0)*VLOOKUP('Données projet'!$B$13,Paramètres!$A$1:$I$89,5,0)</f>
        <v>7.2004695539362725E-13</v>
      </c>
      <c r="CV196" s="13">
        <f t="shared" si="173"/>
        <v>8.5963894794935589E-12</v>
      </c>
      <c r="CW196" s="20">
        <f t="shared" si="174"/>
        <v>1.6226126790761848E-11</v>
      </c>
      <c r="CX196" s="59">
        <f t="shared" ref="CX196:CX203" si="196">CW196+(CO196+CP196)*44/12</f>
        <v>293.33333333334951</v>
      </c>
      <c r="CY196" s="59">
        <f ca="1">AVERAGE(OFFSET($CX$3,0,0,'Données projet'!$E$13+1,1))-AVERAGE(OFFSET($H$3,0,0,'Données projet'!$E$13+1,1))</f>
        <v>479.84731392413374</v>
      </c>
      <c r="CZ196" s="59">
        <f t="shared" si="150"/>
        <v>203.57601099841213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126.43909862581812</v>
      </c>
      <c r="DG196" s="21">
        <f>EXP(-LN(2)/25)*DG195+(1-EXP(-LN(2)/25))/(LN(2)/25)*Calculateur!DB196*Calculateur!DD196*VLOOKUP('Données projet'!$B$13,Paramètres!$A$1:$I$89,3,0)*0.475*44/12</f>
        <v>19.507959671141794</v>
      </c>
      <c r="DH196" s="21">
        <f>EXP(-LN(2)/2)*DH195+(1-EXP(-LN(2)/2))/(LN(2)/2)*DB196*DE196*VLOOKUP('Données projet'!$B$13,Paramètres!$A$1:$I$89,3,0)*0.475*44/12</f>
        <v>0.33202068300962151</v>
      </c>
      <c r="DI196" s="22">
        <f t="shared" si="175"/>
        <v>146.27907897996954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293.3333333333353</v>
      </c>
      <c r="S197" s="59">
        <f ca="1">AVERAGE(OFFSET($R$3,0,0,'Données projet'!$E$9+1,1))-AVERAGE(OFFSET($H$3,0,0,'Données projet'!$E$9+1,1))</f>
        <v>322.7909000321435</v>
      </c>
      <c r="T197" s="59">
        <f t="shared" ref="T197:T203" si="204">$T$3</f>
        <v>403.23516981532316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11.575841893491841</v>
      </c>
      <c r="AA197" s="21">
        <f>EXP(-LN(2)/25)*AA196+(1-EXP(-LN(2)/25))/(LN(2)/25)*Calculateur!V197*Calculateur!X197*VLOOKUP('Données projet'!$B$9,Paramètres!$A$1:$I$89,3,0)*0.475*44/12</f>
        <v>1.3439443064687193</v>
      </c>
      <c r="AB197" s="21">
        <f>EXP(-LN(2)/2)*AB196+(1-EXP(-LN(2)/2))/(LN(2)/2)*V197*Y197*VLOOKUP('Données projet'!$B$9,Paramètres!$A$1:$I$89,3,0)*0.475*44/12</f>
        <v>1.3095859852887021E-19</v>
      </c>
      <c r="AC197" s="22">
        <f t="shared" si="163"/>
        <v>12.91978619996056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3.4106051316484809E-13</v>
      </c>
      <c r="AJ197" s="13">
        <f>AI197*VLOOKUP('Données projet'!$B$10,Paramètres!$A$1:$I$89,3,0)*VLOOKUP('Données projet'!$B$10,Paramètres!$A$1:$I$89,5,0)</f>
        <v>1.5961632016114892E-13</v>
      </c>
      <c r="AK197" s="13">
        <f t="shared" si="164"/>
        <v>2.2708641912150958E-12</v>
      </c>
      <c r="AL197" s="20">
        <f t="shared" si="165"/>
        <v>4.2330868906469593E-12</v>
      </c>
      <c r="AM197" s="59">
        <f t="shared" si="193"/>
        <v>293.33333333333752</v>
      </c>
      <c r="AN197" s="59">
        <f ca="1">AVERAGE(OFFSET($AM$3,0,0,'Données projet'!$E$10+1,1))-AVERAGE(OFFSET($H$3,0,0,'Données projet'!$E$10+1,1))</f>
        <v>187.82209112143374</v>
      </c>
      <c r="AO197" s="59">
        <f t="shared" ref="AO197:AO203" si="205">$AO$3</f>
        <v>158.99136654880203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24.374142671189851</v>
      </c>
      <c r="AV197" s="21">
        <f>EXP(-LN(2)/25)*AV196+(1-EXP(-LN(2)/25))/(LN(2)/25)*Calculateur!AQ197*Calculateur!AS197*VLOOKUP('Données projet'!$B$10,Paramètres!$A$1:$I$89,3,0)*0.475*44/12</f>
        <v>3.9677120048420274</v>
      </c>
      <c r="AW197" s="21">
        <f>EXP(-LN(2)/2)*AW196+(1-EXP(-LN(2)/2))/(LN(2)/2)*AQ197*AT197*VLOOKUP('Données projet'!$B$10,Paramètres!$A$1:$I$89,3,0)*0.475*44/12</f>
        <v>5.0625446696207987E-12</v>
      </c>
      <c r="AX197" s="21">
        <f t="shared" si="166"/>
        <v>28.341854676036942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140.32771978791288</v>
      </c>
      <c r="BJ197" s="59">
        <f t="shared" ref="BJ197:BJ203" si="206">$BJ$3</f>
        <v>135.76866977947634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1.3787947877893723</v>
      </c>
      <c r="BQ197" s="21">
        <f>EXP(-LN(2)/25)*BQ196+(1-EXP(-LN(2)/25))/(LN(2)/25)*Calculateur!BL197*Calculateur!BN197*VLOOKUP('Données projet'!$B$11,Paramètres!$A$1:$I$89,3,0)*0.475*44/12</f>
        <v>3.5724329868885349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4.951227774677907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-2.8819613362429665E-13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372.05986520199804</v>
      </c>
      <c r="CE197" s="59">
        <f t="shared" ref="CE197:CE203" si="207">$CE$3</f>
        <v>184.37981929432044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127.26458030041276</v>
      </c>
      <c r="CL197" s="21">
        <f>EXP(-LN(2)/25)*CL196+(1-EXP(-LN(2)/25))/(LN(2)/25)*Calculateur!CG197*Calculateur!CI197*VLOOKUP('Données projet'!$B$12,Paramètres!$A$1:$I$89,3,0)*0.475*44/12</f>
        <v>39.177143273964283</v>
      </c>
      <c r="CM197" s="21">
        <f>EXP(-LN(2)/2)*CM196+(1-EXP(-LN(2)/2))/(LN(2)/2)*CG197*CJ197*VLOOKUP('Données projet'!$B$12,Paramètres!$A$1:$I$89,3,0)*0.475*44/12</f>
        <v>2.4525351627565573</v>
      </c>
      <c r="CN197" s="22">
        <f t="shared" si="172"/>
        <v>168.89425873713361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7.9580786405131221E-13</v>
      </c>
      <c r="CU197" s="17">
        <f>CT197*VLOOKUP('Données projet'!$B$13,Paramètres!$A$1:$I$89,3,0)*VLOOKUP('Données projet'!$B$13,Paramètres!$A$1:$I$89,5,0)</f>
        <v>7.2004695539362725E-13</v>
      </c>
      <c r="CV197" s="13">
        <f t="shared" si="173"/>
        <v>8.5963894794935589E-12</v>
      </c>
      <c r="CW197" s="20">
        <f t="shared" si="174"/>
        <v>1.6226126790761848E-11</v>
      </c>
      <c r="CX197" s="59">
        <f t="shared" si="196"/>
        <v>293.33333333334951</v>
      </c>
      <c r="CY197" s="59">
        <f ca="1">AVERAGE(OFFSET($CX$3,0,0,'Données projet'!$E$13+1,1))-AVERAGE(OFFSET($H$3,0,0,'Données projet'!$E$13+1,1))</f>
        <v>479.84731392413374</v>
      </c>
      <c r="CZ197" s="59">
        <f t="shared" ref="CZ197:CZ203" si="208">$CZ$3</f>
        <v>203.57601099841213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123.959705022001</v>
      </c>
      <c r="DG197" s="21">
        <f>EXP(-LN(2)/25)*DG196+(1-EXP(-LN(2)/25))/(LN(2)/25)*Calculateur!DB197*Calculateur!DD197*VLOOKUP('Données projet'!$B$13,Paramètres!$A$1:$I$89,3,0)*0.475*44/12</f>
        <v>18.974513488055408</v>
      </c>
      <c r="DH197" s="21">
        <f>EXP(-LN(2)/2)*DH196+(1-EXP(-LN(2)/2))/(LN(2)/2)*DB197*DE197*VLOOKUP('Données projet'!$B$13,Paramètres!$A$1:$I$89,3,0)*0.475*44/12</f>
        <v>0.2347740764502925</v>
      </c>
      <c r="DI197" s="22">
        <f t="shared" si="175"/>
        <v>143.1689925865067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293.3333333333353</v>
      </c>
      <c r="S198" s="59">
        <f ca="1">AVERAGE(OFFSET($R$3,0,0,'Données projet'!$E$9+1,1))-AVERAGE(OFFSET($H$3,0,0,'Données projet'!$E$9+1,1))</f>
        <v>322.7909000321435</v>
      </c>
      <c r="T198" s="59">
        <f t="shared" si="204"/>
        <v>403.23516981532316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11.348846694526848</v>
      </c>
      <c r="AA198" s="21">
        <f>EXP(-LN(2)/25)*AA197+(1-EXP(-LN(2)/25))/(LN(2)/25)*Calculateur!V198*Calculateur!X198*VLOOKUP('Données projet'!$B$9,Paramètres!$A$1:$I$89,3,0)*0.475*44/12</f>
        <v>1.3071940787333727</v>
      </c>
      <c r="AB198" s="21">
        <f>EXP(-LN(2)/2)*AB197+(1-EXP(-LN(2)/2))/(LN(2)/2)*V198*Y198*VLOOKUP('Données projet'!$B$9,Paramètres!$A$1:$I$89,3,0)*0.475*44/12</f>
        <v>9.2601713074450754E-20</v>
      </c>
      <c r="AC198" s="22">
        <f t="shared" si="163"/>
        <v>12.656040773260221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3.4106051316484809E-13</v>
      </c>
      <c r="AJ198" s="13">
        <f>AI198*VLOOKUP('Données projet'!$B$10,Paramètres!$A$1:$I$89,3,0)*VLOOKUP('Données projet'!$B$10,Paramètres!$A$1:$I$89,5,0)</f>
        <v>1.5961632016114892E-13</v>
      </c>
      <c r="AK198" s="13">
        <f t="shared" si="164"/>
        <v>2.2708641912150958E-12</v>
      </c>
      <c r="AL198" s="20">
        <f t="shared" si="165"/>
        <v>4.2330868906469593E-12</v>
      </c>
      <c r="AM198" s="59">
        <f t="shared" si="193"/>
        <v>293.33333333333752</v>
      </c>
      <c r="AN198" s="59">
        <f ca="1">AVERAGE(OFFSET($AM$3,0,0,'Données projet'!$E$10+1,1))-AVERAGE(OFFSET($H$3,0,0,'Données projet'!$E$10+1,1))</f>
        <v>187.82209112143374</v>
      </c>
      <c r="AO198" s="59">
        <f t="shared" si="205"/>
        <v>158.99136654880203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23.896180600166876</v>
      </c>
      <c r="AV198" s="21">
        <f>EXP(-LN(2)/25)*AV197+(1-EXP(-LN(2)/25))/(LN(2)/25)*Calculateur!AQ198*Calculateur!AS198*VLOOKUP('Données projet'!$B$10,Paramètres!$A$1:$I$89,3,0)*0.475*44/12</f>
        <v>3.8592147114167159</v>
      </c>
      <c r="AW198" s="21">
        <f>EXP(-LN(2)/2)*AW197+(1-EXP(-LN(2)/2))/(LN(2)/2)*AQ198*AT198*VLOOKUP('Données projet'!$B$10,Paramètres!$A$1:$I$89,3,0)*0.475*44/12</f>
        <v>3.579759665948677E-12</v>
      </c>
      <c r="AX198" s="21">
        <f t="shared" si="166"/>
        <v>27.755395311587172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140.32771978791288</v>
      </c>
      <c r="BJ198" s="59">
        <f t="shared" si="206"/>
        <v>135.76866977947634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1.3517574629826032</v>
      </c>
      <c r="BQ198" s="21">
        <f>EXP(-LN(2)/25)*BQ197+(1-EXP(-LN(2)/25))/(LN(2)/25)*Calculateur!BL198*Calculateur!BN198*VLOOKUP('Données projet'!$B$11,Paramètres!$A$1:$I$89,3,0)*0.475*44/12</f>
        <v>3.4747446189959823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4.8265020819785853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-2.8819613362429665E-13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372.05986520199804</v>
      </c>
      <c r="CE198" s="59">
        <f t="shared" si="207"/>
        <v>184.37981929432044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124.76899950445095</v>
      </c>
      <c r="CL198" s="21">
        <f>EXP(-LN(2)/25)*CL197+(1-EXP(-LN(2)/25))/(LN(2)/25)*Calculateur!CG198*Calculateur!CI198*VLOOKUP('Données projet'!$B$12,Paramètres!$A$1:$I$89,3,0)*0.475*44/12</f>
        <v>38.105842230901303</v>
      </c>
      <c r="CM198" s="21">
        <f>EXP(-LN(2)/2)*CM197+(1-EXP(-LN(2)/2))/(LN(2)/2)*CG198*CJ198*VLOOKUP('Données projet'!$B$12,Paramètres!$A$1:$I$89,3,0)*0.475*44/12</f>
        <v>1.7342042446836148</v>
      </c>
      <c r="CN198" s="22">
        <f t="shared" si="172"/>
        <v>164.60904598003586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7.9580786405131221E-13</v>
      </c>
      <c r="CU198" s="17">
        <f>CT198*VLOOKUP('Données projet'!$B$13,Paramètres!$A$1:$I$89,3,0)*VLOOKUP('Données projet'!$B$13,Paramètres!$A$1:$I$89,5,0)</f>
        <v>7.2004695539362725E-13</v>
      </c>
      <c r="CV198" s="13">
        <f t="shared" si="173"/>
        <v>8.5963894794935589E-12</v>
      </c>
      <c r="CW198" s="20">
        <f t="shared" si="174"/>
        <v>1.6226126790761848E-11</v>
      </c>
      <c r="CX198" s="59">
        <f t="shared" si="196"/>
        <v>293.33333333334951</v>
      </c>
      <c r="CY198" s="59">
        <f ca="1">AVERAGE(OFFSET($CX$3,0,0,'Données projet'!$E$13+1,1))-AVERAGE(OFFSET($H$3,0,0,'Données projet'!$E$13+1,1))</f>
        <v>479.84731392413374</v>
      </c>
      <c r="CZ198" s="59">
        <f t="shared" si="208"/>
        <v>203.57601099841213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121.52893081447397</v>
      </c>
      <c r="DG198" s="21">
        <f>EXP(-LN(2)/25)*DG197+(1-EXP(-LN(2)/25))/(LN(2)/25)*Calculateur!DB198*Calculateur!DD198*VLOOKUP('Données projet'!$B$13,Paramètres!$A$1:$I$89,3,0)*0.475*44/12</f>
        <v>18.455654418898234</v>
      </c>
      <c r="DH198" s="21">
        <f>EXP(-LN(2)/2)*DH197+(1-EXP(-LN(2)/2))/(LN(2)/2)*DB198*DE198*VLOOKUP('Données projet'!$B$13,Paramètres!$A$1:$I$89,3,0)*0.475*44/12</f>
        <v>0.16601034150481075</v>
      </c>
      <c r="DI198" s="22">
        <f t="shared" si="175"/>
        <v>140.150595574877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293.3333333333353</v>
      </c>
      <c r="S199" s="59">
        <f ca="1">AVERAGE(OFFSET($R$3,0,0,'Données projet'!$E$9+1,1))-AVERAGE(OFFSET($H$3,0,0,'Données projet'!$E$9+1,1))</f>
        <v>322.7909000321435</v>
      </c>
      <c r="T199" s="59">
        <f t="shared" si="204"/>
        <v>403.23516981532316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11.126302732960159</v>
      </c>
      <c r="AA199" s="21">
        <f>EXP(-LN(2)/25)*AA198+(1-EXP(-LN(2)/25))/(LN(2)/25)*Calculateur!V199*Calculateur!X199*VLOOKUP('Données projet'!$B$9,Paramètres!$A$1:$I$89,3,0)*0.475*44/12</f>
        <v>1.2714487879080596</v>
      </c>
      <c r="AB199" s="21">
        <f>EXP(-LN(2)/2)*AB198+(1-EXP(-LN(2)/2))/(LN(2)/2)*V199*Y199*VLOOKUP('Données projet'!$B$9,Paramètres!$A$1:$I$89,3,0)*0.475*44/12</f>
        <v>6.5479299264435106E-20</v>
      </c>
      <c r="AC199" s="22">
        <f t="shared" si="163"/>
        <v>12.397751520868219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3.4106051316484809E-13</v>
      </c>
      <c r="AJ199" s="13">
        <f>AI199*VLOOKUP('Données projet'!$B$10,Paramètres!$A$1:$I$89,3,0)*VLOOKUP('Données projet'!$B$10,Paramètres!$A$1:$I$89,5,0)</f>
        <v>1.5961632016114892E-13</v>
      </c>
      <c r="AK199" s="13">
        <f t="shared" si="164"/>
        <v>2.2708641912150958E-12</v>
      </c>
      <c r="AL199" s="20">
        <f t="shared" si="165"/>
        <v>4.2330868906469593E-12</v>
      </c>
      <c r="AM199" s="59">
        <f t="shared" si="193"/>
        <v>293.33333333333752</v>
      </c>
      <c r="AN199" s="59">
        <f ca="1">AVERAGE(OFFSET($AM$3,0,0,'Données projet'!$E$10+1,1))-AVERAGE(OFFSET($H$3,0,0,'Données projet'!$E$10+1,1))</f>
        <v>187.82209112143374</v>
      </c>
      <c r="AO199" s="59">
        <f t="shared" si="205"/>
        <v>158.99136654880203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23.427591073828584</v>
      </c>
      <c r="AV199" s="21">
        <f>EXP(-LN(2)/25)*AV198+(1-EXP(-LN(2)/25))/(LN(2)/25)*Calculateur!AQ199*Calculateur!AS199*VLOOKUP('Données projet'!$B$10,Paramètres!$A$1:$I$89,3,0)*0.475*44/12</f>
        <v>3.7536842821857443</v>
      </c>
      <c r="AW199" s="21">
        <f>EXP(-LN(2)/2)*AW198+(1-EXP(-LN(2)/2))/(LN(2)/2)*AQ199*AT199*VLOOKUP('Données projet'!$B$10,Paramètres!$A$1:$I$89,3,0)*0.475*44/12</f>
        <v>2.5312723348103997E-12</v>
      </c>
      <c r="AX199" s="21">
        <f t="shared" si="166"/>
        <v>27.181275356016858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140.32771978791288</v>
      </c>
      <c r="BJ199" s="59">
        <f t="shared" si="206"/>
        <v>135.76866977947634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1.3252503236241551</v>
      </c>
      <c r="BQ199" s="21">
        <f>EXP(-LN(2)/25)*BQ198+(1-EXP(-LN(2)/25))/(LN(2)/25)*Calculateur!BL199*Calculateur!BN199*VLOOKUP('Données projet'!$B$11,Paramètres!$A$1:$I$89,3,0)*0.475*44/12</f>
        <v>3.3797275446606592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4.7049778682848142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-2.8819613362429665E-13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372.05986520199804</v>
      </c>
      <c r="CE199" s="59">
        <f t="shared" si="207"/>
        <v>184.37981929432044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122.32235552574396</v>
      </c>
      <c r="CL199" s="21">
        <f>EXP(-LN(2)/25)*CL198+(1-EXP(-LN(2)/25))/(LN(2)/25)*Calculateur!CG199*Calculateur!CI199*VLOOKUP('Données projet'!$B$12,Paramètres!$A$1:$I$89,3,0)*0.475*44/12</f>
        <v>37.063835971198152</v>
      </c>
      <c r="CM199" s="21">
        <f>EXP(-LN(2)/2)*CM198+(1-EXP(-LN(2)/2))/(LN(2)/2)*CG199*CJ199*VLOOKUP('Données projet'!$B$12,Paramètres!$A$1:$I$89,3,0)*0.475*44/12</f>
        <v>1.2262675813782788</v>
      </c>
      <c r="CN199" s="22">
        <f t="shared" si="172"/>
        <v>160.61245907832037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7.9580786405131221E-13</v>
      </c>
      <c r="CU199" s="17">
        <f>CT199*VLOOKUP('Données projet'!$B$13,Paramètres!$A$1:$I$89,3,0)*VLOOKUP('Données projet'!$B$13,Paramètres!$A$1:$I$89,5,0)</f>
        <v>7.2004695539362725E-13</v>
      </c>
      <c r="CV199" s="13">
        <f t="shared" si="173"/>
        <v>8.5963894794935589E-12</v>
      </c>
      <c r="CW199" s="20">
        <f t="shared" si="174"/>
        <v>1.6226126790761848E-11</v>
      </c>
      <c r="CX199" s="59">
        <f t="shared" si="196"/>
        <v>293.33333333334951</v>
      </c>
      <c r="CY199" s="59">
        <f ca="1">AVERAGE(OFFSET($CX$3,0,0,'Données projet'!$E$13+1,1))-AVERAGE(OFFSET($H$3,0,0,'Données projet'!$E$13+1,1))</f>
        <v>479.84731392413374</v>
      </c>
      <c r="CZ199" s="59">
        <f t="shared" si="208"/>
        <v>203.57601099841213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119.14582260653066</v>
      </c>
      <c r="DG199" s="21">
        <f>EXP(-LN(2)/25)*DG198+(1-EXP(-LN(2)/25))/(LN(2)/25)*Calculateur!DB199*Calculateur!DD199*VLOOKUP('Données projet'!$B$13,Paramètres!$A$1:$I$89,3,0)*0.475*44/12</f>
        <v>17.950983578272776</v>
      </c>
      <c r="DH199" s="21">
        <f>EXP(-LN(2)/2)*DH198+(1-EXP(-LN(2)/2))/(LN(2)/2)*DB199*DE199*VLOOKUP('Données projet'!$B$13,Paramètres!$A$1:$I$89,3,0)*0.475*44/12</f>
        <v>0.11738703822514625</v>
      </c>
      <c r="DI199" s="22">
        <f t="shared" si="175"/>
        <v>137.21419322302856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293.3333333333353</v>
      </c>
      <c r="S200" s="59">
        <f ca="1">AVERAGE(OFFSET($R$3,0,0,'Données projet'!$E$9+1,1))-AVERAGE(OFFSET($H$3,0,0,'Données projet'!$E$9+1,1))</f>
        <v>322.7909000321435</v>
      </c>
      <c r="T200" s="59">
        <f t="shared" si="204"/>
        <v>403.23516981532316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10.908122722741378</v>
      </c>
      <c r="AA200" s="21">
        <f>EXP(-LN(2)/25)*AA199+(1-EXP(-LN(2)/25))/(LN(2)/25)*Calculateur!V200*Calculateur!X200*VLOOKUP('Données projet'!$B$9,Paramètres!$A$1:$I$89,3,0)*0.475*44/12</f>
        <v>1.2366809539401278</v>
      </c>
      <c r="AB200" s="21">
        <f>EXP(-LN(2)/2)*AB199+(1-EXP(-LN(2)/2))/(LN(2)/2)*V200*Y200*VLOOKUP('Données projet'!$B$9,Paramètres!$A$1:$I$89,3,0)*0.475*44/12</f>
        <v>4.6300856537225377E-20</v>
      </c>
      <c r="AC200" s="22">
        <f t="shared" si="163"/>
        <v>12.144803676681507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3.4106051316484809E-13</v>
      </c>
      <c r="AJ200" s="13">
        <f>AI200*VLOOKUP('Données projet'!$B$10,Paramètres!$A$1:$I$89,3,0)*VLOOKUP('Données projet'!$B$10,Paramètres!$A$1:$I$89,5,0)</f>
        <v>1.5961632016114892E-13</v>
      </c>
      <c r="AK200" s="13">
        <f t="shared" si="164"/>
        <v>2.2708641912150958E-12</v>
      </c>
      <c r="AL200" s="20">
        <f t="shared" si="165"/>
        <v>4.2330868906469593E-12</v>
      </c>
      <c r="AM200" s="59">
        <f t="shared" si="193"/>
        <v>293.33333333333752</v>
      </c>
      <c r="AN200" s="59">
        <f ca="1">AVERAGE(OFFSET($AM$3,0,0,'Données projet'!$E$10+1,1))-AVERAGE(OFFSET($H$3,0,0,'Données projet'!$E$10+1,1))</f>
        <v>187.82209112143374</v>
      </c>
      <c r="AO200" s="59">
        <f t="shared" si="205"/>
        <v>158.99136654880203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22.968190302290399</v>
      </c>
      <c r="AV200" s="21">
        <f>EXP(-LN(2)/25)*AV199+(1-EXP(-LN(2)/25))/(LN(2)/25)*Calculateur!AQ200*Calculateur!AS200*VLOOKUP('Données projet'!$B$10,Paramètres!$A$1:$I$89,3,0)*0.475*44/12</f>
        <v>3.6510395880916979</v>
      </c>
      <c r="AW200" s="21">
        <f>EXP(-LN(2)/2)*AW199+(1-EXP(-LN(2)/2))/(LN(2)/2)*AQ200*AT200*VLOOKUP('Données projet'!$B$10,Paramètres!$A$1:$I$89,3,0)*0.475*44/12</f>
        <v>1.7898798329743387E-12</v>
      </c>
      <c r="AX200" s="21">
        <f t="shared" si="166"/>
        <v>26.619229890383888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140.32771978791288</v>
      </c>
      <c r="BJ200" s="59">
        <f t="shared" si="206"/>
        <v>135.76866977947634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1.2992629731007674</v>
      </c>
      <c r="BQ200" s="21">
        <f>EXP(-LN(2)/25)*BQ199+(1-EXP(-LN(2)/25))/(LN(2)/25)*Calculateur!BL200*Calculateur!BN200*VLOOKUP('Données projet'!$B$11,Paramètres!$A$1:$I$89,3,0)*0.475*44/12</f>
        <v>3.2873087172197661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4.5865716903205334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-2.8819613362429665E-13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372.05986520199804</v>
      </c>
      <c r="CE200" s="59">
        <f t="shared" si="207"/>
        <v>184.37981929432044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119.92368874315393</v>
      </c>
      <c r="CL200" s="21">
        <f>EXP(-LN(2)/25)*CL199+(1-EXP(-LN(2)/25))/(LN(2)/25)*Calculateur!CG200*Calculateur!CI200*VLOOKUP('Données projet'!$B$12,Paramètres!$A$1:$I$89,3,0)*0.475*44/12</f>
        <v>36.050323427463319</v>
      </c>
      <c r="CM200" s="21">
        <f>EXP(-LN(2)/2)*CM199+(1-EXP(-LN(2)/2))/(LN(2)/2)*CG200*CJ200*VLOOKUP('Données projet'!$B$12,Paramètres!$A$1:$I$89,3,0)*0.475*44/12</f>
        <v>0.8671021223418075</v>
      </c>
      <c r="CN200" s="22">
        <f t="shared" si="172"/>
        <v>156.84111429295905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7.9580786405131221E-13</v>
      </c>
      <c r="CU200" s="17">
        <f>CT200*VLOOKUP('Données projet'!$B$13,Paramètres!$A$1:$I$89,3,0)*VLOOKUP('Données projet'!$B$13,Paramètres!$A$1:$I$89,5,0)</f>
        <v>7.2004695539362725E-13</v>
      </c>
      <c r="CV200" s="13">
        <f t="shared" si="173"/>
        <v>8.5963894794935589E-12</v>
      </c>
      <c r="CW200" s="20">
        <f t="shared" si="174"/>
        <v>1.6226126790761848E-11</v>
      </c>
      <c r="CX200" s="59">
        <f t="shared" si="196"/>
        <v>293.33333333334951</v>
      </c>
      <c r="CY200" s="59">
        <f ca="1">AVERAGE(OFFSET($CX$3,0,0,'Données projet'!$E$13+1,1))-AVERAGE(OFFSET($H$3,0,0,'Données projet'!$E$13+1,1))</f>
        <v>479.84731392413374</v>
      </c>
      <c r="CZ200" s="59">
        <f t="shared" si="208"/>
        <v>203.57601099841213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116.80944569699264</v>
      </c>
      <c r="DG200" s="21">
        <f>EXP(-LN(2)/25)*DG199+(1-EXP(-LN(2)/25))/(LN(2)/25)*Calculateur!DB200*Calculateur!DD200*VLOOKUP('Données projet'!$B$13,Paramètres!$A$1:$I$89,3,0)*0.475*44/12</f>
        <v>17.460112988323708</v>
      </c>
      <c r="DH200" s="21">
        <f>EXP(-LN(2)/2)*DH199+(1-EXP(-LN(2)/2))/(LN(2)/2)*DB200*DE200*VLOOKUP('Données projet'!$B$13,Paramètres!$A$1:$I$89,3,0)*0.475*44/12</f>
        <v>8.3005170752405377E-2</v>
      </c>
      <c r="DI200" s="22">
        <f t="shared" si="175"/>
        <v>134.35256385606877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293.3333333333353</v>
      </c>
      <c r="S201" s="59">
        <f ca="1">AVERAGE(OFFSET($R$3,0,0,'Données projet'!$E$9+1,1))-AVERAGE(OFFSET($H$3,0,0,'Données projet'!$E$9+1,1))</f>
        <v>322.7909000321435</v>
      </c>
      <c r="T201" s="59">
        <f t="shared" si="204"/>
        <v>403.23516981532316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10.694221089446323</v>
      </c>
      <c r="AA201" s="21">
        <f>EXP(-LN(2)/25)*AA200+(1-EXP(-LN(2)/25))/(LN(2)/25)*Calculateur!V201*Calculateur!X201*VLOOKUP('Données projet'!$B$9,Paramètres!$A$1:$I$89,3,0)*0.475*44/12</f>
        <v>1.2028638482204101</v>
      </c>
      <c r="AB201" s="21">
        <f>EXP(-LN(2)/2)*AB200+(1-EXP(-LN(2)/2))/(LN(2)/2)*V201*Y201*VLOOKUP('Données projet'!$B$9,Paramètres!$A$1:$I$89,3,0)*0.475*44/12</f>
        <v>3.2739649632217553E-20</v>
      </c>
      <c r="AC201" s="22">
        <f t="shared" si="163"/>
        <v>11.897084937666733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3.4106051316484809E-13</v>
      </c>
      <c r="AJ201" s="13">
        <f>AI201*VLOOKUP('Données projet'!$B$10,Paramètres!$A$1:$I$89,3,0)*VLOOKUP('Données projet'!$B$10,Paramètres!$A$1:$I$89,5,0)</f>
        <v>1.5961632016114892E-13</v>
      </c>
      <c r="AK201" s="13">
        <f t="shared" si="164"/>
        <v>2.2708641912150958E-12</v>
      </c>
      <c r="AL201" s="20">
        <f t="shared" si="165"/>
        <v>4.2330868906469593E-12</v>
      </c>
      <c r="AM201" s="59">
        <f t="shared" si="193"/>
        <v>293.33333333333752</v>
      </c>
      <c r="AN201" s="59">
        <f ca="1">AVERAGE(OFFSET($AM$3,0,0,'Données projet'!$E$10+1,1))-AVERAGE(OFFSET($H$3,0,0,'Données projet'!$E$10+1,1))</f>
        <v>187.82209112143374</v>
      </c>
      <c r="AO201" s="59">
        <f t="shared" si="205"/>
        <v>158.99136654880203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22.517798099675275</v>
      </c>
      <c r="AV201" s="21">
        <f>EXP(-LN(2)/25)*AV200+(1-EXP(-LN(2)/25))/(LN(2)/25)*Calculateur!AQ201*Calculateur!AS201*VLOOKUP('Données projet'!$B$10,Paramètres!$A$1:$I$89,3,0)*0.475*44/12</f>
        <v>3.5512017185555029</v>
      </c>
      <c r="AW201" s="21">
        <f>EXP(-LN(2)/2)*AW200+(1-EXP(-LN(2)/2))/(LN(2)/2)*AQ201*AT201*VLOOKUP('Données projet'!$B$10,Paramètres!$A$1:$I$89,3,0)*0.475*44/12</f>
        <v>1.2656361674052001E-12</v>
      </c>
      <c r="AX201" s="21">
        <f t="shared" si="166"/>
        <v>26.068999818232044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140.32771978791288</v>
      </c>
      <c r="BJ201" s="59">
        <f t="shared" si="206"/>
        <v>135.76866977947634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1.2737852186704248</v>
      </c>
      <c r="BQ201" s="21">
        <f>EXP(-LN(2)/25)*BQ200+(1-EXP(-LN(2)/25))/(LN(2)/25)*Calculateur!BL201*Calculateur!BN201*VLOOKUP('Données projet'!$B$11,Paramètres!$A$1:$I$89,3,0)*0.475*44/12</f>
        <v>3.1974170874753396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4.4712023061457646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-2.8819613362429665E-13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372.05986520199804</v>
      </c>
      <c r="CE201" s="59">
        <f t="shared" si="207"/>
        <v>184.37981929432044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117.57205835312823</v>
      </c>
      <c r="CL201" s="21">
        <f>EXP(-LN(2)/25)*CL200+(1-EXP(-LN(2)/25))/(LN(2)/25)*Calculateur!CG201*Calculateur!CI201*VLOOKUP('Données projet'!$B$12,Paramètres!$A$1:$I$89,3,0)*0.475*44/12</f>
        <v>35.064525437535217</v>
      </c>
      <c r="CM201" s="21">
        <f>EXP(-LN(2)/2)*CM200+(1-EXP(-LN(2)/2))/(LN(2)/2)*CG201*CJ201*VLOOKUP('Données projet'!$B$12,Paramètres!$A$1:$I$89,3,0)*0.475*44/12</f>
        <v>0.61313379068913954</v>
      </c>
      <c r="CN201" s="22">
        <f t="shared" si="172"/>
        <v>153.2497175813526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7.9580786405131221E-13</v>
      </c>
      <c r="CU201" s="17">
        <f>CT201*VLOOKUP('Données projet'!$B$13,Paramètres!$A$1:$I$89,3,0)*VLOOKUP('Données projet'!$B$13,Paramètres!$A$1:$I$89,5,0)</f>
        <v>7.2004695539362725E-13</v>
      </c>
      <c r="CV201" s="13">
        <f t="shared" si="173"/>
        <v>8.5963894794935589E-12</v>
      </c>
      <c r="CW201" s="20">
        <f t="shared" si="174"/>
        <v>1.6226126790761848E-11</v>
      </c>
      <c r="CX201" s="59">
        <f t="shared" si="196"/>
        <v>293.33333333334951</v>
      </c>
      <c r="CY201" s="59">
        <f ca="1">AVERAGE(OFFSET($CX$3,0,0,'Données projet'!$E$13+1,1))-AVERAGE(OFFSET($H$3,0,0,'Données projet'!$E$13+1,1))</f>
        <v>479.84731392413374</v>
      </c>
      <c r="CZ201" s="59">
        <f t="shared" si="208"/>
        <v>203.57601099841213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114.51888371360145</v>
      </c>
      <c r="DG201" s="21">
        <f>EXP(-LN(2)/25)*DG200+(1-EXP(-LN(2)/25))/(LN(2)/25)*Calculateur!DB201*Calculateur!DD201*VLOOKUP('Données projet'!$B$13,Paramètres!$A$1:$I$89,3,0)*0.475*44/12</f>
        <v>16.98266528047056</v>
      </c>
      <c r="DH201" s="21">
        <f>EXP(-LN(2)/2)*DH200+(1-EXP(-LN(2)/2))/(LN(2)/2)*DB201*DE201*VLOOKUP('Données projet'!$B$13,Paramètres!$A$1:$I$89,3,0)*0.475*44/12</f>
        <v>5.8693519112573124E-2</v>
      </c>
      <c r="DI201" s="22">
        <f t="shared" si="175"/>
        <v>131.56024251318459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293.3333333333353</v>
      </c>
      <c r="S202" s="59">
        <f ca="1">AVERAGE(OFFSET($R$3,0,0,'Données projet'!$E$9+1,1))-AVERAGE(OFFSET($H$3,0,0,'Données projet'!$E$9+1,1))</f>
        <v>322.7909000321435</v>
      </c>
      <c r="T202" s="59">
        <f t="shared" si="204"/>
        <v>403.23516981532316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10.48451393671307</v>
      </c>
      <c r="AA202" s="21">
        <f>EXP(-LN(2)/25)*AA201+(1-EXP(-LN(2)/25))/(LN(2)/25)*Calculateur!V202*Calculateur!X202*VLOOKUP('Données projet'!$B$9,Paramètres!$A$1:$I$89,3,0)*0.475*44/12</f>
        <v>1.1699714730349624</v>
      </c>
      <c r="AB202" s="21">
        <f>EXP(-LN(2)/2)*AB201+(1-EXP(-LN(2)/2))/(LN(2)/2)*V202*Y202*VLOOKUP('Données projet'!$B$9,Paramètres!$A$1:$I$89,3,0)*0.475*44/12</f>
        <v>2.3150428268612689E-20</v>
      </c>
      <c r="AC202" s="22">
        <f t="shared" si="163"/>
        <v>11.654485409748032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3.4106051316484809E-13</v>
      </c>
      <c r="AJ202" s="13">
        <f>AI202*VLOOKUP('Données projet'!$B$10,Paramètres!$A$1:$I$89,3,0)*VLOOKUP('Données projet'!$B$10,Paramètres!$A$1:$I$89,5,0)</f>
        <v>1.5961632016114892E-13</v>
      </c>
      <c r="AK202" s="13">
        <f t="shared" si="164"/>
        <v>2.2708641912150958E-12</v>
      </c>
      <c r="AL202" s="20">
        <f t="shared" si="165"/>
        <v>4.2330868906469593E-12</v>
      </c>
      <c r="AM202" s="59">
        <f t="shared" si="193"/>
        <v>293.33333333333752</v>
      </c>
      <c r="AN202" s="59">
        <f ca="1">AVERAGE(OFFSET($AM$3,0,0,'Données projet'!$E$10+1,1))-AVERAGE(OFFSET($H$3,0,0,'Données projet'!$E$10+1,1))</f>
        <v>187.82209112143374</v>
      </c>
      <c r="AO202" s="59">
        <f t="shared" si="205"/>
        <v>158.99136654880203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22.076237813441313</v>
      </c>
      <c r="AV202" s="21">
        <f>EXP(-LN(2)/25)*AV201+(1-EXP(-LN(2)/25))/(LN(2)/25)*Calculateur!AQ202*Calculateur!AS202*VLOOKUP('Données projet'!$B$10,Paramètres!$A$1:$I$89,3,0)*0.475*44/12</f>
        <v>3.4540939208120207</v>
      </c>
      <c r="AW202" s="21">
        <f>EXP(-LN(2)/2)*AW201+(1-EXP(-LN(2)/2))/(LN(2)/2)*AQ202*AT202*VLOOKUP('Données projet'!$B$10,Paramètres!$A$1:$I$89,3,0)*0.475*44/12</f>
        <v>8.9493991648716946E-13</v>
      </c>
      <c r="AX202" s="21">
        <f t="shared" si="166"/>
        <v>25.530331734254229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140.32771978791288</v>
      </c>
      <c r="BJ202" s="59">
        <f t="shared" si="206"/>
        <v>135.76866977947634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1.2488070674645655</v>
      </c>
      <c r="BQ202" s="21">
        <f>EXP(-LN(2)/25)*BQ201+(1-EXP(-LN(2)/25))/(LN(2)/25)*Calculateur!BL202*Calculateur!BN202*VLOOKUP('Données projet'!$B$11,Paramètres!$A$1:$I$89,3,0)*0.475*44/12</f>
        <v>3.1099835490734695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4.3587906165380348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-2.8819613362429665E-13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372.05986520199804</v>
      </c>
      <c r="CE202" s="59">
        <f t="shared" si="207"/>
        <v>184.37981929432044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115.26654200069802</v>
      </c>
      <c r="CL202" s="21">
        <f>EXP(-LN(2)/25)*CL201+(1-EXP(-LN(2)/25))/(LN(2)/25)*Calculateur!CG202*Calculateur!CI202*VLOOKUP('Données projet'!$B$12,Paramètres!$A$1:$I$89,3,0)*0.475*44/12</f>
        <v>34.105684145482563</v>
      </c>
      <c r="CM202" s="21">
        <f>EXP(-LN(2)/2)*CM201+(1-EXP(-LN(2)/2))/(LN(2)/2)*CG202*CJ202*VLOOKUP('Données projet'!$B$12,Paramètres!$A$1:$I$89,3,0)*0.475*44/12</f>
        <v>0.43355106117090386</v>
      </c>
      <c r="CN202" s="22">
        <f t="shared" si="172"/>
        <v>149.8057772073515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7.9580786405131221E-13</v>
      </c>
      <c r="CU202" s="17">
        <f>CT202*VLOOKUP('Données projet'!$B$13,Paramètres!$A$1:$I$89,3,0)*VLOOKUP('Données projet'!$B$13,Paramètres!$A$1:$I$89,5,0)</f>
        <v>7.2004695539362725E-13</v>
      </c>
      <c r="CV202" s="13">
        <f t="shared" si="173"/>
        <v>8.5963894794935589E-12</v>
      </c>
      <c r="CW202" s="20">
        <f t="shared" si="174"/>
        <v>1.6226126790761848E-11</v>
      </c>
      <c r="CX202" s="59">
        <f t="shared" si="196"/>
        <v>293.33333333334951</v>
      </c>
      <c r="CY202" s="59">
        <f ca="1">AVERAGE(OFFSET($CX$3,0,0,'Données projet'!$E$13+1,1))-AVERAGE(OFFSET($H$3,0,0,'Données projet'!$E$13+1,1))</f>
        <v>479.84731392413374</v>
      </c>
      <c r="CZ202" s="59">
        <f t="shared" si="208"/>
        <v>203.57601099841213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112.27323825359971</v>
      </c>
      <c r="DG202" s="21">
        <f>EXP(-LN(2)/25)*DG201+(1-EXP(-LN(2)/25))/(LN(2)/25)*Calculateur!DB202*Calculateur!DD202*VLOOKUP('Données projet'!$B$13,Paramètres!$A$1:$I$89,3,0)*0.475*44/12</f>
        <v>16.51827340529654</v>
      </c>
      <c r="DH202" s="21">
        <f>EXP(-LN(2)/2)*DH201+(1-EXP(-LN(2)/2))/(LN(2)/2)*DB202*DE202*VLOOKUP('Données projet'!$B$13,Paramètres!$A$1:$I$89,3,0)*0.475*44/12</f>
        <v>4.1502585376202689E-2</v>
      </c>
      <c r="DI202" s="22">
        <f t="shared" si="175"/>
        <v>128.83301424427245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293.3333333333353</v>
      </c>
      <c r="S203" s="59">
        <f ca="1">AVERAGE(OFFSET($R$3,0,0,'Données projet'!$E$9+1,1))-AVERAGE(OFFSET($H$3,0,0,'Données projet'!$E$9+1,1))</f>
        <v>322.7909000321435</v>
      </c>
      <c r="T203" s="59">
        <f t="shared" si="204"/>
        <v>403.23516981532316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10.278919013336182</v>
      </c>
      <c r="AA203" s="21">
        <f>EXP(-LN(2)/25)*AA202+(1-EXP(-LN(2)/25))/(LN(2)/25)*Calculateur!V203*Calculateur!X203*VLOOKUP('Données projet'!$B$9,Paramètres!$A$1:$I$89,3,0)*0.475*44/12</f>
        <v>1.1379785415786956</v>
      </c>
      <c r="AB203" s="21">
        <f>EXP(-LN(2)/2)*AB202+(1-EXP(-LN(2)/2))/(LN(2)/2)*V203*Y203*VLOOKUP('Données projet'!$B$9,Paramètres!$A$1:$I$89,3,0)*0.475*44/12</f>
        <v>1.6369824816108776E-20</v>
      </c>
      <c r="AC203" s="22">
        <f t="shared" si="163"/>
        <v>11.416897554914877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3.4106051316484809E-13</v>
      </c>
      <c r="AJ203" s="13">
        <f>AI203*VLOOKUP('Données projet'!$B$10,Paramètres!$A$1:$I$89,3,0)*VLOOKUP('Données projet'!$B$10,Paramètres!$A$1:$I$89,5,0)</f>
        <v>1.5961632016114892E-13</v>
      </c>
      <c r="AK203" s="13">
        <f t="shared" si="164"/>
        <v>2.2708641912150958E-12</v>
      </c>
      <c r="AL203" s="20">
        <f t="shared" si="165"/>
        <v>4.2330868906469593E-12</v>
      </c>
      <c r="AM203" s="59">
        <f t="shared" si="193"/>
        <v>293.33333333333752</v>
      </c>
      <c r="AN203" s="59">
        <f ca="1">AVERAGE(OFFSET($AM$3,0,0,'Données projet'!$E$10+1,1))-AVERAGE(OFFSET($H$3,0,0,'Données projet'!$E$10+1,1))</f>
        <v>187.82209112143374</v>
      </c>
      <c r="AO203" s="59">
        <f t="shared" si="205"/>
        <v>158.99136654880203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21.643336255095221</v>
      </c>
      <c r="AV203" s="21">
        <f>EXP(-LN(2)/25)*AV202+(1-EXP(-LN(2)/25))/(LN(2)/25)*Calculateur!AQ203*Calculateur!AS203*VLOOKUP('Données projet'!$B$10,Paramètres!$A$1:$I$89,3,0)*0.475*44/12</f>
        <v>3.3596415409045113</v>
      </c>
      <c r="AW203" s="21">
        <f>EXP(-LN(2)/2)*AW202+(1-EXP(-LN(2)/2))/(LN(2)/2)*AQ203*AT203*VLOOKUP('Données projet'!$B$10,Paramètres!$A$1:$I$89,3,0)*0.475*44/12</f>
        <v>6.3281808370260014E-13</v>
      </c>
      <c r="AX203" s="21">
        <f t="shared" si="166"/>
        <v>25.002977796000366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140.32771978791288</v>
      </c>
      <c r="BJ203" s="59">
        <f t="shared" si="206"/>
        <v>135.76866977947634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1.2243187225686851</v>
      </c>
      <c r="BQ203" s="21">
        <f>EXP(-LN(2)/25)*BQ202+(1-EXP(-LN(2)/25))/(LN(2)/25)*Calculateur!BL203*Calculateur!BN203*VLOOKUP('Données projet'!$B$11,Paramètres!$A$1:$I$89,3,0)*0.475*44/12</f>
        <v>3.0249408853771285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4.2492596079458131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-2.8819613362429665E-13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372.05986520199804</v>
      </c>
      <c r="CE203" s="59">
        <f t="shared" si="207"/>
        <v>184.37981929432044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113.00623541771284</v>
      </c>
      <c r="CL203" s="21">
        <f>EXP(-LN(2)/25)*CL202+(1-EXP(-LN(2)/25))/(LN(2)/25)*Calculateur!CG203*Calculateur!CI203*VLOOKUP('Données projet'!$B$12,Paramètres!$A$1:$I$89,3,0)*0.475*44/12</f>
        <v>33.173062418984365</v>
      </c>
      <c r="CM203" s="21">
        <f>EXP(-LN(2)/2)*CM202+(1-EXP(-LN(2)/2))/(LN(2)/2)*CG203*CJ203*VLOOKUP('Données projet'!$B$12,Paramètres!$A$1:$I$89,3,0)*0.475*44/12</f>
        <v>0.30656689534456982</v>
      </c>
      <c r="CN203" s="22">
        <f t="shared" si="172"/>
        <v>146.48586473204176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7.9580786405131221E-13</v>
      </c>
      <c r="CU203" s="17">
        <f>CT203*VLOOKUP('Données projet'!$B$13,Paramètres!$A$1:$I$89,3,0)*VLOOKUP('Données projet'!$B$13,Paramètres!$A$1:$I$89,5,0)</f>
        <v>7.2004695539362725E-13</v>
      </c>
      <c r="CV203" s="13">
        <f t="shared" si="173"/>
        <v>8.5963894794935589E-12</v>
      </c>
      <c r="CW203" s="20">
        <f t="shared" si="174"/>
        <v>1.6226126790761848E-11</v>
      </c>
      <c r="CX203" s="59">
        <f t="shared" si="196"/>
        <v>293.33333333334951</v>
      </c>
      <c r="CY203" s="59">
        <f ca="1">AVERAGE(OFFSET($CX$3,0,0,'Données projet'!$E$13+1,1))-AVERAGE(OFFSET($H$3,0,0,'Données projet'!$E$13+1,1))</f>
        <v>479.84731392413374</v>
      </c>
      <c r="CZ203" s="59">
        <f t="shared" si="208"/>
        <v>203.57601099841213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110.07162853136013</v>
      </c>
      <c r="DG203" s="21">
        <f>EXP(-LN(2)/25)*DG202+(1-EXP(-LN(2)/25))/(LN(2)/25)*Calculateur!DB203*Calculateur!DD203*VLOOKUP('Données projet'!$B$13,Paramètres!$A$1:$I$89,3,0)*0.475*44/12</f>
        <v>16.066580350370462</v>
      </c>
      <c r="DH203" s="21">
        <f>EXP(-LN(2)/2)*DH202+(1-EXP(-LN(2)/2))/(LN(2)/2)*DB203*DE203*VLOOKUP('Données projet'!$B$13,Paramètres!$A$1:$I$89,3,0)*0.475*44/12</f>
        <v>2.9346759556286562E-2</v>
      </c>
      <c r="DI203" s="22">
        <f t="shared" si="175"/>
        <v>126.16755564128688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1.3927421509577205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1.1203305107380264</v>
      </c>
      <c r="BA205" s="82">
        <f>EXP(LN('Données projet'!B88)/'Données projet'!A88)</f>
        <v>1.2770702581475548</v>
      </c>
      <c r="BV205" s="82">
        <f>EXP(LN('Données projet'!B114)/'Données projet'!A114)</f>
        <v>1.0924684246274448</v>
      </c>
      <c r="CQ205" s="82">
        <f>EXP(LN('Données projet'!B140)/'Données projet'!A140)</f>
        <v>1.1303799945549604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984375" defaultRowHeight="14.25" x14ac:dyDescent="0.45"/>
  <cols>
    <col min="1" max="1" width="23.3984375" style="4" bestFit="1" customWidth="1"/>
    <col min="2" max="2" width="27.73046875" style="4" bestFit="1" customWidth="1"/>
    <col min="3" max="3" width="11.86328125" style="4" bestFit="1" customWidth="1"/>
    <col min="4" max="4" width="40" style="4" bestFit="1" customWidth="1"/>
    <col min="5" max="5" width="11.86328125" style="4" bestFit="1" customWidth="1"/>
    <col min="6" max="6" width="13.73046875" style="4" bestFit="1" customWidth="1"/>
    <col min="7" max="7" width="11.3984375" style="4" bestFit="1" customWidth="1"/>
    <col min="8" max="8" width="39" style="4" bestFit="1" customWidth="1"/>
    <col min="9" max="9" width="16.73046875" style="4" customWidth="1"/>
    <col min="10" max="14" width="11.3984375" style="4"/>
    <col min="15" max="15" width="23.3984375" style="4" bestFit="1" customWidth="1"/>
    <col min="16" max="16384" width="11.39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18" sqref="N18"/>
    </sheetView>
  </sheetViews>
  <sheetFormatPr baseColWidth="10" defaultColWidth="11.3984375" defaultRowHeight="14.25" x14ac:dyDescent="0.45"/>
  <cols>
    <col min="1" max="1" width="22.86328125" style="1" bestFit="1" customWidth="1"/>
    <col min="2" max="2" width="10.59765625" style="1" bestFit="1" customWidth="1"/>
    <col min="3" max="3" width="15.59765625" style="1" bestFit="1" customWidth="1"/>
    <col min="4" max="4" width="13.3984375" style="1" bestFit="1" customWidth="1"/>
    <col min="5" max="8" width="11.3984375" style="1"/>
    <col min="9" max="13" width="11.3984375" style="62"/>
    <col min="14" max="15" width="11.3984375" style="1"/>
    <col min="16" max="17" width="13.3984375" style="1" customWidth="1"/>
    <col min="18" max="16384" width="11.39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Pin maritime</v>
      </c>
      <c r="B6" s="146">
        <f>'Données projet'!D9</f>
        <v>109.63519980812265</v>
      </c>
      <c r="C6" s="147">
        <f ca="1">IF(OR('Données projet'!B9="",'Données projet'!C9="",'Données projet'!C9=0%),0,Calculateur!S3)</f>
        <v>322.7909000321435</v>
      </c>
      <c r="D6" s="147">
        <f>IF(OR('Données projet'!B9="",'Données projet'!C9="",'Données projet'!C9=0%),0,Calculateur!T3)</f>
        <v>403.23516981532316</v>
      </c>
      <c r="E6" s="147">
        <f ca="1">MIN(C6,D6)</f>
        <v>322.7909000321435</v>
      </c>
      <c r="F6" s="147">
        <f ca="1">E6*B6</f>
        <v>35389.244821267799</v>
      </c>
      <c r="G6" s="147">
        <f ca="1">F6*(100%-'Données projet'!$C$24)*(100%-'Données projet'!$C$25)*(100%-'Données projet'!$C$26)*(100%-'Données projet'!$C$27)</f>
        <v>27072.772288269865</v>
      </c>
      <c r="H6" s="148">
        <f>IF(OR('Données projet'!B9="",'Données projet'!C9="",'Données projet'!C9=0%),0,AVERAGE(Calculateur!$AC$3:$AC$33)*B6)</f>
        <v>1556.4269078952339</v>
      </c>
      <c r="I6" s="149">
        <f>H6*(100%-'Données projet'!$C$24)*(100%-'Données projet'!$C$25)*(100%-'Données projet'!$C$26)*(100%-'Données projet'!$C$27)</f>
        <v>1190.6665845398538</v>
      </c>
      <c r="J6" s="150">
        <f>IF(OR('Données projet'!B9="",'Données projet'!C9="",'Données projet'!C9=0%),0,SUM(Calculateur!$V$3:$V$33)*VLOOKUP('Données projet'!$B$9,Paramètres!$A$1:$I$89,9,0)*B6)</f>
        <v>10465.348596404137</v>
      </c>
      <c r="K6" s="151">
        <f>J6*(100%-'Données projet'!$C$24)*(100%-'Données projet'!$C$25)*(100%-'Données projet'!$C$26)*(100%-'Données projet'!$C$27)</f>
        <v>8005.9916762491657</v>
      </c>
      <c r="L6" s="152">
        <f ca="1">G6+I6+K6</f>
        <v>36269.430549058881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Cèdre de l'Atlas</v>
      </c>
      <c r="B7" s="154">
        <f>'Données projet'!D10</f>
        <v>12.237972124756503</v>
      </c>
      <c r="C7" s="147">
        <f ca="1">IF(OR('Données projet'!B10="",'Données projet'!C10="",'Données projet'!C10=0%),0,Calculateur!AN3)</f>
        <v>187.82209112143374</v>
      </c>
      <c r="D7" s="147">
        <f>IF(OR('Données projet'!B10="",'Données projet'!C10="",'Données projet'!C10=0%),0,Calculateur!AO3)</f>
        <v>158.99136654880203</v>
      </c>
      <c r="E7" s="147">
        <f t="shared" ref="E7:E15" ca="1" si="0">MIN(C7,D7)</f>
        <v>158.99136654880203</v>
      </c>
      <c r="F7" s="147">
        <f t="shared" ref="F7:F15" ca="1" si="1">E7*B7</f>
        <v>1945.7319119011829</v>
      </c>
      <c r="G7" s="147">
        <f ca="1">F7*(100%-'Données projet'!$C$24)*(100%-'Données projet'!$C$25)*(100%-'Données projet'!$C$26)*(100%-'Données projet'!$C$27)</f>
        <v>1488.4849126044051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1488.4849126044051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chevelu</v>
      </c>
      <c r="B8" s="154">
        <f>'Données projet'!D11</f>
        <v>19.312191152388131</v>
      </c>
      <c r="C8" s="147">
        <f ca="1">IF(OR('Données projet'!B11="",'Données projet'!C11="",'Données projet'!C11=0%),0,Calculateur!BI3)</f>
        <v>140.32771978791288</v>
      </c>
      <c r="D8" s="147">
        <f>IF(OR('Données projet'!B11="",'Données projet'!C11="",'Données projet'!C11=0%),0,Calculateur!BJ3)</f>
        <v>135.76866977947634</v>
      </c>
      <c r="E8" s="147">
        <f t="shared" ca="1" si="0"/>
        <v>135.76866977947634</v>
      </c>
      <c r="F8" s="147">
        <f t="shared" ca="1" si="1"/>
        <v>2621.9905032867086</v>
      </c>
      <c r="G8" s="147">
        <f ca="1">F8*(100%-'Données projet'!$C$24)*(100%-'Données projet'!$C$25)*(100%-'Données projet'!$C$26)*(100%-'Données projet'!$C$27)</f>
        <v>2005.8227350143322</v>
      </c>
      <c r="H8" s="155">
        <f>IF(OR('Données projet'!B11="",'Données projet'!C11="",'Données projet'!C11=0%),0,AVERAGE(Calculateur!$BS$3:$BS$33)*B8)</f>
        <v>40.045142788963531</v>
      </c>
      <c r="I8" s="149">
        <f>H8*(100%-'Données projet'!$C$24)*(100%-'Données projet'!$C$25)*(100%-'Données projet'!$C$26)*(100%-'Données projet'!$C$27)</f>
        <v>30.634534233557101</v>
      </c>
      <c r="J8" s="150">
        <f>IF(OR('Données projet'!B11="",'Données projet'!C11="",'Données projet'!C11=0%),0,SUM(Calculateur!$BL$3:$BL$33)*VLOOKUP('Données projet'!$B$11,Paramètres!$A$1:$I$89,9,0)*B8)</f>
        <v>210.45336512217833</v>
      </c>
      <c r="K8" s="151">
        <f>J8*(100%-'Données projet'!$C$24)*(100%-'Données projet'!$C$25)*(100%-'Données projet'!$C$26)*(100%-'Données projet'!$C$27)</f>
        <v>160.99682431846642</v>
      </c>
      <c r="L8" s="152">
        <f t="shared" ca="1" si="2"/>
        <v>2197.4540935663558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Chêne pubescent</v>
      </c>
      <c r="B9" s="154">
        <f>'Données projet'!D12</f>
        <v>3.8423184573663738</v>
      </c>
      <c r="C9" s="147">
        <f ca="1">IF(OR('Données projet'!B12="",'Données projet'!C12="",'Données projet'!C12=0%),0,Calculateur!CD3)</f>
        <v>372.05986520199804</v>
      </c>
      <c r="D9" s="147">
        <f>IF(OR('Données projet'!B12="",'Données projet'!C12="",'Données projet'!C12=0%),0,Calculateur!CE3)</f>
        <v>184.37981929432044</v>
      </c>
      <c r="E9" s="147">
        <f t="shared" ca="1" si="0"/>
        <v>184.37981929432044</v>
      </c>
      <c r="F9" s="147">
        <f t="shared" ca="1" si="1"/>
        <v>708.44598284044412</v>
      </c>
      <c r="G9" s="147">
        <f ca="1">F9*(100%-'Données projet'!$C$24)*(100%-'Données projet'!$C$25)*(100%-'Données projet'!$C$26)*(100%-'Données projet'!$C$27)</f>
        <v>541.96117687293975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541.96117687293975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Chêne sessile</v>
      </c>
      <c r="B10" s="154">
        <f>'Données projet'!D13</f>
        <v>3.8423184573663738</v>
      </c>
      <c r="C10" s="147">
        <f ca="1">IF(OR('Données projet'!B13="",'Données projet'!C13="",'Données projet'!C13=0%),0,Calculateur!CY3)</f>
        <v>479.84731392413374</v>
      </c>
      <c r="D10" s="147">
        <f>IF(OR('Données projet'!B13="",'Données projet'!C13="",'Données projet'!C13=0%),0,Calculateur!CZ3)</f>
        <v>203.57601099841213</v>
      </c>
      <c r="E10" s="147">
        <f t="shared" ca="1" si="0"/>
        <v>203.57601099841213</v>
      </c>
      <c r="F10" s="147">
        <f t="shared" ca="1" si="1"/>
        <v>782.20386453621882</v>
      </c>
      <c r="G10" s="147">
        <f ca="1">F10*(100%-'Données projet'!$C$24)*(100%-'Données projet'!$C$25)*(100%-'Données projet'!$C$26)*(100%-'Données projet'!$C$27)</f>
        <v>598.3859563702074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598.3859563702074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41447.617083832352</v>
      </c>
      <c r="G16" s="166">
        <f t="shared" ca="1" si="3"/>
        <v>31707.427069131751</v>
      </c>
      <c r="H16" s="167">
        <f t="shared" si="3"/>
        <v>1596.4720506841975</v>
      </c>
      <c r="I16" s="167">
        <f t="shared" si="3"/>
        <v>1221.301118773411</v>
      </c>
      <c r="J16" s="168">
        <f t="shared" si="3"/>
        <v>10675.801961526317</v>
      </c>
      <c r="K16" s="168">
        <f t="shared" si="3"/>
        <v>8166.9885005676324</v>
      </c>
      <c r="L16" s="169">
        <f t="shared" ca="1" si="3"/>
        <v>41095.716688472785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chevelu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80" zoomScaleNormal="80" workbookViewId="0">
      <selection activeCell="J21" sqref="J21:J25"/>
    </sheetView>
  </sheetViews>
  <sheetFormatPr baseColWidth="10" defaultColWidth="11.3984375" defaultRowHeight="14.25" x14ac:dyDescent="0.45"/>
  <cols>
    <col min="1" max="1" width="11.3984375" style="1"/>
    <col min="2" max="2" width="30.86328125" style="1" bestFit="1" customWidth="1"/>
    <col min="3" max="3" width="18.1328125" style="1" bestFit="1" customWidth="1"/>
    <col min="4" max="5" width="11.3984375" style="1"/>
    <col min="6" max="6" width="14" style="1" customWidth="1"/>
    <col min="7" max="7" width="17.59765625" style="1" customWidth="1"/>
    <col min="8" max="8" width="21.73046875" style="1" customWidth="1"/>
    <col min="9" max="9" width="37" style="1" customWidth="1"/>
    <col min="10" max="10" width="11.3984375" style="1"/>
    <col min="11" max="11" width="8.86328125" style="1" customWidth="1"/>
    <col min="12" max="12" width="11.3984375" style="1"/>
    <col min="13" max="13" width="21" style="1" customWidth="1"/>
    <col min="14" max="16" width="11.3984375" style="1"/>
    <col min="17" max="17" width="8" style="1" customWidth="1"/>
    <col min="18" max="18" width="11.3984375" style="1"/>
    <col min="19" max="19" width="31" style="1" customWidth="1"/>
    <col min="20" max="20" width="18.1328125" style="1" customWidth="1"/>
    <col min="21" max="21" width="16.3984375" style="1" customWidth="1"/>
    <col min="22" max="22" width="17.86328125" style="1" customWidth="1"/>
    <col min="23" max="16384" width="11.39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3818.6604282070393</v>
      </c>
      <c r="U10" s="178">
        <f>'Données projet'!D9</f>
        <v>109.63519980812265</v>
      </c>
      <c r="V10" s="177">
        <f>U10*T10</f>
        <v>418659.59904584993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543.03055072320319</v>
      </c>
      <c r="U11" s="178">
        <f>'Données projet'!D10</f>
        <v>12.237972124756503</v>
      </c>
      <c r="V11" s="177">
        <f t="shared" ref="V11" si="0">U11*T11</f>
        <v>6645.5927426417329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chevelu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330.91953589708123</v>
      </c>
      <c r="U12" s="178">
        <f>'Données projet'!D11</f>
        <v>19.312191152388131</v>
      </c>
      <c r="V12" s="177">
        <f t="shared" ref="V12:V19" si="1">U12*T12</f>
        <v>6390.7813333039985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pubescent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219.89516236821601</v>
      </c>
      <c r="U13" s="178">
        <f>'Données projet'!D12</f>
        <v>3.8423184573663738</v>
      </c>
      <c r="V13" s="177">
        <f t="shared" si="1"/>
        <v>844.90724105297204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sessile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861.70395431010343</v>
      </c>
      <c r="U14" s="178">
        <f>'Données projet'!D13</f>
        <v>3.8423184573663738</v>
      </c>
      <c r="V14" s="177">
        <f t="shared" si="1"/>
        <v>3310.9410084313008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89" t="s">
        <v>318</v>
      </c>
      <c r="H15" s="190">
        <v>1</v>
      </c>
      <c r="I15" s="191">
        <f>527792.92/'Données projet'!C5</f>
        <v>3545.3276012628471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56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55.999999999999964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16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895.99999999999943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4941.0332931701441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1185.1607584501237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1185.1607584501237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15</v>
      </c>
      <c r="B23" s="181">
        <f>'Données projet'!D36</f>
        <v>50.480000000000004</v>
      </c>
      <c r="C23" s="193">
        <v>8</v>
      </c>
      <c r="D23" s="182">
        <f>B23*C23</f>
        <v>403.84000000000003</v>
      </c>
      <c r="E23" s="193">
        <v>60</v>
      </c>
      <c r="F23" s="230"/>
      <c r="H23" s="190">
        <v>5</v>
      </c>
      <c r="I23" s="191">
        <v>770.57834992707217</v>
      </c>
      <c r="J23" s="304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-171209.44400790939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20</v>
      </c>
      <c r="B24" s="181">
        <f>'Données projet'!D37</f>
        <v>55.160000000000025</v>
      </c>
      <c r="C24" s="193">
        <v>13.125</v>
      </c>
      <c r="D24" s="182">
        <f t="shared" ref="D24:D42" si="2">B24*C24</f>
        <v>723.97500000000036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11339.735715793002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26</v>
      </c>
      <c r="B25" s="181">
        <f>'Données projet'!D38</f>
        <v>56.150000000000006</v>
      </c>
      <c r="C25" s="193">
        <v>24.5</v>
      </c>
      <c r="D25" s="182">
        <f t="shared" si="2"/>
        <v>1375.6750000000002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-182549.1797237024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32</v>
      </c>
      <c r="B26" s="181">
        <f>'Données projet'!D39</f>
        <v>79.57000000000005</v>
      </c>
      <c r="C26" s="193">
        <v>24.5</v>
      </c>
      <c r="D26" s="182">
        <f t="shared" si="2"/>
        <v>1949.4650000000013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40</v>
      </c>
      <c r="B27" s="181">
        <f>'Données projet'!D40</f>
        <v>116.63</v>
      </c>
      <c r="C27" s="193">
        <v>24.5</v>
      </c>
      <c r="D27" s="182">
        <f t="shared" si="2"/>
        <v>2857.4349999999999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48</v>
      </c>
      <c r="B28" s="181">
        <f>'Données projet'!D41</f>
        <v>106.28000000000003</v>
      </c>
      <c r="C28" s="193">
        <v>24.5</v>
      </c>
      <c r="D28" s="182">
        <f t="shared" si="2"/>
        <v>2603.8600000000006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56</v>
      </c>
      <c r="B29" s="181">
        <f>'Données projet'!D42</f>
        <v>563.75</v>
      </c>
      <c r="C29" s="193">
        <v>35.5</v>
      </c>
      <c r="D29" s="182">
        <f t="shared" si="2"/>
        <v>20013.125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51</v>
      </c>
      <c r="B54" s="181">
        <f>'Données projet'!D62</f>
        <v>101.57999999999998</v>
      </c>
      <c r="C54" s="191">
        <v>17.774999999999999</v>
      </c>
      <c r="D54" s="179">
        <f>B54*C54</f>
        <v>1805.5844999999995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63</v>
      </c>
      <c r="B55" s="181">
        <f>'Données projet'!D63</f>
        <v>115.59000000000003</v>
      </c>
      <c r="C55" s="191">
        <v>30.374999999999996</v>
      </c>
      <c r="D55" s="179">
        <f t="shared" ref="D55:D73" si="4">B55*C55</f>
        <v>3511.0462500000008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75</v>
      </c>
      <c r="B56" s="181">
        <f>'Données projet'!D64</f>
        <v>93.759999999999991</v>
      </c>
      <c r="C56" s="191">
        <v>30.374999999999996</v>
      </c>
      <c r="D56" s="179">
        <f t="shared" si="4"/>
        <v>2847.9599999999996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87</v>
      </c>
      <c r="B57" s="181">
        <f>'Données projet'!D65</f>
        <v>92.519999999999982</v>
      </c>
      <c r="C57" s="191">
        <v>30.374999999999996</v>
      </c>
      <c r="D57" s="179">
        <f t="shared" si="4"/>
        <v>2810.2949999999992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99</v>
      </c>
      <c r="B58" s="181">
        <f>'Données projet'!D66</f>
        <v>222.86</v>
      </c>
      <c r="C58" s="191">
        <v>37.53</v>
      </c>
      <c r="D58" s="179">
        <f t="shared" si="4"/>
        <v>8363.9358000000011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109</v>
      </c>
      <c r="B59" s="181">
        <f>'Données projet'!D67</f>
        <v>290.11</v>
      </c>
      <c r="C59" s="191">
        <v>37.53</v>
      </c>
      <c r="D59" s="179">
        <f t="shared" si="4"/>
        <v>10887.828300000001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chevelu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10</v>
      </c>
      <c r="B85" s="181">
        <f>'Données projet'!D88</f>
        <v>0</v>
      </c>
      <c r="C85" s="191">
        <v>13.5625</v>
      </c>
      <c r="D85" s="179">
        <f>B85*C85</f>
        <v>0</v>
      </c>
      <c r="E85" s="193">
        <v>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15</v>
      </c>
      <c r="B86" s="181">
        <f>'Données projet'!D89</f>
        <v>0</v>
      </c>
      <c r="C86" s="191">
        <v>13.5625</v>
      </c>
      <c r="D86" s="179">
        <f t="shared" ref="D86:D104" si="6">B86*C86</f>
        <v>0</v>
      </c>
      <c r="E86" s="193">
        <v>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20</v>
      </c>
      <c r="B87" s="181">
        <f>'Données projet'!D90</f>
        <v>18.589743589743588</v>
      </c>
      <c r="C87" s="191">
        <v>13.5625</v>
      </c>
      <c r="D87" s="179">
        <f t="shared" si="6"/>
        <v>252.1233974358974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25</v>
      </c>
      <c r="B88" s="181">
        <f>'Données projet'!D91</f>
        <v>12.179487179487179</v>
      </c>
      <c r="C88" s="191">
        <v>13.5625</v>
      </c>
      <c r="D88" s="179">
        <f t="shared" si="6"/>
        <v>165.18429487179486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30</v>
      </c>
      <c r="B89" s="181">
        <f>'Données projet'!D92</f>
        <v>12.820512820512819</v>
      </c>
      <c r="C89" s="191">
        <v>13.5625</v>
      </c>
      <c r="D89" s="179">
        <f t="shared" si="6"/>
        <v>173.87820512820511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35</v>
      </c>
      <c r="B90" s="181">
        <f>'Données projet'!D93</f>
        <v>12.820512820512819</v>
      </c>
      <c r="C90" s="191">
        <v>13.5625</v>
      </c>
      <c r="D90" s="179">
        <f t="shared" si="6"/>
        <v>173.87820512820511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40</v>
      </c>
      <c r="B91" s="181">
        <f>'Données projet'!D94</f>
        <v>12.820512820512819</v>
      </c>
      <c r="C91" s="191">
        <v>13.5625</v>
      </c>
      <c r="D91" s="179">
        <f t="shared" si="6"/>
        <v>173.87820512820511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45</v>
      </c>
      <c r="B92" s="181">
        <f>'Données projet'!D95</f>
        <v>12.179487179487179</v>
      </c>
      <c r="C92" s="191">
        <v>13.5625</v>
      </c>
      <c r="D92" s="179">
        <f t="shared" si="6"/>
        <v>165.18429487179486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50</v>
      </c>
      <c r="B93" s="181">
        <f>'Données projet'!D96</f>
        <v>11.538461538461538</v>
      </c>
      <c r="C93" s="191">
        <v>13.5625</v>
      </c>
      <c r="D93" s="179">
        <f t="shared" si="6"/>
        <v>156.49038461538461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55</v>
      </c>
      <c r="B94" s="181">
        <f>'Données projet'!D97</f>
        <v>10.897435897435898</v>
      </c>
      <c r="C94" s="191">
        <v>13.5625</v>
      </c>
      <c r="D94" s="179">
        <f t="shared" si="6"/>
        <v>147.79647435897436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60</v>
      </c>
      <c r="B95" s="181">
        <f>'Données projet'!D98</f>
        <v>10.256410256410255</v>
      </c>
      <c r="C95" s="191">
        <v>13.5625</v>
      </c>
      <c r="D95" s="179">
        <f t="shared" si="6"/>
        <v>139.10256410256409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65</v>
      </c>
      <c r="B96" s="181">
        <f>'Données projet'!D99</f>
        <v>9.615384615384615</v>
      </c>
      <c r="C96" s="191">
        <v>32.787500000000001</v>
      </c>
      <c r="D96" s="179">
        <f t="shared" si="6"/>
        <v>315.26442307692309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70</v>
      </c>
      <c r="B97" s="181">
        <f>'Données projet'!D100</f>
        <v>8.9743589743589745</v>
      </c>
      <c r="C97" s="191">
        <v>32.787500000000001</v>
      </c>
      <c r="D97" s="179">
        <f t="shared" si="6"/>
        <v>294.24679487179486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75</v>
      </c>
      <c r="B98" s="181">
        <f>'Données projet'!D101</f>
        <v>7.6923076923076916</v>
      </c>
      <c r="C98" s="191">
        <v>32.787500000000001</v>
      </c>
      <c r="D98" s="179">
        <f t="shared" si="6"/>
        <v>252.21153846153845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80</v>
      </c>
      <c r="B99" s="181">
        <f>'Données projet'!D102</f>
        <v>7.0512820512820511</v>
      </c>
      <c r="C99" s="191">
        <v>32.787500000000001</v>
      </c>
      <c r="D99" s="179">
        <f t="shared" si="6"/>
        <v>231.19391025641025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85</v>
      </c>
      <c r="B100" s="181">
        <f>'Données projet'!D103</f>
        <v>6.4102564102564097</v>
      </c>
      <c r="C100" s="191">
        <v>32.787500000000001</v>
      </c>
      <c r="D100" s="179">
        <f t="shared" si="6"/>
        <v>210.17628205128204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90</v>
      </c>
      <c r="B101" s="181">
        <f>'Données projet'!D104</f>
        <v>6.4102564102564097</v>
      </c>
      <c r="C101" s="191">
        <v>32.787500000000001</v>
      </c>
      <c r="D101" s="179">
        <f t="shared" si="6"/>
        <v>210.17628205128204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95</v>
      </c>
      <c r="B102" s="181">
        <f>'Données projet'!D105</f>
        <v>7.0512820512820511</v>
      </c>
      <c r="C102" s="191">
        <v>32.787500000000001</v>
      </c>
      <c r="D102" s="179">
        <f t="shared" si="6"/>
        <v>231.19391025641025</v>
      </c>
      <c r="E102" s="193">
        <v>60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100</v>
      </c>
      <c r="B103" s="181">
        <f>'Données projet'!D106</f>
        <v>142.94871794871796</v>
      </c>
      <c r="C103" s="191">
        <v>32.787500000000001</v>
      </c>
      <c r="D103" s="179">
        <f t="shared" si="6"/>
        <v>4686.9310897435898</v>
      </c>
      <c r="E103" s="193">
        <v>60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Chêne pubescent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60</v>
      </c>
      <c r="B116" s="181">
        <f>'Données projet'!D114</f>
        <v>72.87</v>
      </c>
      <c r="C116" s="191">
        <v>15</v>
      </c>
      <c r="D116" s="179">
        <f>B116*C116</f>
        <v>1093.0500000000002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69</v>
      </c>
      <c r="B117" s="181">
        <f>'Données projet'!D115</f>
        <v>42.22</v>
      </c>
      <c r="C117" s="191">
        <v>15</v>
      </c>
      <c r="D117" s="179">
        <f t="shared" ref="D117:D135" si="8">B117*C117</f>
        <v>633.29999999999995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77</v>
      </c>
      <c r="B118" s="181">
        <f>'Données projet'!D116</f>
        <v>33.950000000000017</v>
      </c>
      <c r="C118" s="191">
        <v>15</v>
      </c>
      <c r="D118" s="179">
        <f t="shared" si="8"/>
        <v>509.25000000000023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86</v>
      </c>
      <c r="B119" s="181">
        <f>'Données projet'!D117</f>
        <v>37.54000000000002</v>
      </c>
      <c r="C119" s="191">
        <v>34</v>
      </c>
      <c r="D119" s="179">
        <f t="shared" si="8"/>
        <v>1276.3600000000006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95</v>
      </c>
      <c r="B120" s="181">
        <f>'Données projet'!D118</f>
        <v>42.199999999999989</v>
      </c>
      <c r="C120" s="191">
        <v>34</v>
      </c>
      <c r="D120" s="179">
        <f t="shared" si="8"/>
        <v>1434.7999999999997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104</v>
      </c>
      <c r="B121" s="181">
        <f>'Données projet'!D119</f>
        <v>39.400000000000006</v>
      </c>
      <c r="C121" s="191">
        <v>34</v>
      </c>
      <c r="D121" s="179">
        <f t="shared" si="8"/>
        <v>1339.6000000000001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113</v>
      </c>
      <c r="B122" s="181">
        <f>'Données projet'!D120</f>
        <v>41.639999999999986</v>
      </c>
      <c r="C122" s="191">
        <v>34</v>
      </c>
      <c r="D122" s="179">
        <f t="shared" si="8"/>
        <v>1415.7599999999995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122</v>
      </c>
      <c r="B123" s="181">
        <f>'Données projet'!D121</f>
        <v>45.829999999999984</v>
      </c>
      <c r="C123" s="191">
        <v>34</v>
      </c>
      <c r="D123" s="179">
        <f t="shared" si="8"/>
        <v>1558.2199999999993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132</v>
      </c>
      <c r="B124" s="181">
        <f>'Données projet'!D122</f>
        <v>48.699999999999989</v>
      </c>
      <c r="C124" s="191">
        <v>34</v>
      </c>
      <c r="D124" s="179">
        <f t="shared" si="8"/>
        <v>1655.7999999999997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144</v>
      </c>
      <c r="B125" s="181">
        <f>'Données projet'!D123</f>
        <v>60.949999999999989</v>
      </c>
      <c r="C125" s="191">
        <v>34</v>
      </c>
      <c r="D125" s="179">
        <f t="shared" si="8"/>
        <v>2072.2999999999997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156</v>
      </c>
      <c r="B126" s="181">
        <f>'Données projet'!D124</f>
        <v>65.69</v>
      </c>
      <c r="C126" s="191">
        <v>65</v>
      </c>
      <c r="D126" s="179">
        <f t="shared" si="8"/>
        <v>4269.8499999999995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168</v>
      </c>
      <c r="B127" s="181">
        <f>'Données projet'!D125</f>
        <v>71.37</v>
      </c>
      <c r="C127" s="191">
        <v>65</v>
      </c>
      <c r="D127" s="179">
        <f t="shared" si="8"/>
        <v>4639.05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180</v>
      </c>
      <c r="B128" s="181">
        <f>'Données projet'!D126</f>
        <v>175.59000000000003</v>
      </c>
      <c r="C128" s="191">
        <v>65</v>
      </c>
      <c r="D128" s="179">
        <f t="shared" si="8"/>
        <v>11413.350000000002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184</v>
      </c>
      <c r="B129" s="181">
        <f>'Données projet'!D127</f>
        <v>101.19999999999999</v>
      </c>
      <c r="C129" s="191">
        <v>65</v>
      </c>
      <c r="D129" s="179">
        <f t="shared" si="8"/>
        <v>6577.9999999999991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188</v>
      </c>
      <c r="B130" s="181">
        <f>'Données projet'!D128</f>
        <v>72.180000000000007</v>
      </c>
      <c r="C130" s="191">
        <v>65</v>
      </c>
      <c r="D130" s="179">
        <f t="shared" si="8"/>
        <v>4691.7000000000007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191</v>
      </c>
      <c r="B131" s="181">
        <f>'Données projet'!D129</f>
        <v>145.01</v>
      </c>
      <c r="C131" s="191">
        <v>83</v>
      </c>
      <c r="D131" s="179">
        <f t="shared" si="8"/>
        <v>12035.83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Chêne sessile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42</v>
      </c>
      <c r="B147" s="175">
        <f>'Données projet'!D140</f>
        <v>44.510000000000005</v>
      </c>
      <c r="C147" s="191">
        <v>15</v>
      </c>
      <c r="D147" s="182">
        <f>B147*C147</f>
        <v>667.65000000000009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50</v>
      </c>
      <c r="B148" s="175">
        <f>'Données projet'!D141</f>
        <v>37.54000000000002</v>
      </c>
      <c r="C148" s="191">
        <v>15</v>
      </c>
      <c r="D148" s="182">
        <f t="shared" ref="D148:D166" si="10">B148*C148</f>
        <v>563.10000000000036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58</v>
      </c>
      <c r="B149" s="175">
        <f>'Données projet'!D142</f>
        <v>47.789999999999992</v>
      </c>
      <c r="C149" s="191">
        <v>15</v>
      </c>
      <c r="D149" s="182">
        <f t="shared" si="10"/>
        <v>716.84999999999991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66</v>
      </c>
      <c r="B150" s="175">
        <f>'Données projet'!D143</f>
        <v>53.679999999999978</v>
      </c>
      <c r="C150" s="191">
        <v>59.875</v>
      </c>
      <c r="D150" s="182">
        <f t="shared" si="10"/>
        <v>3214.0899999999988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74</v>
      </c>
      <c r="B151" s="175">
        <f>'Données projet'!D144</f>
        <v>51.339999999999975</v>
      </c>
      <c r="C151" s="191">
        <v>59.875</v>
      </c>
      <c r="D151" s="182">
        <f t="shared" si="10"/>
        <v>3073.9824999999987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84</v>
      </c>
      <c r="B152" s="175">
        <f>'Données projet'!D145</f>
        <v>66.69</v>
      </c>
      <c r="C152" s="191">
        <v>59.875</v>
      </c>
      <c r="D152" s="182">
        <f t="shared" si="10"/>
        <v>3993.0637499999998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94</v>
      </c>
      <c r="B153" s="175">
        <f>'Données projet'!D146</f>
        <v>67.350000000000023</v>
      </c>
      <c r="C153" s="191">
        <v>59.875</v>
      </c>
      <c r="D153" s="182">
        <f t="shared" si="10"/>
        <v>4032.5812500000015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104</v>
      </c>
      <c r="B154" s="175">
        <f>'Données projet'!D147</f>
        <v>66.089999999999975</v>
      </c>
      <c r="C154" s="191">
        <v>59.875</v>
      </c>
      <c r="D154" s="182">
        <f t="shared" si="10"/>
        <v>3957.1387499999987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114</v>
      </c>
      <c r="B155" s="175">
        <f>'Données projet'!D148</f>
        <v>61.860000000000014</v>
      </c>
      <c r="C155" s="191">
        <v>59.875</v>
      </c>
      <c r="D155" s="182">
        <f t="shared" si="10"/>
        <v>3703.8675000000007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124</v>
      </c>
      <c r="B156" s="175">
        <f>'Données projet'!D149</f>
        <v>57.81</v>
      </c>
      <c r="C156" s="191">
        <v>59.875</v>
      </c>
      <c r="D156" s="182">
        <f t="shared" si="10"/>
        <v>3461.3737500000002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134</v>
      </c>
      <c r="B157" s="175">
        <f>'Données projet'!D150</f>
        <v>60.779999999999973</v>
      </c>
      <c r="C157" s="191">
        <v>179.75</v>
      </c>
      <c r="D157" s="182">
        <f t="shared" si="10"/>
        <v>10925.204999999994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144</v>
      </c>
      <c r="B158" s="175">
        <f>'Données projet'!D151</f>
        <v>61.800000000000068</v>
      </c>
      <c r="C158" s="191">
        <v>179.75</v>
      </c>
      <c r="D158" s="182">
        <f t="shared" si="10"/>
        <v>11108.550000000012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154</v>
      </c>
      <c r="B159" s="175">
        <f>'Données projet'!D152</f>
        <v>61.050000000000011</v>
      </c>
      <c r="C159" s="191">
        <v>179.75</v>
      </c>
      <c r="D159" s="182">
        <f t="shared" si="10"/>
        <v>10973.737500000003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164</v>
      </c>
      <c r="B160" s="175">
        <f>'Données projet'!D153</f>
        <v>66.020000000000095</v>
      </c>
      <c r="C160" s="191">
        <v>179.75</v>
      </c>
      <c r="D160" s="182">
        <f t="shared" si="10"/>
        <v>11867.095000000018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174</v>
      </c>
      <c r="B161" s="175">
        <f>'Données projet'!D154</f>
        <v>240</v>
      </c>
      <c r="C161" s="191">
        <v>234.375</v>
      </c>
      <c r="D161" s="182">
        <f t="shared" si="10"/>
        <v>56250</v>
      </c>
      <c r="E161" s="193">
        <v>60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177</v>
      </c>
      <c r="B162" s="175">
        <f>'Données projet'!D155</f>
        <v>128.66000000000003</v>
      </c>
      <c r="C162" s="191">
        <v>234.375</v>
      </c>
      <c r="D162" s="182">
        <f t="shared" si="10"/>
        <v>30154.687500000007</v>
      </c>
      <c r="E162" s="193">
        <v>60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180</v>
      </c>
      <c r="B163" s="175">
        <f>'Données projet'!D156</f>
        <v>86.97</v>
      </c>
      <c r="C163" s="191">
        <v>234.375</v>
      </c>
      <c r="D163" s="182">
        <f t="shared" si="10"/>
        <v>20383.59375</v>
      </c>
      <c r="E163" s="193">
        <v>60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183</v>
      </c>
      <c r="B164" s="175">
        <f>'Données projet'!D157</f>
        <v>191.47</v>
      </c>
      <c r="C164" s="191">
        <v>234.375</v>
      </c>
      <c r="D164" s="182">
        <f t="shared" si="10"/>
        <v>44875.78125</v>
      </c>
      <c r="E164" s="193">
        <v>60</v>
      </c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FAA7A5-08E0-4AB3-A520-642EC6EE8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05DCA-6742-4355-9597-9D6EAA81C88C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e2382d34-9bb8-44b7-b653-fe70b92f328c"/>
    <ds:schemaRef ds:uri="0b31a522-a3bf-48c4-bec5-a17f159ba48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C0FA4E-FB18-450D-973C-086061C89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2024-09-12T13:43:50Z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2104800</vt:r8>
  </property>
  <property fmtid="{D5CDD505-2E9C-101B-9397-08002B2CF9AE}" pid="4" name="MediaServiceImageTags">
    <vt:lpwstr/>
  </property>
</Properties>
</file>